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9.xml" ContentType="application/vnd.openxmlformats-officedocument.spreadsheetml.pivotTable+xml"/>
  <Override PartName="/xl/tables/table4.xml" ContentType="application/vnd.openxmlformats-officedocument.spreadsheetml.table+xml"/>
  <Override PartName="/xl/pivotTables/pivotTable10.xml" ContentType="application/vnd.openxmlformats-officedocument.spreadsheetml.pivot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ina\Desktop\Finants\2020\Eelarve 2020\EA esitamiseks\V4\"/>
    </mc:Choice>
  </mc:AlternateContent>
  <bookViews>
    <workbookView xWindow="0" yWindow="0" windowWidth="28800" windowHeight="12435" tabRatio="912"/>
  </bookViews>
  <sheets>
    <sheet name="EA_aruanne" sheetId="8" r:id="rId1"/>
    <sheet name="Lisa 1 Investeeringud" sheetId="97" r:id="rId2"/>
    <sheet name="Lisa2 Majandamiskulu, Toetused" sheetId="100" r:id="rId3"/>
    <sheet name="Põhitegevuskulud" sheetId="98" state="hidden" r:id="rId4"/>
    <sheet name="Lisa 3 Personalikulud" sheetId="101" r:id="rId5"/>
    <sheet name="Sheet2" sheetId="24" state="hidden" r:id="rId6"/>
    <sheet name="Sheet1" sheetId="4" state="hidden" r:id="rId7"/>
    <sheet name="Tegevusalade analüüs" sheetId="25" state="hidden" r:id="rId8"/>
    <sheet name="Abivahend tegevualade eelarve" sheetId="93" state="hidden" r:id="rId9"/>
    <sheet name="Koond_kulud" sheetId="1" state="hidden" r:id="rId10"/>
    <sheet name="Investeeringute lisa" sheetId="96" state="hidden" r:id="rId11"/>
    <sheet name="Lisavajadused" sheetId="5" state="hidden" r:id="rId12"/>
    <sheet name="Sheet3" sheetId="12" state="hidden" r:id="rId13"/>
    <sheet name="Töötasud" sheetId="6" state="hidden" r:id="rId14"/>
    <sheet name="Sheet8" sheetId="17" state="hidden" r:id="rId15"/>
    <sheet name="Tulud" sheetId="9" state="hidden" r:id="rId16"/>
    <sheet name="Kontode täpsustused" sheetId="3" state="hidden" r:id="rId17"/>
    <sheet name="Tegevusalade nimetused" sheetId="2" state="hidden" r:id="rId18"/>
  </sheets>
  <definedNames>
    <definedName name="_xlnm.Print_Area" localSheetId="17">Table4[[#All],[Tegevusala kood]:[Tegevusala nimetus]]</definedName>
  </definedNames>
  <calcPr calcId="162913"/>
  <pivotCaches>
    <pivotCache cacheId="0" r:id="rId19"/>
    <pivotCache cacheId="1" r:id="rId20"/>
    <pivotCache cacheId="2" r:id="rId21"/>
    <pivotCache cacheId="3" r:id="rId22"/>
    <pivotCache cacheId="4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8" l="1"/>
  <c r="A1288" i="1" l="1"/>
  <c r="C1288" i="1"/>
  <c r="E1288" i="1" s="1"/>
  <c r="D1288" i="1"/>
  <c r="K1288" i="1"/>
  <c r="M1288" i="1"/>
  <c r="N1288" i="1"/>
  <c r="O1288" i="1"/>
  <c r="P1288" i="1"/>
  <c r="E129" i="8" l="1"/>
  <c r="G129" i="8" s="1"/>
  <c r="E126" i="8"/>
  <c r="G126" i="8" s="1"/>
  <c r="E125" i="8"/>
  <c r="G125" i="8" s="1"/>
  <c r="E124" i="8"/>
  <c r="G124" i="8" s="1"/>
  <c r="D136" i="8"/>
  <c r="G113" i="8"/>
  <c r="E110" i="8"/>
  <c r="F110" i="8" s="1"/>
  <c r="E109" i="8"/>
  <c r="F109" i="8" s="1"/>
  <c r="E108" i="8"/>
  <c r="G108" i="8" s="1"/>
  <c r="E111" i="8"/>
  <c r="G111" i="8" s="1"/>
  <c r="E107" i="8"/>
  <c r="F107" i="8" s="1"/>
  <c r="E94" i="8"/>
  <c r="F94" i="8" s="1"/>
  <c r="E101" i="8"/>
  <c r="E100" i="8"/>
  <c r="F100" i="8" s="1"/>
  <c r="E90" i="8"/>
  <c r="G90" i="8" s="1"/>
  <c r="E87" i="8"/>
  <c r="F87" i="8" s="1"/>
  <c r="E80" i="8"/>
  <c r="E63" i="8"/>
  <c r="E105" i="8"/>
  <c r="G105" i="8" s="1"/>
  <c r="E104" i="8"/>
  <c r="G104" i="8" s="1"/>
  <c r="E103" i="8"/>
  <c r="F103" i="8" s="1"/>
  <c r="E102" i="8"/>
  <c r="F102" i="8" s="1"/>
  <c r="E99" i="8"/>
  <c r="G99" i="8" s="1"/>
  <c r="E117" i="8"/>
  <c r="F117" i="8" s="1"/>
  <c r="D119" i="8"/>
  <c r="D97" i="8"/>
  <c r="E89" i="8"/>
  <c r="F89" i="8" s="1"/>
  <c r="E85" i="8"/>
  <c r="E92" i="8"/>
  <c r="F92" i="8" s="1"/>
  <c r="E91" i="8"/>
  <c r="F91" i="8" s="1"/>
  <c r="E88" i="8"/>
  <c r="F88" i="8" s="1"/>
  <c r="E86" i="8"/>
  <c r="F86" i="8" s="1"/>
  <c r="F129" i="8" l="1"/>
  <c r="F126" i="8"/>
  <c r="F125" i="8"/>
  <c r="F124" i="8"/>
  <c r="F113" i="8"/>
  <c r="G110" i="8"/>
  <c r="G109" i="8"/>
  <c r="F108" i="8"/>
  <c r="F111" i="8"/>
  <c r="G107" i="8"/>
  <c r="F105" i="8"/>
  <c r="G101" i="8"/>
  <c r="F104" i="8"/>
  <c r="G103" i="8"/>
  <c r="G102" i="8"/>
  <c r="F101" i="8"/>
  <c r="G100" i="8"/>
  <c r="F99" i="8"/>
  <c r="G117" i="8"/>
  <c r="G92" i="8"/>
  <c r="G91" i="8"/>
  <c r="F90" i="8"/>
  <c r="G89" i="8"/>
  <c r="G88" i="8"/>
  <c r="G87" i="8"/>
  <c r="G86" i="8"/>
  <c r="E84" i="8"/>
  <c r="E83" i="8"/>
  <c r="E82" i="8"/>
  <c r="E81" i="8"/>
  <c r="E79" i="8"/>
  <c r="E75" i="8"/>
  <c r="E74" i="8"/>
  <c r="E73" i="8"/>
  <c r="G63" i="8"/>
  <c r="E68" i="8"/>
  <c r="F68" i="8" s="1"/>
  <c r="E67" i="8"/>
  <c r="F67" i="8" s="1"/>
  <c r="E66" i="8"/>
  <c r="F66" i="8" s="1"/>
  <c r="E65" i="8"/>
  <c r="F65" i="8" s="1"/>
  <c r="E64" i="8"/>
  <c r="F64" i="8" s="1"/>
  <c r="G75" i="8" l="1"/>
  <c r="F75" i="8"/>
  <c r="F73" i="8"/>
  <c r="G73" i="8"/>
  <c r="F84" i="8"/>
  <c r="G84" i="8"/>
  <c r="G74" i="8"/>
  <c r="F74" i="8"/>
  <c r="F80" i="8"/>
  <c r="G80" i="8"/>
  <c r="F81" i="8"/>
  <c r="G81" i="8"/>
  <c r="G82" i="8"/>
  <c r="F82" i="8"/>
  <c r="G79" i="8"/>
  <c r="F79" i="8"/>
  <c r="G83" i="8"/>
  <c r="F83" i="8"/>
  <c r="G68" i="8"/>
  <c r="F63" i="8"/>
  <c r="G67" i="8"/>
  <c r="G66" i="8"/>
  <c r="G65" i="8"/>
  <c r="G64" i="8"/>
  <c r="E31" i="8"/>
  <c r="A46" i="9" l="1"/>
  <c r="C46" i="9"/>
  <c r="D46" i="9"/>
  <c r="E46" i="9"/>
  <c r="M46" i="9"/>
  <c r="P46" i="9"/>
  <c r="R46" i="9"/>
  <c r="S46" i="9"/>
  <c r="T46" i="9"/>
  <c r="U46" i="9"/>
  <c r="A45" i="9"/>
  <c r="C45" i="9"/>
  <c r="D45" i="9"/>
  <c r="E45" i="9"/>
  <c r="M45" i="9"/>
  <c r="P45" i="9"/>
  <c r="R45" i="9"/>
  <c r="S45" i="9"/>
  <c r="T45" i="9"/>
  <c r="U45" i="9"/>
  <c r="A44" i="9"/>
  <c r="C44" i="9"/>
  <c r="D44" i="9"/>
  <c r="E44" i="9"/>
  <c r="M44" i="9"/>
  <c r="P44" i="9"/>
  <c r="R44" i="9"/>
  <c r="S44" i="9"/>
  <c r="T44" i="9"/>
  <c r="U44" i="9"/>
  <c r="A43" i="9"/>
  <c r="C43" i="9"/>
  <c r="D43" i="9"/>
  <c r="E43" i="9"/>
  <c r="M43" i="9"/>
  <c r="P43" i="9"/>
  <c r="R43" i="9"/>
  <c r="S43" i="9"/>
  <c r="T43" i="9"/>
  <c r="U43" i="9"/>
  <c r="E43" i="8" l="1"/>
  <c r="B1229" i="98" l="1"/>
  <c r="F1229" i="98"/>
  <c r="G1229" i="98"/>
  <c r="H1229" i="98"/>
  <c r="I1229" i="98"/>
  <c r="J1229" i="98"/>
  <c r="L1229" i="98"/>
  <c r="Q1229" i="98"/>
  <c r="B1230" i="98"/>
  <c r="F1230" i="98"/>
  <c r="G1230" i="98"/>
  <c r="H1230" i="98"/>
  <c r="I1230" i="98"/>
  <c r="J1230" i="98"/>
  <c r="L1230" i="98"/>
  <c r="Q1230" i="98"/>
  <c r="B1231" i="98"/>
  <c r="F1231" i="98"/>
  <c r="G1231" i="98"/>
  <c r="H1231" i="98"/>
  <c r="I1231" i="98"/>
  <c r="J1231" i="98"/>
  <c r="L1231" i="98"/>
  <c r="Q1231" i="98"/>
  <c r="B1220" i="98"/>
  <c r="F1220" i="98"/>
  <c r="G1220" i="98"/>
  <c r="H1220" i="98"/>
  <c r="I1220" i="98"/>
  <c r="J1220" i="98"/>
  <c r="L1220" i="98"/>
  <c r="Q1220" i="98"/>
  <c r="B1221" i="98"/>
  <c r="F1221" i="98"/>
  <c r="G1221" i="98"/>
  <c r="I1221" i="98"/>
  <c r="J1221" i="98"/>
  <c r="L1221" i="98"/>
  <c r="Q1221" i="98"/>
  <c r="B1222" i="98"/>
  <c r="F1222" i="98"/>
  <c r="G1222" i="98"/>
  <c r="H1222" i="98"/>
  <c r="I1222" i="98"/>
  <c r="J1222" i="98"/>
  <c r="L1222" i="98"/>
  <c r="Q1222" i="98"/>
  <c r="B1223" i="98"/>
  <c r="F1223" i="98"/>
  <c r="G1223" i="98"/>
  <c r="H1223" i="98"/>
  <c r="I1223" i="98"/>
  <c r="J1223" i="98"/>
  <c r="L1223" i="98"/>
  <c r="Q1223" i="98"/>
  <c r="B1224" i="98"/>
  <c r="F1224" i="98"/>
  <c r="G1224" i="98"/>
  <c r="I1224" i="98"/>
  <c r="J1224" i="98"/>
  <c r="L1224" i="98"/>
  <c r="Q1224" i="98"/>
  <c r="B1225" i="98"/>
  <c r="F1225" i="98"/>
  <c r="G1225" i="98"/>
  <c r="H1225" i="98"/>
  <c r="I1225" i="98"/>
  <c r="J1225" i="98"/>
  <c r="L1225" i="98"/>
  <c r="Q1225" i="98"/>
  <c r="B1226" i="98"/>
  <c r="F1226" i="98"/>
  <c r="G1226" i="98"/>
  <c r="I1226" i="98"/>
  <c r="J1226" i="98"/>
  <c r="L1226" i="98"/>
  <c r="Q1226" i="98"/>
  <c r="B1227" i="98"/>
  <c r="F1227" i="98"/>
  <c r="G1227" i="98"/>
  <c r="H1227" i="98"/>
  <c r="I1227" i="98"/>
  <c r="J1227" i="98"/>
  <c r="L1227" i="98"/>
  <c r="Q1227" i="98"/>
  <c r="B1228" i="98"/>
  <c r="F1228" i="98"/>
  <c r="G1228" i="98"/>
  <c r="H1228" i="98"/>
  <c r="I1228" i="98"/>
  <c r="J1228" i="98"/>
  <c r="L1228" i="98"/>
  <c r="Q1228" i="98"/>
  <c r="B1215" i="98"/>
  <c r="F1215" i="98"/>
  <c r="G1215" i="98"/>
  <c r="H1215" i="98"/>
  <c r="I1215" i="98"/>
  <c r="J1215" i="98"/>
  <c r="L1215" i="98"/>
  <c r="Q1215" i="98"/>
  <c r="B1216" i="98"/>
  <c r="F1216" i="98"/>
  <c r="G1216" i="98"/>
  <c r="H1216" i="98"/>
  <c r="I1216" i="98"/>
  <c r="J1216" i="98"/>
  <c r="L1216" i="98"/>
  <c r="Q1216" i="98"/>
  <c r="B1217" i="98"/>
  <c r="F1217" i="98"/>
  <c r="G1217" i="98"/>
  <c r="H1217" i="98"/>
  <c r="I1217" i="98"/>
  <c r="J1217" i="98"/>
  <c r="L1217" i="98"/>
  <c r="Q1217" i="98"/>
  <c r="B1218" i="98"/>
  <c r="F1218" i="98"/>
  <c r="G1218" i="98"/>
  <c r="H1218" i="98"/>
  <c r="I1218" i="98"/>
  <c r="J1218" i="98"/>
  <c r="L1218" i="98"/>
  <c r="Q1218" i="98"/>
  <c r="B1219" i="98"/>
  <c r="F1219" i="98"/>
  <c r="G1219" i="98"/>
  <c r="H1219" i="98"/>
  <c r="I1219" i="98"/>
  <c r="J1219" i="98"/>
  <c r="L1219" i="98"/>
  <c r="Q1219" i="98"/>
  <c r="B1191" i="98"/>
  <c r="F1191" i="98"/>
  <c r="G1191" i="98"/>
  <c r="H1191" i="98"/>
  <c r="I1191" i="98"/>
  <c r="J1191" i="98"/>
  <c r="L1191" i="98"/>
  <c r="Q1191" i="98"/>
  <c r="B1192" i="98"/>
  <c r="F1192" i="98"/>
  <c r="G1192" i="98"/>
  <c r="H1192" i="98"/>
  <c r="I1192" i="98"/>
  <c r="J1192" i="98"/>
  <c r="L1192" i="98"/>
  <c r="Q1192" i="98"/>
  <c r="B1193" i="98"/>
  <c r="F1193" i="98"/>
  <c r="G1193" i="98"/>
  <c r="H1193" i="98"/>
  <c r="I1193" i="98"/>
  <c r="J1193" i="98"/>
  <c r="L1193" i="98"/>
  <c r="Q1193" i="98"/>
  <c r="B1194" i="98"/>
  <c r="F1194" i="98"/>
  <c r="G1194" i="98"/>
  <c r="H1194" i="98"/>
  <c r="I1194" i="98"/>
  <c r="J1194" i="98"/>
  <c r="L1194" i="98"/>
  <c r="Q1194" i="98"/>
  <c r="B1195" i="98"/>
  <c r="F1195" i="98"/>
  <c r="G1195" i="98"/>
  <c r="H1195" i="98"/>
  <c r="I1195" i="98"/>
  <c r="J1195" i="98"/>
  <c r="L1195" i="98"/>
  <c r="Q1195" i="98"/>
  <c r="B1196" i="98"/>
  <c r="F1196" i="98"/>
  <c r="G1196" i="98"/>
  <c r="H1196" i="98"/>
  <c r="I1196" i="98"/>
  <c r="J1196" i="98"/>
  <c r="L1196" i="98"/>
  <c r="Q1196" i="98"/>
  <c r="B1197" i="98"/>
  <c r="F1197" i="98"/>
  <c r="G1197" i="98"/>
  <c r="H1197" i="98"/>
  <c r="I1197" i="98"/>
  <c r="J1197" i="98"/>
  <c r="L1197" i="98"/>
  <c r="Q1197" i="98"/>
  <c r="B1198" i="98"/>
  <c r="F1198" i="98"/>
  <c r="G1198" i="98"/>
  <c r="H1198" i="98"/>
  <c r="I1198" i="98"/>
  <c r="J1198" i="98"/>
  <c r="L1198" i="98"/>
  <c r="Q1198" i="98"/>
  <c r="B1199" i="98"/>
  <c r="F1199" i="98"/>
  <c r="G1199" i="98"/>
  <c r="H1199" i="98"/>
  <c r="I1199" i="98"/>
  <c r="J1199" i="98"/>
  <c r="L1199" i="98"/>
  <c r="Q1199" i="98"/>
  <c r="B1200" i="98"/>
  <c r="F1200" i="98"/>
  <c r="G1200" i="98"/>
  <c r="H1200" i="98"/>
  <c r="I1200" i="98"/>
  <c r="J1200" i="98"/>
  <c r="L1200" i="98"/>
  <c r="Q1200" i="98"/>
  <c r="B1201" i="98"/>
  <c r="F1201" i="98"/>
  <c r="G1201" i="98"/>
  <c r="H1201" i="98"/>
  <c r="I1201" i="98"/>
  <c r="J1201" i="98"/>
  <c r="L1201" i="98"/>
  <c r="Q1201" i="98"/>
  <c r="B1202" i="98"/>
  <c r="F1202" i="98"/>
  <c r="G1202" i="98"/>
  <c r="H1202" i="98"/>
  <c r="I1202" i="98"/>
  <c r="J1202" i="98"/>
  <c r="L1202" i="98"/>
  <c r="Q1202" i="98"/>
  <c r="B1203" i="98"/>
  <c r="F1203" i="98"/>
  <c r="G1203" i="98"/>
  <c r="H1203" i="98"/>
  <c r="I1203" i="98"/>
  <c r="J1203" i="98"/>
  <c r="L1203" i="98"/>
  <c r="Q1203" i="98"/>
  <c r="B1204" i="98"/>
  <c r="F1204" i="98"/>
  <c r="G1204" i="98"/>
  <c r="H1204" i="98"/>
  <c r="I1204" i="98"/>
  <c r="J1204" i="98"/>
  <c r="L1204" i="98"/>
  <c r="Q1204" i="98"/>
  <c r="B1205" i="98"/>
  <c r="F1205" i="98"/>
  <c r="G1205" i="98"/>
  <c r="H1205" i="98"/>
  <c r="I1205" i="98"/>
  <c r="J1205" i="98"/>
  <c r="L1205" i="98"/>
  <c r="Q1205" i="98"/>
  <c r="B1206" i="98"/>
  <c r="F1206" i="98"/>
  <c r="G1206" i="98"/>
  <c r="H1206" i="98"/>
  <c r="I1206" i="98"/>
  <c r="J1206" i="98"/>
  <c r="L1206" i="98"/>
  <c r="Q1206" i="98"/>
  <c r="B1207" i="98"/>
  <c r="F1207" i="98"/>
  <c r="G1207" i="98"/>
  <c r="H1207" i="98"/>
  <c r="I1207" i="98"/>
  <c r="J1207" i="98"/>
  <c r="L1207" i="98"/>
  <c r="Q1207" i="98"/>
  <c r="B1208" i="98"/>
  <c r="F1208" i="98"/>
  <c r="G1208" i="98"/>
  <c r="H1208" i="98"/>
  <c r="I1208" i="98"/>
  <c r="J1208" i="98"/>
  <c r="L1208" i="98"/>
  <c r="Q1208" i="98"/>
  <c r="B1209" i="98"/>
  <c r="F1209" i="98"/>
  <c r="G1209" i="98"/>
  <c r="H1209" i="98"/>
  <c r="I1209" i="98"/>
  <c r="J1209" i="98"/>
  <c r="L1209" i="98"/>
  <c r="Q1209" i="98"/>
  <c r="B1210" i="98"/>
  <c r="F1210" i="98"/>
  <c r="G1210" i="98"/>
  <c r="H1210" i="98"/>
  <c r="I1210" i="98"/>
  <c r="J1210" i="98"/>
  <c r="L1210" i="98"/>
  <c r="Q1210" i="98"/>
  <c r="B1211" i="98"/>
  <c r="F1211" i="98"/>
  <c r="G1211" i="98"/>
  <c r="H1211" i="98"/>
  <c r="I1211" i="98"/>
  <c r="J1211" i="98"/>
  <c r="L1211" i="98"/>
  <c r="Q1211" i="98"/>
  <c r="B1212" i="98"/>
  <c r="F1212" i="98"/>
  <c r="G1212" i="98"/>
  <c r="H1212" i="98"/>
  <c r="I1212" i="98"/>
  <c r="J1212" i="98"/>
  <c r="L1212" i="98"/>
  <c r="Q1212" i="98"/>
  <c r="B1213" i="98"/>
  <c r="F1213" i="98"/>
  <c r="G1213" i="98"/>
  <c r="H1213" i="98"/>
  <c r="I1213" i="98"/>
  <c r="J1213" i="98"/>
  <c r="L1213" i="98"/>
  <c r="Q1213" i="98"/>
  <c r="B1214" i="98"/>
  <c r="F1214" i="98"/>
  <c r="G1214" i="98"/>
  <c r="H1214" i="98"/>
  <c r="I1214" i="98"/>
  <c r="J1214" i="98"/>
  <c r="L1214" i="98"/>
  <c r="Q1214" i="98"/>
  <c r="B1189" i="98"/>
  <c r="F1189" i="98"/>
  <c r="G1189" i="98"/>
  <c r="H1189" i="98"/>
  <c r="I1189" i="98"/>
  <c r="J1189" i="98"/>
  <c r="L1189" i="98"/>
  <c r="Q1189" i="98"/>
  <c r="B1190" i="98"/>
  <c r="F1190" i="98"/>
  <c r="G1190" i="98"/>
  <c r="H1190" i="98"/>
  <c r="I1190" i="98"/>
  <c r="J1190" i="98"/>
  <c r="L1190" i="98"/>
  <c r="Q1190" i="98"/>
  <c r="B1171" i="98"/>
  <c r="F1171" i="98"/>
  <c r="G1171" i="98"/>
  <c r="H1171" i="98"/>
  <c r="I1171" i="98"/>
  <c r="J1171" i="98"/>
  <c r="L1171" i="98"/>
  <c r="Q1171" i="98"/>
  <c r="B1172" i="98"/>
  <c r="F1172" i="98"/>
  <c r="G1172" i="98"/>
  <c r="H1172" i="98"/>
  <c r="I1172" i="98"/>
  <c r="J1172" i="98"/>
  <c r="L1172" i="98"/>
  <c r="Q1172" i="98"/>
  <c r="B1173" i="98"/>
  <c r="F1173" i="98"/>
  <c r="G1173" i="98"/>
  <c r="H1173" i="98"/>
  <c r="I1173" i="98"/>
  <c r="J1173" i="98"/>
  <c r="L1173" i="98"/>
  <c r="Q1173" i="98"/>
  <c r="B1174" i="98"/>
  <c r="F1174" i="98"/>
  <c r="G1174" i="98"/>
  <c r="H1174" i="98"/>
  <c r="I1174" i="98"/>
  <c r="J1174" i="98"/>
  <c r="L1174" i="98"/>
  <c r="Q1174" i="98"/>
  <c r="B1175" i="98"/>
  <c r="F1175" i="98"/>
  <c r="G1175" i="98"/>
  <c r="H1175" i="98"/>
  <c r="I1175" i="98"/>
  <c r="J1175" i="98"/>
  <c r="L1175" i="98"/>
  <c r="Q1175" i="98"/>
  <c r="B1176" i="98"/>
  <c r="F1176" i="98"/>
  <c r="G1176" i="98"/>
  <c r="H1176" i="98"/>
  <c r="I1176" i="98"/>
  <c r="J1176" i="98"/>
  <c r="L1176" i="98"/>
  <c r="Q1176" i="98"/>
  <c r="B1177" i="98"/>
  <c r="F1177" i="98"/>
  <c r="G1177" i="98"/>
  <c r="H1177" i="98"/>
  <c r="I1177" i="98"/>
  <c r="J1177" i="98"/>
  <c r="L1177" i="98"/>
  <c r="Q1177" i="98"/>
  <c r="B1178" i="98"/>
  <c r="F1178" i="98"/>
  <c r="G1178" i="98"/>
  <c r="H1178" i="98"/>
  <c r="I1178" i="98"/>
  <c r="J1178" i="98"/>
  <c r="L1178" i="98"/>
  <c r="Q1178" i="98"/>
  <c r="B1179" i="98"/>
  <c r="F1179" i="98"/>
  <c r="G1179" i="98"/>
  <c r="H1179" i="98"/>
  <c r="I1179" i="98"/>
  <c r="J1179" i="98"/>
  <c r="L1179" i="98"/>
  <c r="Q1179" i="98"/>
  <c r="B1180" i="98"/>
  <c r="F1180" i="98"/>
  <c r="G1180" i="98"/>
  <c r="H1180" i="98"/>
  <c r="I1180" i="98"/>
  <c r="J1180" i="98"/>
  <c r="L1180" i="98"/>
  <c r="Q1180" i="98"/>
  <c r="B1181" i="98"/>
  <c r="F1181" i="98"/>
  <c r="G1181" i="98"/>
  <c r="H1181" i="98"/>
  <c r="I1181" i="98"/>
  <c r="J1181" i="98"/>
  <c r="L1181" i="98"/>
  <c r="Q1181" i="98"/>
  <c r="B1182" i="98"/>
  <c r="F1182" i="98"/>
  <c r="G1182" i="98"/>
  <c r="H1182" i="98"/>
  <c r="I1182" i="98"/>
  <c r="J1182" i="98"/>
  <c r="L1182" i="98"/>
  <c r="Q1182" i="98"/>
  <c r="B1183" i="98"/>
  <c r="F1183" i="98"/>
  <c r="G1183" i="98"/>
  <c r="H1183" i="98"/>
  <c r="I1183" i="98"/>
  <c r="J1183" i="98"/>
  <c r="L1183" i="98"/>
  <c r="Q1183" i="98"/>
  <c r="B1184" i="98"/>
  <c r="F1184" i="98"/>
  <c r="G1184" i="98"/>
  <c r="H1184" i="98"/>
  <c r="I1184" i="98"/>
  <c r="J1184" i="98"/>
  <c r="L1184" i="98"/>
  <c r="Q1184" i="98"/>
  <c r="B1185" i="98"/>
  <c r="F1185" i="98"/>
  <c r="G1185" i="98"/>
  <c r="H1185" i="98"/>
  <c r="I1185" i="98"/>
  <c r="J1185" i="98"/>
  <c r="L1185" i="98"/>
  <c r="Q1185" i="98"/>
  <c r="B1186" i="98"/>
  <c r="F1186" i="98"/>
  <c r="G1186" i="98"/>
  <c r="H1186" i="98"/>
  <c r="I1186" i="98"/>
  <c r="J1186" i="98"/>
  <c r="L1186" i="98"/>
  <c r="Q1186" i="98"/>
  <c r="B1187" i="98"/>
  <c r="F1187" i="98"/>
  <c r="G1187" i="98"/>
  <c r="H1187" i="98"/>
  <c r="I1187" i="98"/>
  <c r="J1187" i="98"/>
  <c r="L1187" i="98"/>
  <c r="Q1187" i="98"/>
  <c r="B1188" i="98"/>
  <c r="F1188" i="98"/>
  <c r="G1188" i="98"/>
  <c r="H1188" i="98"/>
  <c r="I1188" i="98"/>
  <c r="J1188" i="98"/>
  <c r="L1188" i="98"/>
  <c r="Q1188" i="98"/>
  <c r="B1100" i="98"/>
  <c r="F1100" i="98"/>
  <c r="G1100" i="98"/>
  <c r="H1100" i="98"/>
  <c r="I1100" i="98"/>
  <c r="J1100" i="98"/>
  <c r="L1100" i="98"/>
  <c r="Q1100" i="98"/>
  <c r="B1101" i="98"/>
  <c r="F1101" i="98"/>
  <c r="G1101" i="98"/>
  <c r="H1101" i="98"/>
  <c r="I1101" i="98"/>
  <c r="J1101" i="98"/>
  <c r="L1101" i="98"/>
  <c r="Q1101" i="98"/>
  <c r="B1102" i="98"/>
  <c r="F1102" i="98"/>
  <c r="G1102" i="98"/>
  <c r="H1102" i="98"/>
  <c r="I1102" i="98"/>
  <c r="J1102" i="98"/>
  <c r="L1102" i="98"/>
  <c r="Q1102" i="98"/>
  <c r="B1103" i="98"/>
  <c r="F1103" i="98"/>
  <c r="G1103" i="98"/>
  <c r="H1103" i="98"/>
  <c r="I1103" i="98"/>
  <c r="J1103" i="98"/>
  <c r="L1103" i="98"/>
  <c r="Q1103" i="98"/>
  <c r="B1104" i="98"/>
  <c r="F1104" i="98"/>
  <c r="G1104" i="98"/>
  <c r="H1104" i="98"/>
  <c r="I1104" i="98"/>
  <c r="J1104" i="98"/>
  <c r="L1104" i="98"/>
  <c r="Q1104" i="98"/>
  <c r="B1105" i="98"/>
  <c r="F1105" i="98"/>
  <c r="G1105" i="98"/>
  <c r="H1105" i="98"/>
  <c r="I1105" i="98"/>
  <c r="J1105" i="98"/>
  <c r="L1105" i="98"/>
  <c r="Q1105" i="98"/>
  <c r="B1106" i="98"/>
  <c r="F1106" i="98"/>
  <c r="G1106" i="98"/>
  <c r="H1106" i="98"/>
  <c r="I1106" i="98"/>
  <c r="J1106" i="98"/>
  <c r="L1106" i="98"/>
  <c r="Q1106" i="98"/>
  <c r="B1107" i="98"/>
  <c r="F1107" i="98"/>
  <c r="G1107" i="98"/>
  <c r="H1107" i="98"/>
  <c r="I1107" i="98"/>
  <c r="J1107" i="98"/>
  <c r="L1107" i="98"/>
  <c r="Q1107" i="98"/>
  <c r="B1108" i="98"/>
  <c r="F1108" i="98"/>
  <c r="G1108" i="98"/>
  <c r="H1108" i="98"/>
  <c r="I1108" i="98"/>
  <c r="J1108" i="98"/>
  <c r="L1108" i="98"/>
  <c r="Q1108" i="98"/>
  <c r="B1109" i="98"/>
  <c r="F1109" i="98"/>
  <c r="G1109" i="98"/>
  <c r="H1109" i="98"/>
  <c r="I1109" i="98"/>
  <c r="J1109" i="98"/>
  <c r="L1109" i="98"/>
  <c r="Q1109" i="98"/>
  <c r="B1110" i="98"/>
  <c r="F1110" i="98"/>
  <c r="G1110" i="98"/>
  <c r="H1110" i="98"/>
  <c r="I1110" i="98"/>
  <c r="J1110" i="98"/>
  <c r="L1110" i="98"/>
  <c r="Q1110" i="98"/>
  <c r="B1111" i="98"/>
  <c r="F1111" i="98"/>
  <c r="G1111" i="98"/>
  <c r="H1111" i="98"/>
  <c r="I1111" i="98"/>
  <c r="J1111" i="98"/>
  <c r="L1111" i="98"/>
  <c r="Q1111" i="98"/>
  <c r="B1112" i="98"/>
  <c r="F1112" i="98"/>
  <c r="G1112" i="98"/>
  <c r="H1112" i="98"/>
  <c r="I1112" i="98"/>
  <c r="J1112" i="98"/>
  <c r="L1112" i="98"/>
  <c r="Q1112" i="98"/>
  <c r="B1113" i="98"/>
  <c r="F1113" i="98"/>
  <c r="G1113" i="98"/>
  <c r="H1113" i="98"/>
  <c r="I1113" i="98"/>
  <c r="J1113" i="98"/>
  <c r="L1113" i="98"/>
  <c r="Q1113" i="98"/>
  <c r="B1114" i="98"/>
  <c r="F1114" i="98"/>
  <c r="G1114" i="98"/>
  <c r="H1114" i="98"/>
  <c r="I1114" i="98"/>
  <c r="J1114" i="98"/>
  <c r="L1114" i="98"/>
  <c r="Q1114" i="98"/>
  <c r="B1115" i="98"/>
  <c r="F1115" i="98"/>
  <c r="G1115" i="98"/>
  <c r="H1115" i="98"/>
  <c r="I1115" i="98"/>
  <c r="J1115" i="98"/>
  <c r="L1115" i="98"/>
  <c r="Q1115" i="98"/>
  <c r="B1116" i="98"/>
  <c r="F1116" i="98"/>
  <c r="G1116" i="98"/>
  <c r="H1116" i="98"/>
  <c r="I1116" i="98"/>
  <c r="J1116" i="98"/>
  <c r="L1116" i="98"/>
  <c r="Q1116" i="98"/>
  <c r="B1117" i="98"/>
  <c r="F1117" i="98"/>
  <c r="G1117" i="98"/>
  <c r="H1117" i="98"/>
  <c r="I1117" i="98"/>
  <c r="J1117" i="98"/>
  <c r="L1117" i="98"/>
  <c r="Q1117" i="98"/>
  <c r="B1118" i="98"/>
  <c r="F1118" i="98"/>
  <c r="G1118" i="98"/>
  <c r="H1118" i="98"/>
  <c r="I1118" i="98"/>
  <c r="J1118" i="98"/>
  <c r="L1118" i="98"/>
  <c r="Q1118" i="98"/>
  <c r="B1119" i="98"/>
  <c r="F1119" i="98"/>
  <c r="G1119" i="98"/>
  <c r="H1119" i="98"/>
  <c r="I1119" i="98"/>
  <c r="J1119" i="98"/>
  <c r="L1119" i="98"/>
  <c r="Q1119" i="98"/>
  <c r="B1120" i="98"/>
  <c r="F1120" i="98"/>
  <c r="G1120" i="98"/>
  <c r="H1120" i="98"/>
  <c r="I1120" i="98"/>
  <c r="J1120" i="98"/>
  <c r="L1120" i="98"/>
  <c r="Q1120" i="98"/>
  <c r="B1121" i="98"/>
  <c r="F1121" i="98"/>
  <c r="G1121" i="98"/>
  <c r="H1121" i="98"/>
  <c r="I1121" i="98"/>
  <c r="J1121" i="98"/>
  <c r="L1121" i="98"/>
  <c r="Q1121" i="98"/>
  <c r="B1122" i="98"/>
  <c r="F1122" i="98"/>
  <c r="G1122" i="98"/>
  <c r="H1122" i="98"/>
  <c r="I1122" i="98"/>
  <c r="J1122" i="98"/>
  <c r="L1122" i="98"/>
  <c r="Q1122" i="98"/>
  <c r="B1123" i="98"/>
  <c r="F1123" i="98"/>
  <c r="G1123" i="98"/>
  <c r="H1123" i="98"/>
  <c r="I1123" i="98"/>
  <c r="J1123" i="98"/>
  <c r="L1123" i="98"/>
  <c r="Q1123" i="98"/>
  <c r="B1124" i="98"/>
  <c r="F1124" i="98"/>
  <c r="G1124" i="98"/>
  <c r="H1124" i="98"/>
  <c r="I1124" i="98"/>
  <c r="J1124" i="98"/>
  <c r="L1124" i="98"/>
  <c r="Q1124" i="98"/>
  <c r="B1125" i="98"/>
  <c r="F1125" i="98"/>
  <c r="G1125" i="98"/>
  <c r="H1125" i="98"/>
  <c r="I1125" i="98"/>
  <c r="J1125" i="98"/>
  <c r="L1125" i="98"/>
  <c r="Q1125" i="98"/>
  <c r="B1126" i="98"/>
  <c r="F1126" i="98"/>
  <c r="G1126" i="98"/>
  <c r="H1126" i="98"/>
  <c r="I1126" i="98"/>
  <c r="J1126" i="98"/>
  <c r="L1126" i="98"/>
  <c r="Q1126" i="98"/>
  <c r="B1127" i="98"/>
  <c r="F1127" i="98"/>
  <c r="G1127" i="98"/>
  <c r="H1127" i="98"/>
  <c r="I1127" i="98"/>
  <c r="J1127" i="98"/>
  <c r="L1127" i="98"/>
  <c r="Q1127" i="98"/>
  <c r="B1128" i="98"/>
  <c r="F1128" i="98"/>
  <c r="G1128" i="98"/>
  <c r="H1128" i="98"/>
  <c r="I1128" i="98"/>
  <c r="J1128" i="98"/>
  <c r="L1128" i="98"/>
  <c r="Q1128" i="98"/>
  <c r="B1129" i="98"/>
  <c r="F1129" i="98"/>
  <c r="G1129" i="98"/>
  <c r="H1129" i="98"/>
  <c r="I1129" i="98"/>
  <c r="J1129" i="98"/>
  <c r="L1129" i="98"/>
  <c r="Q1129" i="98"/>
  <c r="B1130" i="98"/>
  <c r="F1130" i="98"/>
  <c r="G1130" i="98"/>
  <c r="H1130" i="98"/>
  <c r="I1130" i="98"/>
  <c r="J1130" i="98"/>
  <c r="L1130" i="98"/>
  <c r="Q1130" i="98"/>
  <c r="B1131" i="98"/>
  <c r="F1131" i="98"/>
  <c r="G1131" i="98"/>
  <c r="H1131" i="98"/>
  <c r="I1131" i="98"/>
  <c r="J1131" i="98"/>
  <c r="L1131" i="98"/>
  <c r="Q1131" i="98"/>
  <c r="B1132" i="98"/>
  <c r="F1132" i="98"/>
  <c r="G1132" i="98"/>
  <c r="H1132" i="98"/>
  <c r="I1132" i="98"/>
  <c r="J1132" i="98"/>
  <c r="L1132" i="98"/>
  <c r="Q1132" i="98"/>
  <c r="B1133" i="98"/>
  <c r="F1133" i="98"/>
  <c r="G1133" i="98"/>
  <c r="H1133" i="98"/>
  <c r="I1133" i="98"/>
  <c r="J1133" i="98"/>
  <c r="L1133" i="98"/>
  <c r="Q1133" i="98"/>
  <c r="B1134" i="98"/>
  <c r="F1134" i="98"/>
  <c r="G1134" i="98"/>
  <c r="H1134" i="98"/>
  <c r="I1134" i="98"/>
  <c r="J1134" i="98"/>
  <c r="L1134" i="98"/>
  <c r="Q1134" i="98"/>
  <c r="B1135" i="98"/>
  <c r="F1135" i="98"/>
  <c r="G1135" i="98"/>
  <c r="H1135" i="98"/>
  <c r="I1135" i="98"/>
  <c r="J1135" i="98"/>
  <c r="L1135" i="98"/>
  <c r="Q1135" i="98"/>
  <c r="B1136" i="98"/>
  <c r="F1136" i="98"/>
  <c r="G1136" i="98"/>
  <c r="H1136" i="98"/>
  <c r="I1136" i="98"/>
  <c r="J1136" i="98"/>
  <c r="L1136" i="98"/>
  <c r="Q1136" i="98"/>
  <c r="B1137" i="98"/>
  <c r="F1137" i="98"/>
  <c r="G1137" i="98"/>
  <c r="H1137" i="98"/>
  <c r="I1137" i="98"/>
  <c r="J1137" i="98"/>
  <c r="L1137" i="98"/>
  <c r="Q1137" i="98"/>
  <c r="B1138" i="98"/>
  <c r="F1138" i="98"/>
  <c r="G1138" i="98"/>
  <c r="H1138" i="98"/>
  <c r="I1138" i="98"/>
  <c r="J1138" i="98"/>
  <c r="L1138" i="98"/>
  <c r="Q1138" i="98"/>
  <c r="B1139" i="98"/>
  <c r="F1139" i="98"/>
  <c r="G1139" i="98"/>
  <c r="H1139" i="98"/>
  <c r="I1139" i="98"/>
  <c r="J1139" i="98"/>
  <c r="L1139" i="98"/>
  <c r="Q1139" i="98"/>
  <c r="B1140" i="98"/>
  <c r="F1140" i="98"/>
  <c r="G1140" i="98"/>
  <c r="H1140" i="98"/>
  <c r="I1140" i="98"/>
  <c r="J1140" i="98"/>
  <c r="L1140" i="98"/>
  <c r="Q1140" i="98"/>
  <c r="B1141" i="98"/>
  <c r="F1141" i="98"/>
  <c r="G1141" i="98"/>
  <c r="H1141" i="98"/>
  <c r="I1141" i="98"/>
  <c r="J1141" i="98"/>
  <c r="L1141" i="98"/>
  <c r="Q1141" i="98"/>
  <c r="B1142" i="98"/>
  <c r="F1142" i="98"/>
  <c r="G1142" i="98"/>
  <c r="H1142" i="98"/>
  <c r="I1142" i="98"/>
  <c r="J1142" i="98"/>
  <c r="L1142" i="98"/>
  <c r="Q1142" i="98"/>
  <c r="B1143" i="98"/>
  <c r="F1143" i="98"/>
  <c r="G1143" i="98"/>
  <c r="H1143" i="98"/>
  <c r="I1143" i="98"/>
  <c r="J1143" i="98"/>
  <c r="L1143" i="98"/>
  <c r="Q1143" i="98"/>
  <c r="B1144" i="98"/>
  <c r="F1144" i="98"/>
  <c r="G1144" i="98"/>
  <c r="H1144" i="98"/>
  <c r="I1144" i="98"/>
  <c r="J1144" i="98"/>
  <c r="L1144" i="98"/>
  <c r="Q1144" i="98"/>
  <c r="B1145" i="98"/>
  <c r="F1145" i="98"/>
  <c r="G1145" i="98"/>
  <c r="H1145" i="98"/>
  <c r="I1145" i="98"/>
  <c r="J1145" i="98"/>
  <c r="L1145" i="98"/>
  <c r="Q1145" i="98"/>
  <c r="B1146" i="98"/>
  <c r="F1146" i="98"/>
  <c r="G1146" i="98"/>
  <c r="H1146" i="98"/>
  <c r="I1146" i="98"/>
  <c r="J1146" i="98"/>
  <c r="L1146" i="98"/>
  <c r="Q1146" i="98"/>
  <c r="B1147" i="98"/>
  <c r="F1147" i="98"/>
  <c r="G1147" i="98"/>
  <c r="H1147" i="98"/>
  <c r="I1147" i="98"/>
  <c r="J1147" i="98"/>
  <c r="L1147" i="98"/>
  <c r="Q1147" i="98"/>
  <c r="B1148" i="98"/>
  <c r="F1148" i="98"/>
  <c r="G1148" i="98"/>
  <c r="H1148" i="98"/>
  <c r="I1148" i="98"/>
  <c r="J1148" i="98"/>
  <c r="L1148" i="98"/>
  <c r="Q1148" i="98"/>
  <c r="B1149" i="98"/>
  <c r="F1149" i="98"/>
  <c r="G1149" i="98"/>
  <c r="H1149" i="98"/>
  <c r="I1149" i="98"/>
  <c r="J1149" i="98"/>
  <c r="L1149" i="98"/>
  <c r="Q1149" i="98"/>
  <c r="B1150" i="98"/>
  <c r="F1150" i="98"/>
  <c r="G1150" i="98"/>
  <c r="H1150" i="98"/>
  <c r="I1150" i="98"/>
  <c r="J1150" i="98"/>
  <c r="L1150" i="98"/>
  <c r="Q1150" i="98"/>
  <c r="B1151" i="98"/>
  <c r="F1151" i="98"/>
  <c r="G1151" i="98"/>
  <c r="H1151" i="98"/>
  <c r="I1151" i="98"/>
  <c r="J1151" i="98"/>
  <c r="L1151" i="98"/>
  <c r="Q1151" i="98"/>
  <c r="B1152" i="98"/>
  <c r="F1152" i="98"/>
  <c r="G1152" i="98"/>
  <c r="H1152" i="98"/>
  <c r="I1152" i="98"/>
  <c r="J1152" i="98"/>
  <c r="L1152" i="98"/>
  <c r="Q1152" i="98"/>
  <c r="B1153" i="98"/>
  <c r="F1153" i="98"/>
  <c r="G1153" i="98"/>
  <c r="H1153" i="98"/>
  <c r="I1153" i="98"/>
  <c r="J1153" i="98"/>
  <c r="L1153" i="98"/>
  <c r="Q1153" i="98"/>
  <c r="B1154" i="98"/>
  <c r="F1154" i="98"/>
  <c r="G1154" i="98"/>
  <c r="H1154" i="98"/>
  <c r="I1154" i="98"/>
  <c r="J1154" i="98"/>
  <c r="L1154" i="98"/>
  <c r="Q1154" i="98"/>
  <c r="B1155" i="98"/>
  <c r="F1155" i="98"/>
  <c r="G1155" i="98"/>
  <c r="H1155" i="98"/>
  <c r="I1155" i="98"/>
  <c r="J1155" i="98"/>
  <c r="L1155" i="98"/>
  <c r="Q1155" i="98"/>
  <c r="B1156" i="98"/>
  <c r="F1156" i="98"/>
  <c r="G1156" i="98"/>
  <c r="H1156" i="98"/>
  <c r="I1156" i="98"/>
  <c r="J1156" i="98"/>
  <c r="L1156" i="98"/>
  <c r="Q1156" i="98"/>
  <c r="B1157" i="98"/>
  <c r="F1157" i="98"/>
  <c r="G1157" i="98"/>
  <c r="H1157" i="98"/>
  <c r="I1157" i="98"/>
  <c r="J1157" i="98"/>
  <c r="L1157" i="98"/>
  <c r="Q1157" i="98"/>
  <c r="B1158" i="98"/>
  <c r="F1158" i="98"/>
  <c r="G1158" i="98"/>
  <c r="H1158" i="98"/>
  <c r="I1158" i="98"/>
  <c r="J1158" i="98"/>
  <c r="L1158" i="98"/>
  <c r="Q1158" i="98"/>
  <c r="B1159" i="98"/>
  <c r="F1159" i="98"/>
  <c r="G1159" i="98"/>
  <c r="H1159" i="98"/>
  <c r="I1159" i="98"/>
  <c r="J1159" i="98"/>
  <c r="L1159" i="98"/>
  <c r="Q1159" i="98"/>
  <c r="B1160" i="98"/>
  <c r="F1160" i="98"/>
  <c r="G1160" i="98"/>
  <c r="H1160" i="98"/>
  <c r="I1160" i="98"/>
  <c r="J1160" i="98"/>
  <c r="L1160" i="98"/>
  <c r="Q1160" i="98"/>
  <c r="B1161" i="98"/>
  <c r="F1161" i="98"/>
  <c r="G1161" i="98"/>
  <c r="H1161" i="98"/>
  <c r="I1161" i="98"/>
  <c r="J1161" i="98"/>
  <c r="L1161" i="98"/>
  <c r="Q1161" i="98"/>
  <c r="B1162" i="98"/>
  <c r="F1162" i="98"/>
  <c r="G1162" i="98"/>
  <c r="H1162" i="98"/>
  <c r="I1162" i="98"/>
  <c r="J1162" i="98"/>
  <c r="L1162" i="98"/>
  <c r="Q1162" i="98"/>
  <c r="B1163" i="98"/>
  <c r="F1163" i="98"/>
  <c r="G1163" i="98"/>
  <c r="H1163" i="98"/>
  <c r="I1163" i="98"/>
  <c r="J1163" i="98"/>
  <c r="L1163" i="98"/>
  <c r="Q1163" i="98"/>
  <c r="B1164" i="98"/>
  <c r="F1164" i="98"/>
  <c r="G1164" i="98"/>
  <c r="H1164" i="98"/>
  <c r="I1164" i="98"/>
  <c r="J1164" i="98"/>
  <c r="L1164" i="98"/>
  <c r="Q1164" i="98"/>
  <c r="B1165" i="98"/>
  <c r="F1165" i="98"/>
  <c r="G1165" i="98"/>
  <c r="H1165" i="98"/>
  <c r="I1165" i="98"/>
  <c r="J1165" i="98"/>
  <c r="L1165" i="98"/>
  <c r="Q1165" i="98"/>
  <c r="B1166" i="98"/>
  <c r="F1166" i="98"/>
  <c r="G1166" i="98"/>
  <c r="H1166" i="98"/>
  <c r="I1166" i="98"/>
  <c r="J1166" i="98"/>
  <c r="L1166" i="98"/>
  <c r="Q1166" i="98"/>
  <c r="B1167" i="98"/>
  <c r="F1167" i="98"/>
  <c r="G1167" i="98"/>
  <c r="H1167" i="98"/>
  <c r="I1167" i="98"/>
  <c r="J1167" i="98"/>
  <c r="L1167" i="98"/>
  <c r="Q1167" i="98"/>
  <c r="B1168" i="98"/>
  <c r="F1168" i="98"/>
  <c r="G1168" i="98"/>
  <c r="H1168" i="98"/>
  <c r="I1168" i="98"/>
  <c r="J1168" i="98"/>
  <c r="L1168" i="98"/>
  <c r="Q1168" i="98"/>
  <c r="B1169" i="98"/>
  <c r="F1169" i="98"/>
  <c r="G1169" i="98"/>
  <c r="H1169" i="98"/>
  <c r="I1169" i="98"/>
  <c r="J1169" i="98"/>
  <c r="L1169" i="98"/>
  <c r="Q1169" i="98"/>
  <c r="B1170" i="98"/>
  <c r="F1170" i="98"/>
  <c r="G1170" i="98"/>
  <c r="H1170" i="98"/>
  <c r="I1170" i="98"/>
  <c r="J1170" i="98"/>
  <c r="L1170" i="98"/>
  <c r="Q1170" i="98"/>
  <c r="B1073" i="98"/>
  <c r="F1073" i="98"/>
  <c r="G1073" i="98"/>
  <c r="H1073" i="98"/>
  <c r="I1073" i="98"/>
  <c r="J1073" i="98"/>
  <c r="L1073" i="98"/>
  <c r="Q1073" i="98"/>
  <c r="B1074" i="98"/>
  <c r="F1074" i="98"/>
  <c r="G1074" i="98"/>
  <c r="H1074" i="98"/>
  <c r="I1074" i="98"/>
  <c r="J1074" i="98"/>
  <c r="L1074" i="98"/>
  <c r="Q1074" i="98"/>
  <c r="B1075" i="98"/>
  <c r="F1075" i="98"/>
  <c r="G1075" i="98"/>
  <c r="H1075" i="98"/>
  <c r="I1075" i="98"/>
  <c r="J1075" i="98"/>
  <c r="L1075" i="98"/>
  <c r="Q1075" i="98"/>
  <c r="B1076" i="98"/>
  <c r="F1076" i="98"/>
  <c r="G1076" i="98"/>
  <c r="H1076" i="98"/>
  <c r="I1076" i="98"/>
  <c r="J1076" i="98"/>
  <c r="L1076" i="98"/>
  <c r="Q1076" i="98"/>
  <c r="B1077" i="98"/>
  <c r="F1077" i="98"/>
  <c r="G1077" i="98"/>
  <c r="H1077" i="98"/>
  <c r="I1077" i="98"/>
  <c r="J1077" i="98"/>
  <c r="L1077" i="98"/>
  <c r="Q1077" i="98"/>
  <c r="B1078" i="98"/>
  <c r="F1078" i="98"/>
  <c r="G1078" i="98"/>
  <c r="H1078" i="98"/>
  <c r="I1078" i="98"/>
  <c r="J1078" i="98"/>
  <c r="L1078" i="98"/>
  <c r="Q1078" i="98"/>
  <c r="B1079" i="98"/>
  <c r="F1079" i="98"/>
  <c r="G1079" i="98"/>
  <c r="H1079" i="98"/>
  <c r="I1079" i="98"/>
  <c r="J1079" i="98"/>
  <c r="L1079" i="98"/>
  <c r="Q1079" i="98"/>
  <c r="B1080" i="98"/>
  <c r="F1080" i="98"/>
  <c r="G1080" i="98"/>
  <c r="H1080" i="98"/>
  <c r="I1080" i="98"/>
  <c r="J1080" i="98"/>
  <c r="L1080" i="98"/>
  <c r="Q1080" i="98"/>
  <c r="B1081" i="98"/>
  <c r="F1081" i="98"/>
  <c r="G1081" i="98"/>
  <c r="H1081" i="98"/>
  <c r="I1081" i="98"/>
  <c r="J1081" i="98"/>
  <c r="L1081" i="98"/>
  <c r="Q1081" i="98"/>
  <c r="B1082" i="98"/>
  <c r="F1082" i="98"/>
  <c r="G1082" i="98"/>
  <c r="H1082" i="98"/>
  <c r="I1082" i="98"/>
  <c r="J1082" i="98"/>
  <c r="L1082" i="98"/>
  <c r="Q1082" i="98"/>
  <c r="B1083" i="98"/>
  <c r="F1083" i="98"/>
  <c r="G1083" i="98"/>
  <c r="H1083" i="98"/>
  <c r="I1083" i="98"/>
  <c r="J1083" i="98"/>
  <c r="L1083" i="98"/>
  <c r="Q1083" i="98"/>
  <c r="B1084" i="98"/>
  <c r="F1084" i="98"/>
  <c r="G1084" i="98"/>
  <c r="H1084" i="98"/>
  <c r="I1084" i="98"/>
  <c r="J1084" i="98"/>
  <c r="L1084" i="98"/>
  <c r="Q1084" i="98"/>
  <c r="B1085" i="98"/>
  <c r="F1085" i="98"/>
  <c r="G1085" i="98"/>
  <c r="H1085" i="98"/>
  <c r="I1085" i="98"/>
  <c r="J1085" i="98"/>
  <c r="L1085" i="98"/>
  <c r="Q1085" i="98"/>
  <c r="B1086" i="98"/>
  <c r="F1086" i="98"/>
  <c r="G1086" i="98"/>
  <c r="H1086" i="98"/>
  <c r="I1086" i="98"/>
  <c r="J1086" i="98"/>
  <c r="L1086" i="98"/>
  <c r="Q1086" i="98"/>
  <c r="B1087" i="98"/>
  <c r="F1087" i="98"/>
  <c r="G1087" i="98"/>
  <c r="H1087" i="98"/>
  <c r="I1087" i="98"/>
  <c r="J1087" i="98"/>
  <c r="L1087" i="98"/>
  <c r="Q1087" i="98"/>
  <c r="B1088" i="98"/>
  <c r="F1088" i="98"/>
  <c r="G1088" i="98"/>
  <c r="H1088" i="98"/>
  <c r="I1088" i="98"/>
  <c r="J1088" i="98"/>
  <c r="L1088" i="98"/>
  <c r="Q1088" i="98"/>
  <c r="B1089" i="98"/>
  <c r="F1089" i="98"/>
  <c r="G1089" i="98"/>
  <c r="H1089" i="98"/>
  <c r="I1089" i="98"/>
  <c r="J1089" i="98"/>
  <c r="L1089" i="98"/>
  <c r="Q1089" i="98"/>
  <c r="B1090" i="98"/>
  <c r="F1090" i="98"/>
  <c r="G1090" i="98"/>
  <c r="H1090" i="98"/>
  <c r="I1090" i="98"/>
  <c r="J1090" i="98"/>
  <c r="L1090" i="98"/>
  <c r="Q1090" i="98"/>
  <c r="B1091" i="98"/>
  <c r="F1091" i="98"/>
  <c r="G1091" i="98"/>
  <c r="H1091" i="98"/>
  <c r="I1091" i="98"/>
  <c r="J1091" i="98"/>
  <c r="L1091" i="98"/>
  <c r="Q1091" i="98"/>
  <c r="B1092" i="98"/>
  <c r="F1092" i="98"/>
  <c r="G1092" i="98"/>
  <c r="H1092" i="98"/>
  <c r="I1092" i="98"/>
  <c r="J1092" i="98"/>
  <c r="L1092" i="98"/>
  <c r="Q1092" i="98"/>
  <c r="B1093" i="98"/>
  <c r="F1093" i="98"/>
  <c r="G1093" i="98"/>
  <c r="H1093" i="98"/>
  <c r="I1093" i="98"/>
  <c r="J1093" i="98"/>
  <c r="L1093" i="98"/>
  <c r="Q1093" i="98"/>
  <c r="B1094" i="98"/>
  <c r="F1094" i="98"/>
  <c r="G1094" i="98"/>
  <c r="H1094" i="98"/>
  <c r="I1094" i="98"/>
  <c r="J1094" i="98"/>
  <c r="L1094" i="98"/>
  <c r="Q1094" i="98"/>
  <c r="B1095" i="98"/>
  <c r="F1095" i="98"/>
  <c r="G1095" i="98"/>
  <c r="H1095" i="98"/>
  <c r="I1095" i="98"/>
  <c r="J1095" i="98"/>
  <c r="L1095" i="98"/>
  <c r="Q1095" i="98"/>
  <c r="B1096" i="98"/>
  <c r="F1096" i="98"/>
  <c r="G1096" i="98"/>
  <c r="H1096" i="98"/>
  <c r="I1096" i="98"/>
  <c r="J1096" i="98"/>
  <c r="L1096" i="98"/>
  <c r="Q1096" i="98"/>
  <c r="B1097" i="98"/>
  <c r="F1097" i="98"/>
  <c r="G1097" i="98"/>
  <c r="H1097" i="98"/>
  <c r="I1097" i="98"/>
  <c r="J1097" i="98"/>
  <c r="L1097" i="98"/>
  <c r="Q1097" i="98"/>
  <c r="B1098" i="98"/>
  <c r="F1098" i="98"/>
  <c r="G1098" i="98"/>
  <c r="H1098" i="98"/>
  <c r="I1098" i="98"/>
  <c r="J1098" i="98"/>
  <c r="L1098" i="98"/>
  <c r="Q1098" i="98"/>
  <c r="B1099" i="98"/>
  <c r="F1099" i="98"/>
  <c r="G1099" i="98"/>
  <c r="H1099" i="98"/>
  <c r="I1099" i="98"/>
  <c r="J1099" i="98"/>
  <c r="L1099" i="98"/>
  <c r="Q1099" i="98"/>
  <c r="B1057" i="98"/>
  <c r="F1057" i="98"/>
  <c r="G1057" i="98"/>
  <c r="H1057" i="98"/>
  <c r="I1057" i="98"/>
  <c r="J1057" i="98"/>
  <c r="L1057" i="98"/>
  <c r="Q1057" i="98"/>
  <c r="B1058" i="98"/>
  <c r="F1058" i="98"/>
  <c r="G1058" i="98"/>
  <c r="H1058" i="98"/>
  <c r="I1058" i="98"/>
  <c r="J1058" i="98"/>
  <c r="L1058" i="98"/>
  <c r="Q1058" i="98"/>
  <c r="B1059" i="98"/>
  <c r="F1059" i="98"/>
  <c r="G1059" i="98"/>
  <c r="I1059" i="98"/>
  <c r="J1059" i="98"/>
  <c r="L1059" i="98"/>
  <c r="Q1059" i="98"/>
  <c r="B1060" i="98"/>
  <c r="F1060" i="98"/>
  <c r="G1060" i="98"/>
  <c r="H1060" i="98"/>
  <c r="I1060" i="98"/>
  <c r="J1060" i="98"/>
  <c r="L1060" i="98"/>
  <c r="Q1060" i="98"/>
  <c r="B1061" i="98"/>
  <c r="F1061" i="98"/>
  <c r="G1061" i="98"/>
  <c r="H1061" i="98"/>
  <c r="I1061" i="98"/>
  <c r="J1061" i="98"/>
  <c r="L1061" i="98"/>
  <c r="Q1061" i="98"/>
  <c r="B1062" i="98"/>
  <c r="F1062" i="98"/>
  <c r="G1062" i="98"/>
  <c r="H1062" i="98"/>
  <c r="I1062" i="98"/>
  <c r="J1062" i="98"/>
  <c r="L1062" i="98"/>
  <c r="Q1062" i="98"/>
  <c r="B1063" i="98"/>
  <c r="F1063" i="98"/>
  <c r="G1063" i="98"/>
  <c r="H1063" i="98"/>
  <c r="I1063" i="98"/>
  <c r="J1063" i="98"/>
  <c r="L1063" i="98"/>
  <c r="Q1063" i="98"/>
  <c r="B1064" i="98"/>
  <c r="F1064" i="98"/>
  <c r="G1064" i="98"/>
  <c r="H1064" i="98"/>
  <c r="I1064" i="98"/>
  <c r="J1064" i="98"/>
  <c r="L1064" i="98"/>
  <c r="Q1064" i="98"/>
  <c r="B1065" i="98"/>
  <c r="F1065" i="98"/>
  <c r="G1065" i="98"/>
  <c r="H1065" i="98"/>
  <c r="I1065" i="98"/>
  <c r="J1065" i="98"/>
  <c r="L1065" i="98"/>
  <c r="Q1065" i="98"/>
  <c r="B1066" i="98"/>
  <c r="F1066" i="98"/>
  <c r="G1066" i="98"/>
  <c r="H1066" i="98"/>
  <c r="I1066" i="98"/>
  <c r="J1066" i="98"/>
  <c r="L1066" i="98"/>
  <c r="Q1066" i="98"/>
  <c r="B1067" i="98"/>
  <c r="F1067" i="98"/>
  <c r="G1067" i="98"/>
  <c r="H1067" i="98"/>
  <c r="I1067" i="98"/>
  <c r="J1067" i="98"/>
  <c r="L1067" i="98"/>
  <c r="Q1067" i="98"/>
  <c r="B1068" i="98"/>
  <c r="F1068" i="98"/>
  <c r="G1068" i="98"/>
  <c r="H1068" i="98"/>
  <c r="I1068" i="98"/>
  <c r="J1068" i="98"/>
  <c r="L1068" i="98"/>
  <c r="Q1068" i="98"/>
  <c r="B1069" i="98"/>
  <c r="F1069" i="98"/>
  <c r="G1069" i="98"/>
  <c r="H1069" i="98"/>
  <c r="I1069" i="98"/>
  <c r="J1069" i="98"/>
  <c r="L1069" i="98"/>
  <c r="Q1069" i="98"/>
  <c r="B1070" i="98"/>
  <c r="F1070" i="98"/>
  <c r="G1070" i="98"/>
  <c r="H1070" i="98"/>
  <c r="I1070" i="98"/>
  <c r="J1070" i="98"/>
  <c r="L1070" i="98"/>
  <c r="Q1070" i="98"/>
  <c r="B1071" i="98"/>
  <c r="F1071" i="98"/>
  <c r="G1071" i="98"/>
  <c r="H1071" i="98"/>
  <c r="I1071" i="98"/>
  <c r="J1071" i="98"/>
  <c r="L1071" i="98"/>
  <c r="Q1071" i="98"/>
  <c r="B1072" i="98"/>
  <c r="F1072" i="98"/>
  <c r="G1072" i="98"/>
  <c r="H1072" i="98"/>
  <c r="I1072" i="98"/>
  <c r="J1072" i="98"/>
  <c r="L1072" i="98"/>
  <c r="Q1072" i="98"/>
  <c r="B1005" i="98"/>
  <c r="F1005" i="98"/>
  <c r="G1005" i="98"/>
  <c r="H1005" i="98"/>
  <c r="I1005" i="98"/>
  <c r="J1005" i="98"/>
  <c r="L1005" i="98"/>
  <c r="Q1005" i="98"/>
  <c r="B1006" i="98"/>
  <c r="F1006" i="98"/>
  <c r="G1006" i="98"/>
  <c r="H1006" i="98"/>
  <c r="I1006" i="98"/>
  <c r="J1006" i="98"/>
  <c r="L1006" i="98"/>
  <c r="Q1006" i="98"/>
  <c r="B1007" i="98"/>
  <c r="F1007" i="98"/>
  <c r="G1007" i="98"/>
  <c r="H1007" i="98"/>
  <c r="I1007" i="98"/>
  <c r="J1007" i="98"/>
  <c r="L1007" i="98"/>
  <c r="Q1007" i="98"/>
  <c r="B1008" i="98"/>
  <c r="F1008" i="98"/>
  <c r="G1008" i="98"/>
  <c r="H1008" i="98"/>
  <c r="I1008" i="98"/>
  <c r="J1008" i="98"/>
  <c r="L1008" i="98"/>
  <c r="Q1008" i="98"/>
  <c r="B1009" i="98"/>
  <c r="F1009" i="98"/>
  <c r="G1009" i="98"/>
  <c r="H1009" i="98"/>
  <c r="I1009" i="98"/>
  <c r="J1009" i="98"/>
  <c r="L1009" i="98"/>
  <c r="Q1009" i="98"/>
  <c r="B1010" i="98"/>
  <c r="F1010" i="98"/>
  <c r="G1010" i="98"/>
  <c r="H1010" i="98"/>
  <c r="I1010" i="98"/>
  <c r="J1010" i="98"/>
  <c r="L1010" i="98"/>
  <c r="Q1010" i="98"/>
  <c r="B1011" i="98"/>
  <c r="F1011" i="98"/>
  <c r="G1011" i="98"/>
  <c r="H1011" i="98"/>
  <c r="I1011" i="98"/>
  <c r="J1011" i="98"/>
  <c r="L1011" i="98"/>
  <c r="Q1011" i="98"/>
  <c r="B1012" i="98"/>
  <c r="F1012" i="98"/>
  <c r="G1012" i="98"/>
  <c r="H1012" i="98"/>
  <c r="I1012" i="98"/>
  <c r="J1012" i="98"/>
  <c r="L1012" i="98"/>
  <c r="Q1012" i="98"/>
  <c r="B1013" i="98"/>
  <c r="F1013" i="98"/>
  <c r="G1013" i="98"/>
  <c r="H1013" i="98"/>
  <c r="I1013" i="98"/>
  <c r="J1013" i="98"/>
  <c r="L1013" i="98"/>
  <c r="Q1013" i="98"/>
  <c r="B1014" i="98"/>
  <c r="F1014" i="98"/>
  <c r="G1014" i="98"/>
  <c r="H1014" i="98"/>
  <c r="I1014" i="98"/>
  <c r="J1014" i="98"/>
  <c r="L1014" i="98"/>
  <c r="Q1014" i="98"/>
  <c r="B1015" i="98"/>
  <c r="F1015" i="98"/>
  <c r="G1015" i="98"/>
  <c r="H1015" i="98"/>
  <c r="I1015" i="98"/>
  <c r="J1015" i="98"/>
  <c r="L1015" i="98"/>
  <c r="Q1015" i="98"/>
  <c r="B1016" i="98"/>
  <c r="F1016" i="98"/>
  <c r="G1016" i="98"/>
  <c r="H1016" i="98"/>
  <c r="I1016" i="98"/>
  <c r="J1016" i="98"/>
  <c r="L1016" i="98"/>
  <c r="Q1016" i="98"/>
  <c r="B1017" i="98"/>
  <c r="F1017" i="98"/>
  <c r="G1017" i="98"/>
  <c r="H1017" i="98"/>
  <c r="I1017" i="98"/>
  <c r="J1017" i="98"/>
  <c r="L1017" i="98"/>
  <c r="Q1017" i="98"/>
  <c r="B1018" i="98"/>
  <c r="F1018" i="98"/>
  <c r="G1018" i="98"/>
  <c r="H1018" i="98"/>
  <c r="I1018" i="98"/>
  <c r="J1018" i="98"/>
  <c r="L1018" i="98"/>
  <c r="Q1018" i="98"/>
  <c r="B1019" i="98"/>
  <c r="F1019" i="98"/>
  <c r="G1019" i="98"/>
  <c r="H1019" i="98"/>
  <c r="I1019" i="98"/>
  <c r="J1019" i="98"/>
  <c r="L1019" i="98"/>
  <c r="Q1019" i="98"/>
  <c r="B1020" i="98"/>
  <c r="F1020" i="98"/>
  <c r="G1020" i="98"/>
  <c r="H1020" i="98"/>
  <c r="I1020" i="98"/>
  <c r="J1020" i="98"/>
  <c r="L1020" i="98"/>
  <c r="Q1020" i="98"/>
  <c r="B1021" i="98"/>
  <c r="F1021" i="98"/>
  <c r="G1021" i="98"/>
  <c r="H1021" i="98"/>
  <c r="I1021" i="98"/>
  <c r="J1021" i="98"/>
  <c r="L1021" i="98"/>
  <c r="Q1021" i="98"/>
  <c r="B1022" i="98"/>
  <c r="F1022" i="98"/>
  <c r="G1022" i="98"/>
  <c r="H1022" i="98"/>
  <c r="I1022" i="98"/>
  <c r="J1022" i="98"/>
  <c r="L1022" i="98"/>
  <c r="Q1022" i="98"/>
  <c r="B1023" i="98"/>
  <c r="F1023" i="98"/>
  <c r="G1023" i="98"/>
  <c r="H1023" i="98"/>
  <c r="I1023" i="98"/>
  <c r="J1023" i="98"/>
  <c r="L1023" i="98"/>
  <c r="Q1023" i="98"/>
  <c r="B1024" i="98"/>
  <c r="F1024" i="98"/>
  <c r="G1024" i="98"/>
  <c r="H1024" i="98"/>
  <c r="I1024" i="98"/>
  <c r="J1024" i="98"/>
  <c r="L1024" i="98"/>
  <c r="Q1024" i="98"/>
  <c r="B1025" i="98"/>
  <c r="F1025" i="98"/>
  <c r="G1025" i="98"/>
  <c r="H1025" i="98"/>
  <c r="I1025" i="98"/>
  <c r="J1025" i="98"/>
  <c r="L1025" i="98"/>
  <c r="Q1025" i="98"/>
  <c r="B1026" i="98"/>
  <c r="F1026" i="98"/>
  <c r="G1026" i="98"/>
  <c r="H1026" i="98"/>
  <c r="I1026" i="98"/>
  <c r="J1026" i="98"/>
  <c r="L1026" i="98"/>
  <c r="Q1026" i="98"/>
  <c r="B1027" i="98"/>
  <c r="F1027" i="98"/>
  <c r="G1027" i="98"/>
  <c r="H1027" i="98"/>
  <c r="I1027" i="98"/>
  <c r="J1027" i="98"/>
  <c r="L1027" i="98"/>
  <c r="Q1027" i="98"/>
  <c r="B1028" i="98"/>
  <c r="F1028" i="98"/>
  <c r="G1028" i="98"/>
  <c r="H1028" i="98"/>
  <c r="I1028" i="98"/>
  <c r="J1028" i="98"/>
  <c r="L1028" i="98"/>
  <c r="Q1028" i="98"/>
  <c r="B1029" i="98"/>
  <c r="F1029" i="98"/>
  <c r="G1029" i="98"/>
  <c r="H1029" i="98"/>
  <c r="I1029" i="98"/>
  <c r="J1029" i="98"/>
  <c r="L1029" i="98"/>
  <c r="Q1029" i="98"/>
  <c r="B1030" i="98"/>
  <c r="F1030" i="98"/>
  <c r="G1030" i="98"/>
  <c r="H1030" i="98"/>
  <c r="I1030" i="98"/>
  <c r="J1030" i="98"/>
  <c r="L1030" i="98"/>
  <c r="Q1030" i="98"/>
  <c r="B1031" i="98"/>
  <c r="F1031" i="98"/>
  <c r="G1031" i="98"/>
  <c r="H1031" i="98"/>
  <c r="I1031" i="98"/>
  <c r="J1031" i="98"/>
  <c r="L1031" i="98"/>
  <c r="Q1031" i="98"/>
  <c r="B1032" i="98"/>
  <c r="F1032" i="98"/>
  <c r="G1032" i="98"/>
  <c r="H1032" i="98"/>
  <c r="I1032" i="98"/>
  <c r="J1032" i="98"/>
  <c r="L1032" i="98"/>
  <c r="Q1032" i="98"/>
  <c r="B1033" i="98"/>
  <c r="F1033" i="98"/>
  <c r="G1033" i="98"/>
  <c r="H1033" i="98"/>
  <c r="I1033" i="98"/>
  <c r="J1033" i="98"/>
  <c r="L1033" i="98"/>
  <c r="Q1033" i="98"/>
  <c r="B1034" i="98"/>
  <c r="F1034" i="98"/>
  <c r="G1034" i="98"/>
  <c r="H1034" i="98"/>
  <c r="I1034" i="98"/>
  <c r="J1034" i="98"/>
  <c r="L1034" i="98"/>
  <c r="Q1034" i="98"/>
  <c r="B1035" i="98"/>
  <c r="F1035" i="98"/>
  <c r="G1035" i="98"/>
  <c r="H1035" i="98"/>
  <c r="I1035" i="98"/>
  <c r="J1035" i="98"/>
  <c r="L1035" i="98"/>
  <c r="Q1035" i="98"/>
  <c r="B1036" i="98"/>
  <c r="F1036" i="98"/>
  <c r="G1036" i="98"/>
  <c r="H1036" i="98"/>
  <c r="I1036" i="98"/>
  <c r="J1036" i="98"/>
  <c r="L1036" i="98"/>
  <c r="Q1036" i="98"/>
  <c r="B1037" i="98"/>
  <c r="F1037" i="98"/>
  <c r="G1037" i="98"/>
  <c r="H1037" i="98"/>
  <c r="I1037" i="98"/>
  <c r="J1037" i="98"/>
  <c r="L1037" i="98"/>
  <c r="Q1037" i="98"/>
  <c r="B1038" i="98"/>
  <c r="F1038" i="98"/>
  <c r="G1038" i="98"/>
  <c r="H1038" i="98"/>
  <c r="I1038" i="98"/>
  <c r="J1038" i="98"/>
  <c r="L1038" i="98"/>
  <c r="Q1038" i="98"/>
  <c r="B1039" i="98"/>
  <c r="F1039" i="98"/>
  <c r="G1039" i="98"/>
  <c r="H1039" i="98"/>
  <c r="I1039" i="98"/>
  <c r="J1039" i="98"/>
  <c r="L1039" i="98"/>
  <c r="Q1039" i="98"/>
  <c r="B1040" i="98"/>
  <c r="F1040" i="98"/>
  <c r="G1040" i="98"/>
  <c r="H1040" i="98"/>
  <c r="I1040" i="98"/>
  <c r="J1040" i="98"/>
  <c r="L1040" i="98"/>
  <c r="Q1040" i="98"/>
  <c r="B1041" i="98"/>
  <c r="F1041" i="98"/>
  <c r="G1041" i="98"/>
  <c r="H1041" i="98"/>
  <c r="I1041" i="98"/>
  <c r="J1041" i="98"/>
  <c r="L1041" i="98"/>
  <c r="Q1041" i="98"/>
  <c r="B1042" i="98"/>
  <c r="F1042" i="98"/>
  <c r="G1042" i="98"/>
  <c r="H1042" i="98"/>
  <c r="I1042" i="98"/>
  <c r="J1042" i="98"/>
  <c r="L1042" i="98"/>
  <c r="Q1042" i="98"/>
  <c r="B1043" i="98"/>
  <c r="F1043" i="98"/>
  <c r="G1043" i="98"/>
  <c r="H1043" i="98"/>
  <c r="I1043" i="98"/>
  <c r="J1043" i="98"/>
  <c r="L1043" i="98"/>
  <c r="Q1043" i="98"/>
  <c r="B1044" i="98"/>
  <c r="F1044" i="98"/>
  <c r="G1044" i="98"/>
  <c r="H1044" i="98"/>
  <c r="I1044" i="98"/>
  <c r="J1044" i="98"/>
  <c r="L1044" i="98"/>
  <c r="Q1044" i="98"/>
  <c r="B1045" i="98"/>
  <c r="F1045" i="98"/>
  <c r="G1045" i="98"/>
  <c r="H1045" i="98"/>
  <c r="I1045" i="98"/>
  <c r="J1045" i="98"/>
  <c r="L1045" i="98"/>
  <c r="Q1045" i="98"/>
  <c r="B1046" i="98"/>
  <c r="F1046" i="98"/>
  <c r="G1046" i="98"/>
  <c r="H1046" i="98"/>
  <c r="I1046" i="98"/>
  <c r="J1046" i="98"/>
  <c r="L1046" i="98"/>
  <c r="Q1046" i="98"/>
  <c r="B1047" i="98"/>
  <c r="F1047" i="98"/>
  <c r="G1047" i="98"/>
  <c r="H1047" i="98"/>
  <c r="I1047" i="98"/>
  <c r="J1047" i="98"/>
  <c r="L1047" i="98"/>
  <c r="Q1047" i="98"/>
  <c r="B1048" i="98"/>
  <c r="F1048" i="98"/>
  <c r="G1048" i="98"/>
  <c r="H1048" i="98"/>
  <c r="I1048" i="98"/>
  <c r="J1048" i="98"/>
  <c r="L1048" i="98"/>
  <c r="Q1048" i="98"/>
  <c r="B1049" i="98"/>
  <c r="F1049" i="98"/>
  <c r="G1049" i="98"/>
  <c r="I1049" i="98"/>
  <c r="J1049" i="98"/>
  <c r="L1049" i="98"/>
  <c r="Q1049" i="98"/>
  <c r="B1050" i="98"/>
  <c r="F1050" i="98"/>
  <c r="G1050" i="98"/>
  <c r="H1050" i="98"/>
  <c r="I1050" i="98"/>
  <c r="J1050" i="98"/>
  <c r="L1050" i="98"/>
  <c r="Q1050" i="98"/>
  <c r="B1051" i="98"/>
  <c r="F1051" i="98"/>
  <c r="G1051" i="98"/>
  <c r="H1051" i="98"/>
  <c r="I1051" i="98"/>
  <c r="J1051" i="98"/>
  <c r="L1051" i="98"/>
  <c r="Q1051" i="98"/>
  <c r="B1052" i="98"/>
  <c r="F1052" i="98"/>
  <c r="G1052" i="98"/>
  <c r="H1052" i="98"/>
  <c r="I1052" i="98"/>
  <c r="J1052" i="98"/>
  <c r="L1052" i="98"/>
  <c r="Q1052" i="98"/>
  <c r="B1053" i="98"/>
  <c r="F1053" i="98"/>
  <c r="G1053" i="98"/>
  <c r="H1053" i="98"/>
  <c r="I1053" i="98"/>
  <c r="J1053" i="98"/>
  <c r="L1053" i="98"/>
  <c r="Q1053" i="98"/>
  <c r="B1054" i="98"/>
  <c r="F1054" i="98"/>
  <c r="G1054" i="98"/>
  <c r="H1054" i="98"/>
  <c r="I1054" i="98"/>
  <c r="J1054" i="98"/>
  <c r="L1054" i="98"/>
  <c r="Q1054" i="98"/>
  <c r="B1055" i="98"/>
  <c r="F1055" i="98"/>
  <c r="G1055" i="98"/>
  <c r="H1055" i="98"/>
  <c r="I1055" i="98"/>
  <c r="J1055" i="98"/>
  <c r="L1055" i="98"/>
  <c r="Q1055" i="98"/>
  <c r="B1056" i="98"/>
  <c r="F1056" i="98"/>
  <c r="G1056" i="98"/>
  <c r="H1056" i="98"/>
  <c r="I1056" i="98"/>
  <c r="J1056" i="98"/>
  <c r="L1056" i="98"/>
  <c r="Q1056" i="98"/>
  <c r="B1002" i="98"/>
  <c r="F1002" i="98"/>
  <c r="G1002" i="98"/>
  <c r="H1002" i="98"/>
  <c r="I1002" i="98"/>
  <c r="J1002" i="98"/>
  <c r="L1002" i="98"/>
  <c r="Q1002" i="98"/>
  <c r="B1003" i="98"/>
  <c r="F1003" i="98"/>
  <c r="G1003" i="98"/>
  <c r="H1003" i="98"/>
  <c r="I1003" i="98"/>
  <c r="J1003" i="98"/>
  <c r="L1003" i="98"/>
  <c r="Q1003" i="98"/>
  <c r="B1004" i="98"/>
  <c r="F1004" i="98"/>
  <c r="G1004" i="98"/>
  <c r="H1004" i="98"/>
  <c r="I1004" i="98"/>
  <c r="J1004" i="98"/>
  <c r="L1004" i="98"/>
  <c r="Q1004" i="98"/>
  <c r="B973" i="98"/>
  <c r="F973" i="98"/>
  <c r="G973" i="98"/>
  <c r="H973" i="98"/>
  <c r="I973" i="98"/>
  <c r="J973" i="98"/>
  <c r="L973" i="98"/>
  <c r="Q973" i="98"/>
  <c r="B974" i="98"/>
  <c r="F974" i="98"/>
  <c r="G974" i="98"/>
  <c r="I974" i="98"/>
  <c r="J974" i="98"/>
  <c r="L974" i="98"/>
  <c r="Q974" i="98"/>
  <c r="B975" i="98"/>
  <c r="F975" i="98"/>
  <c r="G975" i="98"/>
  <c r="H975" i="98"/>
  <c r="I975" i="98"/>
  <c r="J975" i="98"/>
  <c r="L975" i="98"/>
  <c r="Q975" i="98"/>
  <c r="B976" i="98"/>
  <c r="F976" i="98"/>
  <c r="G976" i="98"/>
  <c r="H976" i="98"/>
  <c r="I976" i="98"/>
  <c r="J976" i="98"/>
  <c r="L976" i="98"/>
  <c r="Q976" i="98"/>
  <c r="B977" i="98"/>
  <c r="F977" i="98"/>
  <c r="G977" i="98"/>
  <c r="H977" i="98"/>
  <c r="I977" i="98"/>
  <c r="J977" i="98"/>
  <c r="L977" i="98"/>
  <c r="Q977" i="98"/>
  <c r="B978" i="98"/>
  <c r="F978" i="98"/>
  <c r="G978" i="98"/>
  <c r="H978" i="98"/>
  <c r="I978" i="98"/>
  <c r="J978" i="98"/>
  <c r="L978" i="98"/>
  <c r="Q978" i="98"/>
  <c r="B979" i="98"/>
  <c r="F979" i="98"/>
  <c r="G979" i="98"/>
  <c r="H979" i="98"/>
  <c r="I979" i="98"/>
  <c r="J979" i="98"/>
  <c r="L979" i="98"/>
  <c r="Q979" i="98"/>
  <c r="B980" i="98"/>
  <c r="F980" i="98"/>
  <c r="G980" i="98"/>
  <c r="H980" i="98"/>
  <c r="I980" i="98"/>
  <c r="J980" i="98"/>
  <c r="L980" i="98"/>
  <c r="Q980" i="98"/>
  <c r="B981" i="98"/>
  <c r="F981" i="98"/>
  <c r="G981" i="98"/>
  <c r="H981" i="98"/>
  <c r="I981" i="98"/>
  <c r="J981" i="98"/>
  <c r="L981" i="98"/>
  <c r="Q981" i="98"/>
  <c r="B982" i="98"/>
  <c r="F982" i="98"/>
  <c r="G982" i="98"/>
  <c r="I982" i="98"/>
  <c r="J982" i="98"/>
  <c r="L982" i="98"/>
  <c r="Q982" i="98"/>
  <c r="B983" i="98"/>
  <c r="F983" i="98"/>
  <c r="G983" i="98"/>
  <c r="H983" i="98"/>
  <c r="I983" i="98"/>
  <c r="J983" i="98"/>
  <c r="L983" i="98"/>
  <c r="Q983" i="98"/>
  <c r="B984" i="98"/>
  <c r="F984" i="98"/>
  <c r="G984" i="98"/>
  <c r="H984" i="98"/>
  <c r="I984" i="98"/>
  <c r="J984" i="98"/>
  <c r="L984" i="98"/>
  <c r="Q984" i="98"/>
  <c r="B985" i="98"/>
  <c r="F985" i="98"/>
  <c r="G985" i="98"/>
  <c r="H985" i="98"/>
  <c r="I985" i="98"/>
  <c r="J985" i="98"/>
  <c r="L985" i="98"/>
  <c r="Q985" i="98"/>
  <c r="B986" i="98"/>
  <c r="F986" i="98"/>
  <c r="G986" i="98"/>
  <c r="H986" i="98"/>
  <c r="I986" i="98"/>
  <c r="J986" i="98"/>
  <c r="L986" i="98"/>
  <c r="Q986" i="98"/>
  <c r="B987" i="98"/>
  <c r="F987" i="98"/>
  <c r="G987" i="98"/>
  <c r="H987" i="98"/>
  <c r="I987" i="98"/>
  <c r="J987" i="98"/>
  <c r="L987" i="98"/>
  <c r="Q987" i="98"/>
  <c r="B988" i="98"/>
  <c r="F988" i="98"/>
  <c r="G988" i="98"/>
  <c r="H988" i="98"/>
  <c r="I988" i="98"/>
  <c r="J988" i="98"/>
  <c r="L988" i="98"/>
  <c r="Q988" i="98"/>
  <c r="B989" i="98"/>
  <c r="F989" i="98"/>
  <c r="G989" i="98"/>
  <c r="H989" i="98"/>
  <c r="I989" i="98"/>
  <c r="J989" i="98"/>
  <c r="L989" i="98"/>
  <c r="Q989" i="98"/>
  <c r="B990" i="98"/>
  <c r="F990" i="98"/>
  <c r="G990" i="98"/>
  <c r="H990" i="98"/>
  <c r="I990" i="98"/>
  <c r="J990" i="98"/>
  <c r="L990" i="98"/>
  <c r="Q990" i="98"/>
  <c r="B991" i="98"/>
  <c r="F991" i="98"/>
  <c r="G991" i="98"/>
  <c r="H991" i="98"/>
  <c r="I991" i="98"/>
  <c r="J991" i="98"/>
  <c r="L991" i="98"/>
  <c r="Q991" i="98"/>
  <c r="B992" i="98"/>
  <c r="F992" i="98"/>
  <c r="G992" i="98"/>
  <c r="H992" i="98"/>
  <c r="I992" i="98"/>
  <c r="J992" i="98"/>
  <c r="L992" i="98"/>
  <c r="Q992" i="98"/>
  <c r="B993" i="98"/>
  <c r="F993" i="98"/>
  <c r="G993" i="98"/>
  <c r="H993" i="98"/>
  <c r="I993" i="98"/>
  <c r="J993" i="98"/>
  <c r="L993" i="98"/>
  <c r="Q993" i="98"/>
  <c r="B994" i="98"/>
  <c r="F994" i="98"/>
  <c r="G994" i="98"/>
  <c r="H994" i="98"/>
  <c r="I994" i="98"/>
  <c r="J994" i="98"/>
  <c r="L994" i="98"/>
  <c r="Q994" i="98"/>
  <c r="B995" i="98"/>
  <c r="F995" i="98"/>
  <c r="G995" i="98"/>
  <c r="H995" i="98"/>
  <c r="I995" i="98"/>
  <c r="J995" i="98"/>
  <c r="L995" i="98"/>
  <c r="Q995" i="98"/>
  <c r="B996" i="98"/>
  <c r="F996" i="98"/>
  <c r="G996" i="98"/>
  <c r="H996" i="98"/>
  <c r="I996" i="98"/>
  <c r="J996" i="98"/>
  <c r="L996" i="98"/>
  <c r="Q996" i="98"/>
  <c r="B997" i="98"/>
  <c r="F997" i="98"/>
  <c r="G997" i="98"/>
  <c r="H997" i="98"/>
  <c r="I997" i="98"/>
  <c r="J997" i="98"/>
  <c r="L997" i="98"/>
  <c r="Q997" i="98"/>
  <c r="B998" i="98"/>
  <c r="F998" i="98"/>
  <c r="G998" i="98"/>
  <c r="H998" i="98"/>
  <c r="I998" i="98"/>
  <c r="J998" i="98"/>
  <c r="L998" i="98"/>
  <c r="Q998" i="98"/>
  <c r="B999" i="98"/>
  <c r="F999" i="98"/>
  <c r="G999" i="98"/>
  <c r="H999" i="98"/>
  <c r="I999" i="98"/>
  <c r="J999" i="98"/>
  <c r="L999" i="98"/>
  <c r="Q999" i="98"/>
  <c r="B1000" i="98"/>
  <c r="F1000" i="98"/>
  <c r="G1000" i="98"/>
  <c r="H1000" i="98"/>
  <c r="I1000" i="98"/>
  <c r="J1000" i="98"/>
  <c r="L1000" i="98"/>
  <c r="Q1000" i="98"/>
  <c r="B1001" i="98"/>
  <c r="F1001" i="98"/>
  <c r="G1001" i="98"/>
  <c r="H1001" i="98"/>
  <c r="I1001" i="98"/>
  <c r="J1001" i="98"/>
  <c r="L1001" i="98"/>
  <c r="Q1001" i="98"/>
  <c r="B962" i="98"/>
  <c r="F962" i="98"/>
  <c r="G962" i="98"/>
  <c r="H962" i="98"/>
  <c r="I962" i="98"/>
  <c r="J962" i="98"/>
  <c r="L962" i="98"/>
  <c r="Q962" i="98"/>
  <c r="B963" i="98"/>
  <c r="F963" i="98"/>
  <c r="G963" i="98"/>
  <c r="H963" i="98"/>
  <c r="I963" i="98"/>
  <c r="J963" i="98"/>
  <c r="L963" i="98"/>
  <c r="Q963" i="98"/>
  <c r="B964" i="98"/>
  <c r="F964" i="98"/>
  <c r="G964" i="98"/>
  <c r="H964" i="98"/>
  <c r="I964" i="98"/>
  <c r="J964" i="98"/>
  <c r="L964" i="98"/>
  <c r="Q964" i="98"/>
  <c r="B965" i="98"/>
  <c r="F965" i="98"/>
  <c r="G965" i="98"/>
  <c r="H965" i="98"/>
  <c r="I965" i="98"/>
  <c r="J965" i="98"/>
  <c r="L965" i="98"/>
  <c r="Q965" i="98"/>
  <c r="B966" i="98"/>
  <c r="F966" i="98"/>
  <c r="G966" i="98"/>
  <c r="H966" i="98"/>
  <c r="I966" i="98"/>
  <c r="J966" i="98"/>
  <c r="L966" i="98"/>
  <c r="Q966" i="98"/>
  <c r="B967" i="98"/>
  <c r="F967" i="98"/>
  <c r="G967" i="98"/>
  <c r="H967" i="98"/>
  <c r="I967" i="98"/>
  <c r="J967" i="98"/>
  <c r="L967" i="98"/>
  <c r="Q967" i="98"/>
  <c r="B968" i="98"/>
  <c r="F968" i="98"/>
  <c r="G968" i="98"/>
  <c r="H968" i="98"/>
  <c r="I968" i="98"/>
  <c r="J968" i="98"/>
  <c r="L968" i="98"/>
  <c r="Q968" i="98"/>
  <c r="B969" i="98"/>
  <c r="F969" i="98"/>
  <c r="G969" i="98"/>
  <c r="H969" i="98"/>
  <c r="I969" i="98"/>
  <c r="J969" i="98"/>
  <c r="L969" i="98"/>
  <c r="Q969" i="98"/>
  <c r="B970" i="98"/>
  <c r="F970" i="98"/>
  <c r="G970" i="98"/>
  <c r="H970" i="98"/>
  <c r="I970" i="98"/>
  <c r="J970" i="98"/>
  <c r="L970" i="98"/>
  <c r="Q970" i="98"/>
  <c r="B971" i="98"/>
  <c r="F971" i="98"/>
  <c r="G971" i="98"/>
  <c r="H971" i="98"/>
  <c r="I971" i="98"/>
  <c r="J971" i="98"/>
  <c r="L971" i="98"/>
  <c r="Q971" i="98"/>
  <c r="B972" i="98"/>
  <c r="F972" i="98"/>
  <c r="G972" i="98"/>
  <c r="H972" i="98"/>
  <c r="I972" i="98"/>
  <c r="J972" i="98"/>
  <c r="L972" i="98"/>
  <c r="Q972" i="98"/>
  <c r="B869" i="98"/>
  <c r="F869" i="98"/>
  <c r="G869" i="98"/>
  <c r="H869" i="98"/>
  <c r="I869" i="98"/>
  <c r="J869" i="98"/>
  <c r="L869" i="98"/>
  <c r="Q869" i="98"/>
  <c r="B870" i="98"/>
  <c r="F870" i="98"/>
  <c r="G870" i="98"/>
  <c r="H870" i="98"/>
  <c r="I870" i="98"/>
  <c r="J870" i="98"/>
  <c r="L870" i="98"/>
  <c r="Q870" i="98"/>
  <c r="B871" i="98"/>
  <c r="F871" i="98"/>
  <c r="G871" i="98"/>
  <c r="H871" i="98"/>
  <c r="I871" i="98"/>
  <c r="J871" i="98"/>
  <c r="L871" i="98"/>
  <c r="Q871" i="98"/>
  <c r="B872" i="98"/>
  <c r="F872" i="98"/>
  <c r="G872" i="98"/>
  <c r="H872" i="98"/>
  <c r="I872" i="98"/>
  <c r="J872" i="98"/>
  <c r="L872" i="98"/>
  <c r="Q872" i="98"/>
  <c r="B873" i="98"/>
  <c r="F873" i="98"/>
  <c r="G873" i="98"/>
  <c r="H873" i="98"/>
  <c r="I873" i="98"/>
  <c r="J873" i="98"/>
  <c r="L873" i="98"/>
  <c r="Q873" i="98"/>
  <c r="B874" i="98"/>
  <c r="F874" i="98"/>
  <c r="G874" i="98"/>
  <c r="H874" i="98"/>
  <c r="I874" i="98"/>
  <c r="J874" i="98"/>
  <c r="L874" i="98"/>
  <c r="Q874" i="98"/>
  <c r="B875" i="98"/>
  <c r="F875" i="98"/>
  <c r="G875" i="98"/>
  <c r="H875" i="98"/>
  <c r="I875" i="98"/>
  <c r="J875" i="98"/>
  <c r="L875" i="98"/>
  <c r="Q875" i="98"/>
  <c r="B876" i="98"/>
  <c r="F876" i="98"/>
  <c r="G876" i="98"/>
  <c r="H876" i="98"/>
  <c r="I876" i="98"/>
  <c r="J876" i="98"/>
  <c r="L876" i="98"/>
  <c r="Q876" i="98"/>
  <c r="B877" i="98"/>
  <c r="F877" i="98"/>
  <c r="G877" i="98"/>
  <c r="H877" i="98"/>
  <c r="I877" i="98"/>
  <c r="J877" i="98"/>
  <c r="L877" i="98"/>
  <c r="Q877" i="98"/>
  <c r="B878" i="98"/>
  <c r="F878" i="98"/>
  <c r="G878" i="98"/>
  <c r="H878" i="98"/>
  <c r="I878" i="98"/>
  <c r="J878" i="98"/>
  <c r="L878" i="98"/>
  <c r="Q878" i="98"/>
  <c r="B879" i="98"/>
  <c r="F879" i="98"/>
  <c r="G879" i="98"/>
  <c r="H879" i="98"/>
  <c r="I879" i="98"/>
  <c r="J879" i="98"/>
  <c r="L879" i="98"/>
  <c r="Q879" i="98"/>
  <c r="B880" i="98"/>
  <c r="F880" i="98"/>
  <c r="G880" i="98"/>
  <c r="H880" i="98"/>
  <c r="I880" i="98"/>
  <c r="J880" i="98"/>
  <c r="L880" i="98"/>
  <c r="Q880" i="98"/>
  <c r="B881" i="98"/>
  <c r="F881" i="98"/>
  <c r="G881" i="98"/>
  <c r="H881" i="98"/>
  <c r="I881" i="98"/>
  <c r="J881" i="98"/>
  <c r="L881" i="98"/>
  <c r="Q881" i="98"/>
  <c r="B882" i="98"/>
  <c r="F882" i="98"/>
  <c r="G882" i="98"/>
  <c r="H882" i="98"/>
  <c r="I882" i="98"/>
  <c r="J882" i="98"/>
  <c r="L882" i="98"/>
  <c r="Q882" i="98"/>
  <c r="B883" i="98"/>
  <c r="F883" i="98"/>
  <c r="G883" i="98"/>
  <c r="H883" i="98"/>
  <c r="I883" i="98"/>
  <c r="J883" i="98"/>
  <c r="L883" i="98"/>
  <c r="Q883" i="98"/>
  <c r="B884" i="98"/>
  <c r="F884" i="98"/>
  <c r="G884" i="98"/>
  <c r="H884" i="98"/>
  <c r="I884" i="98"/>
  <c r="J884" i="98"/>
  <c r="L884" i="98"/>
  <c r="Q884" i="98"/>
  <c r="B885" i="98"/>
  <c r="F885" i="98"/>
  <c r="G885" i="98"/>
  <c r="H885" i="98"/>
  <c r="I885" i="98"/>
  <c r="J885" i="98"/>
  <c r="L885" i="98"/>
  <c r="Q885" i="98"/>
  <c r="B886" i="98"/>
  <c r="F886" i="98"/>
  <c r="G886" i="98"/>
  <c r="H886" i="98"/>
  <c r="I886" i="98"/>
  <c r="J886" i="98"/>
  <c r="L886" i="98"/>
  <c r="Q886" i="98"/>
  <c r="B887" i="98"/>
  <c r="F887" i="98"/>
  <c r="G887" i="98"/>
  <c r="H887" i="98"/>
  <c r="I887" i="98"/>
  <c r="J887" i="98"/>
  <c r="L887" i="98"/>
  <c r="Q887" i="98"/>
  <c r="B888" i="98"/>
  <c r="F888" i="98"/>
  <c r="G888" i="98"/>
  <c r="H888" i="98"/>
  <c r="I888" i="98"/>
  <c r="J888" i="98"/>
  <c r="L888" i="98"/>
  <c r="Q888" i="98"/>
  <c r="B889" i="98"/>
  <c r="F889" i="98"/>
  <c r="G889" i="98"/>
  <c r="H889" i="98"/>
  <c r="I889" i="98"/>
  <c r="J889" i="98"/>
  <c r="L889" i="98"/>
  <c r="Q889" i="98"/>
  <c r="B890" i="98"/>
  <c r="F890" i="98"/>
  <c r="G890" i="98"/>
  <c r="H890" i="98"/>
  <c r="I890" i="98"/>
  <c r="J890" i="98"/>
  <c r="L890" i="98"/>
  <c r="Q890" i="98"/>
  <c r="B891" i="98"/>
  <c r="F891" i="98"/>
  <c r="G891" i="98"/>
  <c r="H891" i="98"/>
  <c r="I891" i="98"/>
  <c r="J891" i="98"/>
  <c r="L891" i="98"/>
  <c r="Q891" i="98"/>
  <c r="B892" i="98"/>
  <c r="F892" i="98"/>
  <c r="G892" i="98"/>
  <c r="H892" i="98"/>
  <c r="I892" i="98"/>
  <c r="J892" i="98"/>
  <c r="L892" i="98"/>
  <c r="Q892" i="98"/>
  <c r="B893" i="98"/>
  <c r="F893" i="98"/>
  <c r="G893" i="98"/>
  <c r="H893" i="98"/>
  <c r="I893" i="98"/>
  <c r="J893" i="98"/>
  <c r="L893" i="98"/>
  <c r="Q893" i="98"/>
  <c r="B894" i="98"/>
  <c r="F894" i="98"/>
  <c r="G894" i="98"/>
  <c r="H894" i="98"/>
  <c r="I894" i="98"/>
  <c r="J894" i="98"/>
  <c r="L894" i="98"/>
  <c r="Q894" i="98"/>
  <c r="B895" i="98"/>
  <c r="F895" i="98"/>
  <c r="G895" i="98"/>
  <c r="H895" i="98"/>
  <c r="I895" i="98"/>
  <c r="J895" i="98"/>
  <c r="L895" i="98"/>
  <c r="Q895" i="98"/>
  <c r="B896" i="98"/>
  <c r="F896" i="98"/>
  <c r="G896" i="98"/>
  <c r="H896" i="98"/>
  <c r="I896" i="98"/>
  <c r="J896" i="98"/>
  <c r="L896" i="98"/>
  <c r="Q896" i="98"/>
  <c r="B897" i="98"/>
  <c r="F897" i="98"/>
  <c r="G897" i="98"/>
  <c r="H897" i="98"/>
  <c r="I897" i="98"/>
  <c r="J897" i="98"/>
  <c r="L897" i="98"/>
  <c r="Q897" i="98"/>
  <c r="B898" i="98"/>
  <c r="F898" i="98"/>
  <c r="G898" i="98"/>
  <c r="H898" i="98"/>
  <c r="I898" i="98"/>
  <c r="J898" i="98"/>
  <c r="L898" i="98"/>
  <c r="Q898" i="98"/>
  <c r="B899" i="98"/>
  <c r="F899" i="98"/>
  <c r="G899" i="98"/>
  <c r="H899" i="98"/>
  <c r="I899" i="98"/>
  <c r="J899" i="98"/>
  <c r="L899" i="98"/>
  <c r="Q899" i="98"/>
  <c r="B900" i="98"/>
  <c r="F900" i="98"/>
  <c r="G900" i="98"/>
  <c r="H900" i="98"/>
  <c r="I900" i="98"/>
  <c r="J900" i="98"/>
  <c r="L900" i="98"/>
  <c r="Q900" i="98"/>
  <c r="B901" i="98"/>
  <c r="F901" i="98"/>
  <c r="G901" i="98"/>
  <c r="H901" i="98"/>
  <c r="I901" i="98"/>
  <c r="J901" i="98"/>
  <c r="L901" i="98"/>
  <c r="Q901" i="98"/>
  <c r="B902" i="98"/>
  <c r="F902" i="98"/>
  <c r="G902" i="98"/>
  <c r="H902" i="98"/>
  <c r="I902" i="98"/>
  <c r="J902" i="98"/>
  <c r="L902" i="98"/>
  <c r="Q902" i="98"/>
  <c r="B903" i="98"/>
  <c r="F903" i="98"/>
  <c r="G903" i="98"/>
  <c r="H903" i="98"/>
  <c r="I903" i="98"/>
  <c r="J903" i="98"/>
  <c r="L903" i="98"/>
  <c r="Q903" i="98"/>
  <c r="B904" i="98"/>
  <c r="F904" i="98"/>
  <c r="G904" i="98"/>
  <c r="H904" i="98"/>
  <c r="I904" i="98"/>
  <c r="J904" i="98"/>
  <c r="L904" i="98"/>
  <c r="Q904" i="98"/>
  <c r="B905" i="98"/>
  <c r="F905" i="98"/>
  <c r="G905" i="98"/>
  <c r="H905" i="98"/>
  <c r="I905" i="98"/>
  <c r="J905" i="98"/>
  <c r="L905" i="98"/>
  <c r="Q905" i="98"/>
  <c r="B906" i="98"/>
  <c r="F906" i="98"/>
  <c r="G906" i="98"/>
  <c r="H906" i="98"/>
  <c r="I906" i="98"/>
  <c r="J906" i="98"/>
  <c r="L906" i="98"/>
  <c r="Q906" i="98"/>
  <c r="B907" i="98"/>
  <c r="F907" i="98"/>
  <c r="G907" i="98"/>
  <c r="H907" i="98"/>
  <c r="I907" i="98"/>
  <c r="J907" i="98"/>
  <c r="L907" i="98"/>
  <c r="Q907" i="98"/>
  <c r="B908" i="98"/>
  <c r="F908" i="98"/>
  <c r="G908" i="98"/>
  <c r="H908" i="98"/>
  <c r="I908" i="98"/>
  <c r="J908" i="98"/>
  <c r="L908" i="98"/>
  <c r="Q908" i="98"/>
  <c r="B909" i="98"/>
  <c r="F909" i="98"/>
  <c r="G909" i="98"/>
  <c r="H909" i="98"/>
  <c r="I909" i="98"/>
  <c r="J909" i="98"/>
  <c r="L909" i="98"/>
  <c r="Q909" i="98"/>
  <c r="B910" i="98"/>
  <c r="F910" i="98"/>
  <c r="G910" i="98"/>
  <c r="H910" i="98"/>
  <c r="I910" i="98"/>
  <c r="J910" i="98"/>
  <c r="L910" i="98"/>
  <c r="Q910" i="98"/>
  <c r="B911" i="98"/>
  <c r="F911" i="98"/>
  <c r="G911" i="98"/>
  <c r="H911" i="98"/>
  <c r="I911" i="98"/>
  <c r="J911" i="98"/>
  <c r="L911" i="98"/>
  <c r="Q911" i="98"/>
  <c r="B912" i="98"/>
  <c r="F912" i="98"/>
  <c r="G912" i="98"/>
  <c r="H912" i="98"/>
  <c r="I912" i="98"/>
  <c r="J912" i="98"/>
  <c r="L912" i="98"/>
  <c r="Q912" i="98"/>
  <c r="B913" i="98"/>
  <c r="F913" i="98"/>
  <c r="G913" i="98"/>
  <c r="H913" i="98"/>
  <c r="I913" i="98"/>
  <c r="J913" i="98"/>
  <c r="L913" i="98"/>
  <c r="Q913" i="98"/>
  <c r="B914" i="98"/>
  <c r="F914" i="98"/>
  <c r="G914" i="98"/>
  <c r="H914" i="98"/>
  <c r="I914" i="98"/>
  <c r="J914" i="98"/>
  <c r="L914" i="98"/>
  <c r="Q914" i="98"/>
  <c r="B915" i="98"/>
  <c r="F915" i="98"/>
  <c r="G915" i="98"/>
  <c r="H915" i="98"/>
  <c r="I915" i="98"/>
  <c r="J915" i="98"/>
  <c r="L915" i="98"/>
  <c r="Q915" i="98"/>
  <c r="B916" i="98"/>
  <c r="F916" i="98"/>
  <c r="G916" i="98"/>
  <c r="H916" i="98"/>
  <c r="I916" i="98"/>
  <c r="J916" i="98"/>
  <c r="L916" i="98"/>
  <c r="Q916" i="98"/>
  <c r="B917" i="98"/>
  <c r="F917" i="98"/>
  <c r="G917" i="98"/>
  <c r="H917" i="98"/>
  <c r="I917" i="98"/>
  <c r="J917" i="98"/>
  <c r="L917" i="98"/>
  <c r="Q917" i="98"/>
  <c r="B918" i="98"/>
  <c r="F918" i="98"/>
  <c r="G918" i="98"/>
  <c r="H918" i="98"/>
  <c r="I918" i="98"/>
  <c r="J918" i="98"/>
  <c r="L918" i="98"/>
  <c r="Q918" i="98"/>
  <c r="B919" i="98"/>
  <c r="F919" i="98"/>
  <c r="G919" i="98"/>
  <c r="H919" i="98"/>
  <c r="I919" i="98"/>
  <c r="J919" i="98"/>
  <c r="L919" i="98"/>
  <c r="Q919" i="98"/>
  <c r="B920" i="98"/>
  <c r="F920" i="98"/>
  <c r="G920" i="98"/>
  <c r="H920" i="98"/>
  <c r="I920" i="98"/>
  <c r="J920" i="98"/>
  <c r="L920" i="98"/>
  <c r="Q920" i="98"/>
  <c r="B921" i="98"/>
  <c r="F921" i="98"/>
  <c r="G921" i="98"/>
  <c r="H921" i="98"/>
  <c r="I921" i="98"/>
  <c r="J921" i="98"/>
  <c r="L921" i="98"/>
  <c r="Q921" i="98"/>
  <c r="B922" i="98"/>
  <c r="F922" i="98"/>
  <c r="G922" i="98"/>
  <c r="H922" i="98"/>
  <c r="I922" i="98"/>
  <c r="J922" i="98"/>
  <c r="L922" i="98"/>
  <c r="Q922" i="98"/>
  <c r="B923" i="98"/>
  <c r="F923" i="98"/>
  <c r="G923" i="98"/>
  <c r="H923" i="98"/>
  <c r="I923" i="98"/>
  <c r="J923" i="98"/>
  <c r="L923" i="98"/>
  <c r="Q923" i="98"/>
  <c r="B924" i="98"/>
  <c r="F924" i="98"/>
  <c r="G924" i="98"/>
  <c r="H924" i="98"/>
  <c r="I924" i="98"/>
  <c r="J924" i="98"/>
  <c r="L924" i="98"/>
  <c r="Q924" i="98"/>
  <c r="B925" i="98"/>
  <c r="F925" i="98"/>
  <c r="G925" i="98"/>
  <c r="H925" i="98"/>
  <c r="I925" i="98"/>
  <c r="J925" i="98"/>
  <c r="L925" i="98"/>
  <c r="Q925" i="98"/>
  <c r="B926" i="98"/>
  <c r="F926" i="98"/>
  <c r="G926" i="98"/>
  <c r="H926" i="98"/>
  <c r="I926" i="98"/>
  <c r="J926" i="98"/>
  <c r="L926" i="98"/>
  <c r="Q926" i="98"/>
  <c r="B927" i="98"/>
  <c r="F927" i="98"/>
  <c r="G927" i="98"/>
  <c r="H927" i="98"/>
  <c r="I927" i="98"/>
  <c r="J927" i="98"/>
  <c r="L927" i="98"/>
  <c r="Q927" i="98"/>
  <c r="B928" i="98"/>
  <c r="F928" i="98"/>
  <c r="G928" i="98"/>
  <c r="H928" i="98"/>
  <c r="I928" i="98"/>
  <c r="J928" i="98"/>
  <c r="L928" i="98"/>
  <c r="Q928" i="98"/>
  <c r="B929" i="98"/>
  <c r="F929" i="98"/>
  <c r="G929" i="98"/>
  <c r="H929" i="98"/>
  <c r="I929" i="98"/>
  <c r="J929" i="98"/>
  <c r="L929" i="98"/>
  <c r="Q929" i="98"/>
  <c r="B930" i="98"/>
  <c r="F930" i="98"/>
  <c r="G930" i="98"/>
  <c r="H930" i="98"/>
  <c r="I930" i="98"/>
  <c r="J930" i="98"/>
  <c r="L930" i="98"/>
  <c r="Q930" i="98"/>
  <c r="B931" i="98"/>
  <c r="F931" i="98"/>
  <c r="G931" i="98"/>
  <c r="H931" i="98"/>
  <c r="I931" i="98"/>
  <c r="J931" i="98"/>
  <c r="L931" i="98"/>
  <c r="Q931" i="98"/>
  <c r="B932" i="98"/>
  <c r="F932" i="98"/>
  <c r="G932" i="98"/>
  <c r="H932" i="98"/>
  <c r="I932" i="98"/>
  <c r="J932" i="98"/>
  <c r="L932" i="98"/>
  <c r="Q932" i="98"/>
  <c r="B933" i="98"/>
  <c r="F933" i="98"/>
  <c r="G933" i="98"/>
  <c r="H933" i="98"/>
  <c r="I933" i="98"/>
  <c r="J933" i="98"/>
  <c r="L933" i="98"/>
  <c r="Q933" i="98"/>
  <c r="B934" i="98"/>
  <c r="F934" i="98"/>
  <c r="G934" i="98"/>
  <c r="H934" i="98"/>
  <c r="I934" i="98"/>
  <c r="J934" i="98"/>
  <c r="L934" i="98"/>
  <c r="Q934" i="98"/>
  <c r="B935" i="98"/>
  <c r="F935" i="98"/>
  <c r="G935" i="98"/>
  <c r="H935" i="98"/>
  <c r="I935" i="98"/>
  <c r="J935" i="98"/>
  <c r="L935" i="98"/>
  <c r="Q935" i="98"/>
  <c r="B936" i="98"/>
  <c r="F936" i="98"/>
  <c r="G936" i="98"/>
  <c r="H936" i="98"/>
  <c r="I936" i="98"/>
  <c r="J936" i="98"/>
  <c r="L936" i="98"/>
  <c r="Q936" i="98"/>
  <c r="B937" i="98"/>
  <c r="F937" i="98"/>
  <c r="G937" i="98"/>
  <c r="H937" i="98"/>
  <c r="I937" i="98"/>
  <c r="J937" i="98"/>
  <c r="L937" i="98"/>
  <c r="Q937" i="98"/>
  <c r="B938" i="98"/>
  <c r="F938" i="98"/>
  <c r="G938" i="98"/>
  <c r="H938" i="98"/>
  <c r="I938" i="98"/>
  <c r="J938" i="98"/>
  <c r="L938" i="98"/>
  <c r="Q938" i="98"/>
  <c r="B939" i="98"/>
  <c r="F939" i="98"/>
  <c r="G939" i="98"/>
  <c r="H939" i="98"/>
  <c r="I939" i="98"/>
  <c r="J939" i="98"/>
  <c r="L939" i="98"/>
  <c r="Q939" i="98"/>
  <c r="B940" i="98"/>
  <c r="F940" i="98"/>
  <c r="G940" i="98"/>
  <c r="H940" i="98"/>
  <c r="I940" i="98"/>
  <c r="J940" i="98"/>
  <c r="L940" i="98"/>
  <c r="Q940" i="98"/>
  <c r="B941" i="98"/>
  <c r="F941" i="98"/>
  <c r="G941" i="98"/>
  <c r="H941" i="98"/>
  <c r="I941" i="98"/>
  <c r="J941" i="98"/>
  <c r="L941" i="98"/>
  <c r="Q941" i="98"/>
  <c r="B942" i="98"/>
  <c r="F942" i="98"/>
  <c r="G942" i="98"/>
  <c r="H942" i="98"/>
  <c r="I942" i="98"/>
  <c r="J942" i="98"/>
  <c r="L942" i="98"/>
  <c r="Q942" i="98"/>
  <c r="B943" i="98"/>
  <c r="F943" i="98"/>
  <c r="G943" i="98"/>
  <c r="H943" i="98"/>
  <c r="I943" i="98"/>
  <c r="J943" i="98"/>
  <c r="L943" i="98"/>
  <c r="Q943" i="98"/>
  <c r="B944" i="98"/>
  <c r="F944" i="98"/>
  <c r="G944" i="98"/>
  <c r="H944" i="98"/>
  <c r="I944" i="98"/>
  <c r="J944" i="98"/>
  <c r="L944" i="98"/>
  <c r="Q944" i="98"/>
  <c r="B945" i="98"/>
  <c r="F945" i="98"/>
  <c r="G945" i="98"/>
  <c r="H945" i="98"/>
  <c r="I945" i="98"/>
  <c r="J945" i="98"/>
  <c r="L945" i="98"/>
  <c r="Q945" i="98"/>
  <c r="B946" i="98"/>
  <c r="F946" i="98"/>
  <c r="G946" i="98"/>
  <c r="H946" i="98"/>
  <c r="I946" i="98"/>
  <c r="J946" i="98"/>
  <c r="L946" i="98"/>
  <c r="Q946" i="98"/>
  <c r="B947" i="98"/>
  <c r="F947" i="98"/>
  <c r="G947" i="98"/>
  <c r="H947" i="98"/>
  <c r="I947" i="98"/>
  <c r="J947" i="98"/>
  <c r="L947" i="98"/>
  <c r="Q947" i="98"/>
  <c r="B948" i="98"/>
  <c r="F948" i="98"/>
  <c r="G948" i="98"/>
  <c r="H948" i="98"/>
  <c r="I948" i="98"/>
  <c r="J948" i="98"/>
  <c r="L948" i="98"/>
  <c r="Q948" i="98"/>
  <c r="B949" i="98"/>
  <c r="F949" i="98"/>
  <c r="G949" i="98"/>
  <c r="H949" i="98"/>
  <c r="I949" i="98"/>
  <c r="J949" i="98"/>
  <c r="L949" i="98"/>
  <c r="Q949" i="98"/>
  <c r="B950" i="98"/>
  <c r="F950" i="98"/>
  <c r="G950" i="98"/>
  <c r="H950" i="98"/>
  <c r="I950" i="98"/>
  <c r="J950" i="98"/>
  <c r="L950" i="98"/>
  <c r="Q950" i="98"/>
  <c r="B951" i="98"/>
  <c r="F951" i="98"/>
  <c r="G951" i="98"/>
  <c r="H951" i="98"/>
  <c r="I951" i="98"/>
  <c r="J951" i="98"/>
  <c r="L951" i="98"/>
  <c r="Q951" i="98"/>
  <c r="B952" i="98"/>
  <c r="F952" i="98"/>
  <c r="G952" i="98"/>
  <c r="H952" i="98"/>
  <c r="I952" i="98"/>
  <c r="J952" i="98"/>
  <c r="L952" i="98"/>
  <c r="Q952" i="98"/>
  <c r="B953" i="98"/>
  <c r="F953" i="98"/>
  <c r="G953" i="98"/>
  <c r="H953" i="98"/>
  <c r="I953" i="98"/>
  <c r="J953" i="98"/>
  <c r="L953" i="98"/>
  <c r="Q953" i="98"/>
  <c r="B954" i="98"/>
  <c r="F954" i="98"/>
  <c r="G954" i="98"/>
  <c r="H954" i="98"/>
  <c r="I954" i="98"/>
  <c r="J954" i="98"/>
  <c r="L954" i="98"/>
  <c r="Q954" i="98"/>
  <c r="B955" i="98"/>
  <c r="F955" i="98"/>
  <c r="G955" i="98"/>
  <c r="H955" i="98"/>
  <c r="I955" i="98"/>
  <c r="J955" i="98"/>
  <c r="L955" i="98"/>
  <c r="Q955" i="98"/>
  <c r="B956" i="98"/>
  <c r="F956" i="98"/>
  <c r="G956" i="98"/>
  <c r="H956" i="98"/>
  <c r="I956" i="98"/>
  <c r="J956" i="98"/>
  <c r="L956" i="98"/>
  <c r="Q956" i="98"/>
  <c r="B957" i="98"/>
  <c r="F957" i="98"/>
  <c r="G957" i="98"/>
  <c r="H957" i="98"/>
  <c r="I957" i="98"/>
  <c r="J957" i="98"/>
  <c r="L957" i="98"/>
  <c r="Q957" i="98"/>
  <c r="B958" i="98"/>
  <c r="F958" i="98"/>
  <c r="G958" i="98"/>
  <c r="H958" i="98"/>
  <c r="I958" i="98"/>
  <c r="J958" i="98"/>
  <c r="L958" i="98"/>
  <c r="Q958" i="98"/>
  <c r="B959" i="98"/>
  <c r="F959" i="98"/>
  <c r="G959" i="98"/>
  <c r="H959" i="98"/>
  <c r="I959" i="98"/>
  <c r="J959" i="98"/>
  <c r="L959" i="98"/>
  <c r="Q959" i="98"/>
  <c r="B960" i="98"/>
  <c r="F960" i="98"/>
  <c r="G960" i="98"/>
  <c r="H960" i="98"/>
  <c r="I960" i="98"/>
  <c r="J960" i="98"/>
  <c r="L960" i="98"/>
  <c r="Q960" i="98"/>
  <c r="B961" i="98"/>
  <c r="F961" i="98"/>
  <c r="G961" i="98"/>
  <c r="H961" i="98"/>
  <c r="I961" i="98"/>
  <c r="J961" i="98"/>
  <c r="L961" i="98"/>
  <c r="Q961" i="98"/>
  <c r="B864" i="98"/>
  <c r="F864" i="98"/>
  <c r="G864" i="98"/>
  <c r="H864" i="98"/>
  <c r="I864" i="98"/>
  <c r="J864" i="98"/>
  <c r="L864" i="98"/>
  <c r="Q864" i="98"/>
  <c r="B865" i="98"/>
  <c r="F865" i="98"/>
  <c r="G865" i="98"/>
  <c r="H865" i="98"/>
  <c r="I865" i="98"/>
  <c r="J865" i="98"/>
  <c r="L865" i="98"/>
  <c r="Q865" i="98"/>
  <c r="B866" i="98"/>
  <c r="F866" i="98"/>
  <c r="G866" i="98"/>
  <c r="H866" i="98"/>
  <c r="I866" i="98"/>
  <c r="J866" i="98"/>
  <c r="L866" i="98"/>
  <c r="Q866" i="98"/>
  <c r="B867" i="98"/>
  <c r="F867" i="98"/>
  <c r="G867" i="98"/>
  <c r="H867" i="98"/>
  <c r="I867" i="98"/>
  <c r="J867" i="98"/>
  <c r="L867" i="98"/>
  <c r="Q867" i="98"/>
  <c r="B868" i="98"/>
  <c r="F868" i="98"/>
  <c r="G868" i="98"/>
  <c r="H868" i="98"/>
  <c r="I868" i="98"/>
  <c r="J868" i="98"/>
  <c r="L868" i="98"/>
  <c r="Q868" i="98"/>
  <c r="B762" i="98"/>
  <c r="F762" i="98"/>
  <c r="G762" i="98"/>
  <c r="H762" i="98"/>
  <c r="I762" i="98"/>
  <c r="J762" i="98"/>
  <c r="L762" i="98"/>
  <c r="Q762" i="98"/>
  <c r="B763" i="98"/>
  <c r="F763" i="98"/>
  <c r="G763" i="98"/>
  <c r="H763" i="98"/>
  <c r="I763" i="98"/>
  <c r="J763" i="98"/>
  <c r="L763" i="98"/>
  <c r="Q763" i="98"/>
  <c r="B764" i="98"/>
  <c r="F764" i="98"/>
  <c r="G764" i="98"/>
  <c r="H764" i="98"/>
  <c r="I764" i="98"/>
  <c r="J764" i="98"/>
  <c r="L764" i="98"/>
  <c r="Q764" i="98"/>
  <c r="B765" i="98"/>
  <c r="F765" i="98"/>
  <c r="G765" i="98"/>
  <c r="H765" i="98"/>
  <c r="I765" i="98"/>
  <c r="J765" i="98"/>
  <c r="L765" i="98"/>
  <c r="Q765" i="98"/>
  <c r="B766" i="98"/>
  <c r="F766" i="98"/>
  <c r="G766" i="98"/>
  <c r="H766" i="98"/>
  <c r="I766" i="98"/>
  <c r="J766" i="98"/>
  <c r="L766" i="98"/>
  <c r="Q766" i="98"/>
  <c r="B767" i="98"/>
  <c r="F767" i="98"/>
  <c r="G767" i="98"/>
  <c r="H767" i="98"/>
  <c r="I767" i="98"/>
  <c r="J767" i="98"/>
  <c r="L767" i="98"/>
  <c r="Q767" i="98"/>
  <c r="B768" i="98"/>
  <c r="F768" i="98"/>
  <c r="G768" i="98"/>
  <c r="H768" i="98"/>
  <c r="I768" i="98"/>
  <c r="J768" i="98"/>
  <c r="L768" i="98"/>
  <c r="Q768" i="98"/>
  <c r="B769" i="98"/>
  <c r="F769" i="98"/>
  <c r="G769" i="98"/>
  <c r="H769" i="98"/>
  <c r="I769" i="98"/>
  <c r="J769" i="98"/>
  <c r="L769" i="98"/>
  <c r="Q769" i="98"/>
  <c r="B770" i="98"/>
  <c r="F770" i="98"/>
  <c r="G770" i="98"/>
  <c r="H770" i="98"/>
  <c r="I770" i="98"/>
  <c r="J770" i="98"/>
  <c r="L770" i="98"/>
  <c r="Q770" i="98"/>
  <c r="B771" i="98"/>
  <c r="F771" i="98"/>
  <c r="G771" i="98"/>
  <c r="H771" i="98"/>
  <c r="I771" i="98"/>
  <c r="J771" i="98"/>
  <c r="L771" i="98"/>
  <c r="Q771" i="98"/>
  <c r="B772" i="98"/>
  <c r="F772" i="98"/>
  <c r="G772" i="98"/>
  <c r="H772" i="98"/>
  <c r="I772" i="98"/>
  <c r="J772" i="98"/>
  <c r="L772" i="98"/>
  <c r="Q772" i="98"/>
  <c r="B773" i="98"/>
  <c r="F773" i="98"/>
  <c r="G773" i="98"/>
  <c r="H773" i="98"/>
  <c r="I773" i="98"/>
  <c r="J773" i="98"/>
  <c r="L773" i="98"/>
  <c r="Q773" i="98"/>
  <c r="B774" i="98"/>
  <c r="F774" i="98"/>
  <c r="G774" i="98"/>
  <c r="H774" i="98"/>
  <c r="I774" i="98"/>
  <c r="J774" i="98"/>
  <c r="L774" i="98"/>
  <c r="Q774" i="98"/>
  <c r="B775" i="98"/>
  <c r="F775" i="98"/>
  <c r="G775" i="98"/>
  <c r="H775" i="98"/>
  <c r="I775" i="98"/>
  <c r="J775" i="98"/>
  <c r="L775" i="98"/>
  <c r="Q775" i="98"/>
  <c r="B776" i="98"/>
  <c r="F776" i="98"/>
  <c r="G776" i="98"/>
  <c r="H776" i="98"/>
  <c r="I776" i="98"/>
  <c r="J776" i="98"/>
  <c r="L776" i="98"/>
  <c r="Q776" i="98"/>
  <c r="B777" i="98"/>
  <c r="F777" i="98"/>
  <c r="G777" i="98"/>
  <c r="H777" i="98"/>
  <c r="I777" i="98"/>
  <c r="J777" i="98"/>
  <c r="L777" i="98"/>
  <c r="Q777" i="98"/>
  <c r="B778" i="98"/>
  <c r="F778" i="98"/>
  <c r="G778" i="98"/>
  <c r="H778" i="98"/>
  <c r="I778" i="98"/>
  <c r="J778" i="98"/>
  <c r="L778" i="98"/>
  <c r="Q778" i="98"/>
  <c r="B779" i="98"/>
  <c r="F779" i="98"/>
  <c r="G779" i="98"/>
  <c r="H779" i="98"/>
  <c r="I779" i="98"/>
  <c r="J779" i="98"/>
  <c r="L779" i="98"/>
  <c r="Q779" i="98"/>
  <c r="B780" i="98"/>
  <c r="F780" i="98"/>
  <c r="G780" i="98"/>
  <c r="H780" i="98"/>
  <c r="I780" i="98"/>
  <c r="J780" i="98"/>
  <c r="L780" i="98"/>
  <c r="Q780" i="98"/>
  <c r="B781" i="98"/>
  <c r="F781" i="98"/>
  <c r="G781" i="98"/>
  <c r="H781" i="98"/>
  <c r="I781" i="98"/>
  <c r="J781" i="98"/>
  <c r="L781" i="98"/>
  <c r="Q781" i="98"/>
  <c r="B782" i="98"/>
  <c r="F782" i="98"/>
  <c r="G782" i="98"/>
  <c r="H782" i="98"/>
  <c r="I782" i="98"/>
  <c r="J782" i="98"/>
  <c r="L782" i="98"/>
  <c r="Q782" i="98"/>
  <c r="B783" i="98"/>
  <c r="F783" i="98"/>
  <c r="G783" i="98"/>
  <c r="H783" i="98"/>
  <c r="I783" i="98"/>
  <c r="J783" i="98"/>
  <c r="L783" i="98"/>
  <c r="Q783" i="98"/>
  <c r="B784" i="98"/>
  <c r="F784" i="98"/>
  <c r="G784" i="98"/>
  <c r="H784" i="98"/>
  <c r="I784" i="98"/>
  <c r="J784" i="98"/>
  <c r="L784" i="98"/>
  <c r="Q784" i="98"/>
  <c r="B785" i="98"/>
  <c r="F785" i="98"/>
  <c r="G785" i="98"/>
  <c r="I785" i="98"/>
  <c r="J785" i="98"/>
  <c r="L785" i="98"/>
  <c r="Q785" i="98"/>
  <c r="B786" i="98"/>
  <c r="F786" i="98"/>
  <c r="G786" i="98"/>
  <c r="H786" i="98"/>
  <c r="I786" i="98"/>
  <c r="J786" i="98"/>
  <c r="L786" i="98"/>
  <c r="Q786" i="98"/>
  <c r="B787" i="98"/>
  <c r="F787" i="98"/>
  <c r="G787" i="98"/>
  <c r="H787" i="98"/>
  <c r="I787" i="98"/>
  <c r="J787" i="98"/>
  <c r="L787" i="98"/>
  <c r="Q787" i="98"/>
  <c r="B788" i="98"/>
  <c r="F788" i="98"/>
  <c r="G788" i="98"/>
  <c r="H788" i="98"/>
  <c r="I788" i="98"/>
  <c r="J788" i="98"/>
  <c r="L788" i="98"/>
  <c r="Q788" i="98"/>
  <c r="B789" i="98"/>
  <c r="F789" i="98"/>
  <c r="G789" i="98"/>
  <c r="H789" i="98"/>
  <c r="I789" i="98"/>
  <c r="J789" i="98"/>
  <c r="L789" i="98"/>
  <c r="Q789" i="98"/>
  <c r="B790" i="98"/>
  <c r="F790" i="98"/>
  <c r="G790" i="98"/>
  <c r="H790" i="98"/>
  <c r="I790" i="98"/>
  <c r="J790" i="98"/>
  <c r="L790" i="98"/>
  <c r="Q790" i="98"/>
  <c r="B791" i="98"/>
  <c r="F791" i="98"/>
  <c r="G791" i="98"/>
  <c r="H791" i="98"/>
  <c r="I791" i="98"/>
  <c r="J791" i="98"/>
  <c r="L791" i="98"/>
  <c r="Q791" i="98"/>
  <c r="B792" i="98"/>
  <c r="F792" i="98"/>
  <c r="G792" i="98"/>
  <c r="H792" i="98"/>
  <c r="I792" i="98"/>
  <c r="J792" i="98"/>
  <c r="L792" i="98"/>
  <c r="Q792" i="98"/>
  <c r="B793" i="98"/>
  <c r="F793" i="98"/>
  <c r="G793" i="98"/>
  <c r="H793" i="98"/>
  <c r="I793" i="98"/>
  <c r="J793" i="98"/>
  <c r="L793" i="98"/>
  <c r="Q793" i="98"/>
  <c r="B794" i="98"/>
  <c r="F794" i="98"/>
  <c r="G794" i="98"/>
  <c r="H794" i="98"/>
  <c r="I794" i="98"/>
  <c r="J794" i="98"/>
  <c r="L794" i="98"/>
  <c r="Q794" i="98"/>
  <c r="B795" i="98"/>
  <c r="F795" i="98"/>
  <c r="G795" i="98"/>
  <c r="H795" i="98"/>
  <c r="I795" i="98"/>
  <c r="J795" i="98"/>
  <c r="L795" i="98"/>
  <c r="Q795" i="98"/>
  <c r="B796" i="98"/>
  <c r="F796" i="98"/>
  <c r="G796" i="98"/>
  <c r="I796" i="98"/>
  <c r="J796" i="98"/>
  <c r="L796" i="98"/>
  <c r="Q796" i="98"/>
  <c r="B797" i="98"/>
  <c r="F797" i="98"/>
  <c r="G797" i="98"/>
  <c r="H797" i="98"/>
  <c r="I797" i="98"/>
  <c r="J797" i="98"/>
  <c r="L797" i="98"/>
  <c r="Q797" i="98"/>
  <c r="B798" i="98"/>
  <c r="F798" i="98"/>
  <c r="G798" i="98"/>
  <c r="H798" i="98"/>
  <c r="I798" i="98"/>
  <c r="J798" i="98"/>
  <c r="L798" i="98"/>
  <c r="Q798" i="98"/>
  <c r="B799" i="98"/>
  <c r="F799" i="98"/>
  <c r="G799" i="98"/>
  <c r="H799" i="98"/>
  <c r="I799" i="98"/>
  <c r="J799" i="98"/>
  <c r="L799" i="98"/>
  <c r="Q799" i="98"/>
  <c r="B800" i="98"/>
  <c r="F800" i="98"/>
  <c r="G800" i="98"/>
  <c r="H800" i="98"/>
  <c r="I800" i="98"/>
  <c r="J800" i="98"/>
  <c r="L800" i="98"/>
  <c r="Q800" i="98"/>
  <c r="B801" i="98"/>
  <c r="F801" i="98"/>
  <c r="G801" i="98"/>
  <c r="H801" i="98"/>
  <c r="I801" i="98"/>
  <c r="J801" i="98"/>
  <c r="L801" i="98"/>
  <c r="Q801" i="98"/>
  <c r="B802" i="98"/>
  <c r="F802" i="98"/>
  <c r="G802" i="98"/>
  <c r="H802" i="98"/>
  <c r="I802" i="98"/>
  <c r="J802" i="98"/>
  <c r="L802" i="98"/>
  <c r="Q802" i="98"/>
  <c r="B803" i="98"/>
  <c r="F803" i="98"/>
  <c r="G803" i="98"/>
  <c r="H803" i="98"/>
  <c r="I803" i="98"/>
  <c r="J803" i="98"/>
  <c r="L803" i="98"/>
  <c r="Q803" i="98"/>
  <c r="B804" i="98"/>
  <c r="F804" i="98"/>
  <c r="G804" i="98"/>
  <c r="H804" i="98"/>
  <c r="I804" i="98"/>
  <c r="J804" i="98"/>
  <c r="L804" i="98"/>
  <c r="Q804" i="98"/>
  <c r="B805" i="98"/>
  <c r="F805" i="98"/>
  <c r="G805" i="98"/>
  <c r="H805" i="98"/>
  <c r="I805" i="98"/>
  <c r="J805" i="98"/>
  <c r="L805" i="98"/>
  <c r="Q805" i="98"/>
  <c r="B806" i="98"/>
  <c r="F806" i="98"/>
  <c r="G806" i="98"/>
  <c r="H806" i="98"/>
  <c r="I806" i="98"/>
  <c r="J806" i="98"/>
  <c r="L806" i="98"/>
  <c r="Q806" i="98"/>
  <c r="B807" i="98"/>
  <c r="F807" i="98"/>
  <c r="G807" i="98"/>
  <c r="H807" i="98"/>
  <c r="I807" i="98"/>
  <c r="J807" i="98"/>
  <c r="L807" i="98"/>
  <c r="Q807" i="98"/>
  <c r="B808" i="98"/>
  <c r="F808" i="98"/>
  <c r="G808" i="98"/>
  <c r="H808" i="98"/>
  <c r="I808" i="98"/>
  <c r="J808" i="98"/>
  <c r="L808" i="98"/>
  <c r="Q808" i="98"/>
  <c r="B809" i="98"/>
  <c r="F809" i="98"/>
  <c r="G809" i="98"/>
  <c r="H809" i="98"/>
  <c r="I809" i="98"/>
  <c r="J809" i="98"/>
  <c r="L809" i="98"/>
  <c r="Q809" i="98"/>
  <c r="B810" i="98"/>
  <c r="F810" i="98"/>
  <c r="G810" i="98"/>
  <c r="H810" i="98"/>
  <c r="I810" i="98"/>
  <c r="J810" i="98"/>
  <c r="L810" i="98"/>
  <c r="Q810" i="98"/>
  <c r="B811" i="98"/>
  <c r="F811" i="98"/>
  <c r="G811" i="98"/>
  <c r="H811" i="98"/>
  <c r="I811" i="98"/>
  <c r="J811" i="98"/>
  <c r="L811" i="98"/>
  <c r="Q811" i="98"/>
  <c r="B812" i="98"/>
  <c r="F812" i="98"/>
  <c r="G812" i="98"/>
  <c r="H812" i="98"/>
  <c r="I812" i="98"/>
  <c r="J812" i="98"/>
  <c r="L812" i="98"/>
  <c r="Q812" i="98"/>
  <c r="B813" i="98"/>
  <c r="F813" i="98"/>
  <c r="G813" i="98"/>
  <c r="H813" i="98"/>
  <c r="I813" i="98"/>
  <c r="J813" i="98"/>
  <c r="L813" i="98"/>
  <c r="Q813" i="98"/>
  <c r="B814" i="98"/>
  <c r="F814" i="98"/>
  <c r="G814" i="98"/>
  <c r="H814" i="98"/>
  <c r="I814" i="98"/>
  <c r="J814" i="98"/>
  <c r="L814" i="98"/>
  <c r="Q814" i="98"/>
  <c r="B815" i="98"/>
  <c r="F815" i="98"/>
  <c r="G815" i="98"/>
  <c r="H815" i="98"/>
  <c r="I815" i="98"/>
  <c r="J815" i="98"/>
  <c r="L815" i="98"/>
  <c r="Q815" i="98"/>
  <c r="B816" i="98"/>
  <c r="F816" i="98"/>
  <c r="G816" i="98"/>
  <c r="H816" i="98"/>
  <c r="I816" i="98"/>
  <c r="J816" i="98"/>
  <c r="L816" i="98"/>
  <c r="Q816" i="98"/>
  <c r="B817" i="98"/>
  <c r="F817" i="98"/>
  <c r="G817" i="98"/>
  <c r="H817" i="98"/>
  <c r="I817" i="98"/>
  <c r="J817" i="98"/>
  <c r="L817" i="98"/>
  <c r="Q817" i="98"/>
  <c r="B818" i="98"/>
  <c r="F818" i="98"/>
  <c r="G818" i="98"/>
  <c r="I818" i="98"/>
  <c r="J818" i="98"/>
  <c r="L818" i="98"/>
  <c r="Q818" i="98"/>
  <c r="B819" i="98"/>
  <c r="F819" i="98"/>
  <c r="G819" i="98"/>
  <c r="H819" i="98"/>
  <c r="I819" i="98"/>
  <c r="J819" i="98"/>
  <c r="L819" i="98"/>
  <c r="Q819" i="98"/>
  <c r="B820" i="98"/>
  <c r="F820" i="98"/>
  <c r="G820" i="98"/>
  <c r="H820" i="98"/>
  <c r="I820" i="98"/>
  <c r="J820" i="98"/>
  <c r="L820" i="98"/>
  <c r="Q820" i="98"/>
  <c r="B821" i="98"/>
  <c r="F821" i="98"/>
  <c r="G821" i="98"/>
  <c r="H821" i="98"/>
  <c r="I821" i="98"/>
  <c r="J821" i="98"/>
  <c r="L821" i="98"/>
  <c r="Q821" i="98"/>
  <c r="B822" i="98"/>
  <c r="F822" i="98"/>
  <c r="G822" i="98"/>
  <c r="H822" i="98"/>
  <c r="I822" i="98"/>
  <c r="J822" i="98"/>
  <c r="L822" i="98"/>
  <c r="Q822" i="98"/>
  <c r="B823" i="98"/>
  <c r="F823" i="98"/>
  <c r="G823" i="98"/>
  <c r="H823" i="98"/>
  <c r="I823" i="98"/>
  <c r="J823" i="98"/>
  <c r="L823" i="98"/>
  <c r="Q823" i="98"/>
  <c r="B824" i="98"/>
  <c r="F824" i="98"/>
  <c r="G824" i="98"/>
  <c r="H824" i="98"/>
  <c r="I824" i="98"/>
  <c r="J824" i="98"/>
  <c r="L824" i="98"/>
  <c r="Q824" i="98"/>
  <c r="B825" i="98"/>
  <c r="F825" i="98"/>
  <c r="G825" i="98"/>
  <c r="H825" i="98"/>
  <c r="I825" i="98"/>
  <c r="J825" i="98"/>
  <c r="L825" i="98"/>
  <c r="Q825" i="98"/>
  <c r="B826" i="98"/>
  <c r="F826" i="98"/>
  <c r="G826" i="98"/>
  <c r="H826" i="98"/>
  <c r="I826" i="98"/>
  <c r="J826" i="98"/>
  <c r="L826" i="98"/>
  <c r="Q826" i="98"/>
  <c r="B827" i="98"/>
  <c r="F827" i="98"/>
  <c r="G827" i="98"/>
  <c r="H827" i="98"/>
  <c r="I827" i="98"/>
  <c r="J827" i="98"/>
  <c r="L827" i="98"/>
  <c r="Q827" i="98"/>
  <c r="B828" i="98"/>
  <c r="F828" i="98"/>
  <c r="G828" i="98"/>
  <c r="H828" i="98"/>
  <c r="I828" i="98"/>
  <c r="J828" i="98"/>
  <c r="L828" i="98"/>
  <c r="Q828" i="98"/>
  <c r="B829" i="98"/>
  <c r="F829" i="98"/>
  <c r="G829" i="98"/>
  <c r="H829" i="98"/>
  <c r="I829" i="98"/>
  <c r="J829" i="98"/>
  <c r="L829" i="98"/>
  <c r="Q829" i="98"/>
  <c r="B830" i="98"/>
  <c r="F830" i="98"/>
  <c r="G830" i="98"/>
  <c r="H830" i="98"/>
  <c r="I830" i="98"/>
  <c r="J830" i="98"/>
  <c r="L830" i="98"/>
  <c r="Q830" i="98"/>
  <c r="B831" i="98"/>
  <c r="F831" i="98"/>
  <c r="G831" i="98"/>
  <c r="H831" i="98"/>
  <c r="I831" i="98"/>
  <c r="J831" i="98"/>
  <c r="L831" i="98"/>
  <c r="Q831" i="98"/>
  <c r="B832" i="98"/>
  <c r="F832" i="98"/>
  <c r="G832" i="98"/>
  <c r="H832" i="98"/>
  <c r="I832" i="98"/>
  <c r="J832" i="98"/>
  <c r="L832" i="98"/>
  <c r="Q832" i="98"/>
  <c r="B833" i="98"/>
  <c r="F833" i="98"/>
  <c r="G833" i="98"/>
  <c r="H833" i="98"/>
  <c r="I833" i="98"/>
  <c r="J833" i="98"/>
  <c r="L833" i="98"/>
  <c r="Q833" i="98"/>
  <c r="B834" i="98"/>
  <c r="F834" i="98"/>
  <c r="G834" i="98"/>
  <c r="I834" i="98"/>
  <c r="J834" i="98"/>
  <c r="L834" i="98"/>
  <c r="Q834" i="98"/>
  <c r="B835" i="98"/>
  <c r="F835" i="98"/>
  <c r="G835" i="98"/>
  <c r="H835" i="98"/>
  <c r="I835" i="98"/>
  <c r="J835" i="98"/>
  <c r="L835" i="98"/>
  <c r="Q835" i="98"/>
  <c r="B836" i="98"/>
  <c r="F836" i="98"/>
  <c r="G836" i="98"/>
  <c r="H836" i="98"/>
  <c r="I836" i="98"/>
  <c r="J836" i="98"/>
  <c r="L836" i="98"/>
  <c r="Q836" i="98"/>
  <c r="B837" i="98"/>
  <c r="F837" i="98"/>
  <c r="G837" i="98"/>
  <c r="H837" i="98"/>
  <c r="I837" i="98"/>
  <c r="J837" i="98"/>
  <c r="L837" i="98"/>
  <c r="Q837" i="98"/>
  <c r="B838" i="98"/>
  <c r="F838" i="98"/>
  <c r="G838" i="98"/>
  <c r="H838" i="98"/>
  <c r="I838" i="98"/>
  <c r="J838" i="98"/>
  <c r="L838" i="98"/>
  <c r="Q838" i="98"/>
  <c r="B839" i="98"/>
  <c r="F839" i="98"/>
  <c r="G839" i="98"/>
  <c r="H839" i="98"/>
  <c r="I839" i="98"/>
  <c r="J839" i="98"/>
  <c r="L839" i="98"/>
  <c r="Q839" i="98"/>
  <c r="B840" i="98"/>
  <c r="F840" i="98"/>
  <c r="G840" i="98"/>
  <c r="H840" i="98"/>
  <c r="I840" i="98"/>
  <c r="J840" i="98"/>
  <c r="L840" i="98"/>
  <c r="Q840" i="98"/>
  <c r="B841" i="98"/>
  <c r="F841" i="98"/>
  <c r="G841" i="98"/>
  <c r="H841" i="98"/>
  <c r="I841" i="98"/>
  <c r="J841" i="98"/>
  <c r="L841" i="98"/>
  <c r="Q841" i="98"/>
  <c r="B842" i="98"/>
  <c r="F842" i="98"/>
  <c r="G842" i="98"/>
  <c r="H842" i="98"/>
  <c r="I842" i="98"/>
  <c r="J842" i="98"/>
  <c r="L842" i="98"/>
  <c r="Q842" i="98"/>
  <c r="B843" i="98"/>
  <c r="F843" i="98"/>
  <c r="G843" i="98"/>
  <c r="H843" i="98"/>
  <c r="I843" i="98"/>
  <c r="J843" i="98"/>
  <c r="L843" i="98"/>
  <c r="Q843" i="98"/>
  <c r="B844" i="98"/>
  <c r="F844" i="98"/>
  <c r="G844" i="98"/>
  <c r="H844" i="98"/>
  <c r="I844" i="98"/>
  <c r="J844" i="98"/>
  <c r="L844" i="98"/>
  <c r="Q844" i="98"/>
  <c r="B845" i="98"/>
  <c r="F845" i="98"/>
  <c r="G845" i="98"/>
  <c r="H845" i="98"/>
  <c r="I845" i="98"/>
  <c r="J845" i="98"/>
  <c r="L845" i="98"/>
  <c r="Q845" i="98"/>
  <c r="B846" i="98"/>
  <c r="F846" i="98"/>
  <c r="G846" i="98"/>
  <c r="H846" i="98"/>
  <c r="I846" i="98"/>
  <c r="J846" i="98"/>
  <c r="L846" i="98"/>
  <c r="Q846" i="98"/>
  <c r="B847" i="98"/>
  <c r="F847" i="98"/>
  <c r="G847" i="98"/>
  <c r="H847" i="98"/>
  <c r="I847" i="98"/>
  <c r="J847" i="98"/>
  <c r="L847" i="98"/>
  <c r="Q847" i="98"/>
  <c r="B848" i="98"/>
  <c r="F848" i="98"/>
  <c r="G848" i="98"/>
  <c r="H848" i="98"/>
  <c r="I848" i="98"/>
  <c r="J848" i="98"/>
  <c r="L848" i="98"/>
  <c r="Q848" i="98"/>
  <c r="B849" i="98"/>
  <c r="F849" i="98"/>
  <c r="G849" i="98"/>
  <c r="H849" i="98"/>
  <c r="I849" i="98"/>
  <c r="J849" i="98"/>
  <c r="L849" i="98"/>
  <c r="Q849" i="98"/>
  <c r="B850" i="98"/>
  <c r="F850" i="98"/>
  <c r="G850" i="98"/>
  <c r="H850" i="98"/>
  <c r="I850" i="98"/>
  <c r="J850" i="98"/>
  <c r="L850" i="98"/>
  <c r="Q850" i="98"/>
  <c r="B851" i="98"/>
  <c r="F851" i="98"/>
  <c r="G851" i="98"/>
  <c r="H851" i="98"/>
  <c r="I851" i="98"/>
  <c r="J851" i="98"/>
  <c r="L851" i="98"/>
  <c r="Q851" i="98"/>
  <c r="B852" i="98"/>
  <c r="F852" i="98"/>
  <c r="G852" i="98"/>
  <c r="H852" i="98"/>
  <c r="I852" i="98"/>
  <c r="J852" i="98"/>
  <c r="L852" i="98"/>
  <c r="Q852" i="98"/>
  <c r="B853" i="98"/>
  <c r="F853" i="98"/>
  <c r="G853" i="98"/>
  <c r="H853" i="98"/>
  <c r="I853" i="98"/>
  <c r="J853" i="98"/>
  <c r="L853" i="98"/>
  <c r="Q853" i="98"/>
  <c r="B854" i="98"/>
  <c r="F854" i="98"/>
  <c r="G854" i="98"/>
  <c r="H854" i="98"/>
  <c r="I854" i="98"/>
  <c r="J854" i="98"/>
  <c r="L854" i="98"/>
  <c r="Q854" i="98"/>
  <c r="B855" i="98"/>
  <c r="F855" i="98"/>
  <c r="G855" i="98"/>
  <c r="H855" i="98"/>
  <c r="I855" i="98"/>
  <c r="J855" i="98"/>
  <c r="L855" i="98"/>
  <c r="Q855" i="98"/>
  <c r="B856" i="98"/>
  <c r="F856" i="98"/>
  <c r="G856" i="98"/>
  <c r="H856" i="98"/>
  <c r="I856" i="98"/>
  <c r="J856" i="98"/>
  <c r="L856" i="98"/>
  <c r="Q856" i="98"/>
  <c r="B857" i="98"/>
  <c r="F857" i="98"/>
  <c r="G857" i="98"/>
  <c r="H857" i="98"/>
  <c r="I857" i="98"/>
  <c r="J857" i="98"/>
  <c r="L857" i="98"/>
  <c r="Q857" i="98"/>
  <c r="B858" i="98"/>
  <c r="F858" i="98"/>
  <c r="G858" i="98"/>
  <c r="H858" i="98"/>
  <c r="I858" i="98"/>
  <c r="J858" i="98"/>
  <c r="L858" i="98"/>
  <c r="Q858" i="98"/>
  <c r="B859" i="98"/>
  <c r="F859" i="98"/>
  <c r="G859" i="98"/>
  <c r="H859" i="98"/>
  <c r="I859" i="98"/>
  <c r="J859" i="98"/>
  <c r="L859" i="98"/>
  <c r="Q859" i="98"/>
  <c r="B860" i="98"/>
  <c r="F860" i="98"/>
  <c r="G860" i="98"/>
  <c r="H860" i="98"/>
  <c r="I860" i="98"/>
  <c r="J860" i="98"/>
  <c r="L860" i="98"/>
  <c r="Q860" i="98"/>
  <c r="B861" i="98"/>
  <c r="F861" i="98"/>
  <c r="G861" i="98"/>
  <c r="H861" i="98"/>
  <c r="I861" i="98"/>
  <c r="J861" i="98"/>
  <c r="L861" i="98"/>
  <c r="Q861" i="98"/>
  <c r="B862" i="98"/>
  <c r="F862" i="98"/>
  <c r="G862" i="98"/>
  <c r="H862" i="98"/>
  <c r="I862" i="98"/>
  <c r="J862" i="98"/>
  <c r="L862" i="98"/>
  <c r="Q862" i="98"/>
  <c r="B863" i="98"/>
  <c r="F863" i="98"/>
  <c r="G863" i="98"/>
  <c r="H863" i="98"/>
  <c r="I863" i="98"/>
  <c r="J863" i="98"/>
  <c r="L863" i="98"/>
  <c r="Q863" i="98"/>
  <c r="B718" i="98"/>
  <c r="F718" i="98"/>
  <c r="G718" i="98"/>
  <c r="H718" i="98"/>
  <c r="I718" i="98"/>
  <c r="J718" i="98"/>
  <c r="L718" i="98"/>
  <c r="Q718" i="98"/>
  <c r="B719" i="98"/>
  <c r="F719" i="98"/>
  <c r="G719" i="98"/>
  <c r="H719" i="98"/>
  <c r="I719" i="98"/>
  <c r="J719" i="98"/>
  <c r="L719" i="98"/>
  <c r="Q719" i="98"/>
  <c r="B720" i="98"/>
  <c r="F720" i="98"/>
  <c r="G720" i="98"/>
  <c r="H720" i="98"/>
  <c r="I720" i="98"/>
  <c r="J720" i="98"/>
  <c r="L720" i="98"/>
  <c r="Q720" i="98"/>
  <c r="B721" i="98"/>
  <c r="F721" i="98"/>
  <c r="G721" i="98"/>
  <c r="H721" i="98"/>
  <c r="I721" i="98"/>
  <c r="J721" i="98"/>
  <c r="L721" i="98"/>
  <c r="Q721" i="98"/>
  <c r="B722" i="98"/>
  <c r="F722" i="98"/>
  <c r="G722" i="98"/>
  <c r="H722" i="98"/>
  <c r="I722" i="98"/>
  <c r="J722" i="98"/>
  <c r="L722" i="98"/>
  <c r="Q722" i="98"/>
  <c r="B723" i="98"/>
  <c r="F723" i="98"/>
  <c r="G723" i="98"/>
  <c r="H723" i="98"/>
  <c r="I723" i="98"/>
  <c r="J723" i="98"/>
  <c r="L723" i="98"/>
  <c r="Q723" i="98"/>
  <c r="B724" i="98"/>
  <c r="F724" i="98"/>
  <c r="G724" i="98"/>
  <c r="H724" i="98"/>
  <c r="I724" i="98"/>
  <c r="J724" i="98"/>
  <c r="L724" i="98"/>
  <c r="Q724" i="98"/>
  <c r="B725" i="98"/>
  <c r="F725" i="98"/>
  <c r="G725" i="98"/>
  <c r="H725" i="98"/>
  <c r="I725" i="98"/>
  <c r="J725" i="98"/>
  <c r="L725" i="98"/>
  <c r="Q725" i="98"/>
  <c r="B726" i="98"/>
  <c r="F726" i="98"/>
  <c r="G726" i="98"/>
  <c r="H726" i="98"/>
  <c r="I726" i="98"/>
  <c r="J726" i="98"/>
  <c r="L726" i="98"/>
  <c r="Q726" i="98"/>
  <c r="B727" i="98"/>
  <c r="F727" i="98"/>
  <c r="G727" i="98"/>
  <c r="H727" i="98"/>
  <c r="I727" i="98"/>
  <c r="J727" i="98"/>
  <c r="L727" i="98"/>
  <c r="Q727" i="98"/>
  <c r="B728" i="98"/>
  <c r="F728" i="98"/>
  <c r="G728" i="98"/>
  <c r="H728" i="98"/>
  <c r="I728" i="98"/>
  <c r="J728" i="98"/>
  <c r="L728" i="98"/>
  <c r="Q728" i="98"/>
  <c r="B729" i="98"/>
  <c r="F729" i="98"/>
  <c r="G729" i="98"/>
  <c r="H729" i="98"/>
  <c r="I729" i="98"/>
  <c r="J729" i="98"/>
  <c r="L729" i="98"/>
  <c r="Q729" i="98"/>
  <c r="B730" i="98"/>
  <c r="F730" i="98"/>
  <c r="G730" i="98"/>
  <c r="H730" i="98"/>
  <c r="I730" i="98"/>
  <c r="J730" i="98"/>
  <c r="L730" i="98"/>
  <c r="Q730" i="98"/>
  <c r="B731" i="98"/>
  <c r="F731" i="98"/>
  <c r="G731" i="98"/>
  <c r="H731" i="98"/>
  <c r="I731" i="98"/>
  <c r="J731" i="98"/>
  <c r="L731" i="98"/>
  <c r="Q731" i="98"/>
  <c r="B732" i="98"/>
  <c r="F732" i="98"/>
  <c r="G732" i="98"/>
  <c r="H732" i="98"/>
  <c r="I732" i="98"/>
  <c r="J732" i="98"/>
  <c r="L732" i="98"/>
  <c r="Q732" i="98"/>
  <c r="B733" i="98"/>
  <c r="F733" i="98"/>
  <c r="G733" i="98"/>
  <c r="H733" i="98"/>
  <c r="I733" i="98"/>
  <c r="J733" i="98"/>
  <c r="L733" i="98"/>
  <c r="Q733" i="98"/>
  <c r="B734" i="98"/>
  <c r="F734" i="98"/>
  <c r="G734" i="98"/>
  <c r="H734" i="98"/>
  <c r="I734" i="98"/>
  <c r="J734" i="98"/>
  <c r="L734" i="98"/>
  <c r="Q734" i="98"/>
  <c r="B735" i="98"/>
  <c r="F735" i="98"/>
  <c r="G735" i="98"/>
  <c r="H735" i="98"/>
  <c r="I735" i="98"/>
  <c r="J735" i="98"/>
  <c r="L735" i="98"/>
  <c r="Q735" i="98"/>
  <c r="B736" i="98"/>
  <c r="F736" i="98"/>
  <c r="G736" i="98"/>
  <c r="H736" i="98"/>
  <c r="I736" i="98"/>
  <c r="J736" i="98"/>
  <c r="L736" i="98"/>
  <c r="Q736" i="98"/>
  <c r="B737" i="98"/>
  <c r="F737" i="98"/>
  <c r="G737" i="98"/>
  <c r="H737" i="98"/>
  <c r="I737" i="98"/>
  <c r="J737" i="98"/>
  <c r="L737" i="98"/>
  <c r="Q737" i="98"/>
  <c r="B738" i="98"/>
  <c r="F738" i="98"/>
  <c r="G738" i="98"/>
  <c r="I738" i="98"/>
  <c r="J738" i="98"/>
  <c r="L738" i="98"/>
  <c r="Q738" i="98"/>
  <c r="B739" i="98"/>
  <c r="F739" i="98"/>
  <c r="G739" i="98"/>
  <c r="H739" i="98"/>
  <c r="I739" i="98"/>
  <c r="J739" i="98"/>
  <c r="L739" i="98"/>
  <c r="Q739" i="98"/>
  <c r="B740" i="98"/>
  <c r="F740" i="98"/>
  <c r="G740" i="98"/>
  <c r="H740" i="98"/>
  <c r="I740" i="98"/>
  <c r="J740" i="98"/>
  <c r="L740" i="98"/>
  <c r="Q740" i="98"/>
  <c r="B741" i="98"/>
  <c r="F741" i="98"/>
  <c r="G741" i="98"/>
  <c r="H741" i="98"/>
  <c r="I741" i="98"/>
  <c r="J741" i="98"/>
  <c r="L741" i="98"/>
  <c r="Q741" i="98"/>
  <c r="B742" i="98"/>
  <c r="F742" i="98"/>
  <c r="G742" i="98"/>
  <c r="H742" i="98"/>
  <c r="I742" i="98"/>
  <c r="J742" i="98"/>
  <c r="L742" i="98"/>
  <c r="Q742" i="98"/>
  <c r="B743" i="98"/>
  <c r="F743" i="98"/>
  <c r="G743" i="98"/>
  <c r="H743" i="98"/>
  <c r="I743" i="98"/>
  <c r="J743" i="98"/>
  <c r="L743" i="98"/>
  <c r="Q743" i="98"/>
  <c r="B744" i="98"/>
  <c r="F744" i="98"/>
  <c r="G744" i="98"/>
  <c r="H744" i="98"/>
  <c r="I744" i="98"/>
  <c r="J744" i="98"/>
  <c r="L744" i="98"/>
  <c r="Q744" i="98"/>
  <c r="B745" i="98"/>
  <c r="F745" i="98"/>
  <c r="G745" i="98"/>
  <c r="H745" i="98"/>
  <c r="I745" i="98"/>
  <c r="J745" i="98"/>
  <c r="L745" i="98"/>
  <c r="Q745" i="98"/>
  <c r="B746" i="98"/>
  <c r="F746" i="98"/>
  <c r="G746" i="98"/>
  <c r="H746" i="98"/>
  <c r="I746" i="98"/>
  <c r="J746" i="98"/>
  <c r="L746" i="98"/>
  <c r="Q746" i="98"/>
  <c r="B747" i="98"/>
  <c r="F747" i="98"/>
  <c r="G747" i="98"/>
  <c r="H747" i="98"/>
  <c r="I747" i="98"/>
  <c r="J747" i="98"/>
  <c r="L747" i="98"/>
  <c r="Q747" i="98"/>
  <c r="B748" i="98"/>
  <c r="F748" i="98"/>
  <c r="G748" i="98"/>
  <c r="I748" i="98"/>
  <c r="J748" i="98"/>
  <c r="L748" i="98"/>
  <c r="Q748" i="98"/>
  <c r="B749" i="98"/>
  <c r="F749" i="98"/>
  <c r="G749" i="98"/>
  <c r="H749" i="98"/>
  <c r="I749" i="98"/>
  <c r="J749" i="98"/>
  <c r="L749" i="98"/>
  <c r="Q749" i="98"/>
  <c r="B750" i="98"/>
  <c r="F750" i="98"/>
  <c r="G750" i="98"/>
  <c r="H750" i="98"/>
  <c r="I750" i="98"/>
  <c r="J750" i="98"/>
  <c r="L750" i="98"/>
  <c r="Q750" i="98"/>
  <c r="B751" i="98"/>
  <c r="F751" i="98"/>
  <c r="G751" i="98"/>
  <c r="H751" i="98"/>
  <c r="I751" i="98"/>
  <c r="J751" i="98"/>
  <c r="L751" i="98"/>
  <c r="Q751" i="98"/>
  <c r="B752" i="98"/>
  <c r="F752" i="98"/>
  <c r="G752" i="98"/>
  <c r="H752" i="98"/>
  <c r="I752" i="98"/>
  <c r="J752" i="98"/>
  <c r="L752" i="98"/>
  <c r="Q752" i="98"/>
  <c r="B753" i="98"/>
  <c r="F753" i="98"/>
  <c r="G753" i="98"/>
  <c r="H753" i="98"/>
  <c r="I753" i="98"/>
  <c r="J753" i="98"/>
  <c r="L753" i="98"/>
  <c r="Q753" i="98"/>
  <c r="B754" i="98"/>
  <c r="F754" i="98"/>
  <c r="G754" i="98"/>
  <c r="H754" i="98"/>
  <c r="I754" i="98"/>
  <c r="J754" i="98"/>
  <c r="L754" i="98"/>
  <c r="Q754" i="98"/>
  <c r="B755" i="98"/>
  <c r="F755" i="98"/>
  <c r="G755" i="98"/>
  <c r="H755" i="98"/>
  <c r="I755" i="98"/>
  <c r="J755" i="98"/>
  <c r="L755" i="98"/>
  <c r="Q755" i="98"/>
  <c r="B756" i="98"/>
  <c r="F756" i="98"/>
  <c r="G756" i="98"/>
  <c r="H756" i="98"/>
  <c r="I756" i="98"/>
  <c r="J756" i="98"/>
  <c r="L756" i="98"/>
  <c r="Q756" i="98"/>
  <c r="B757" i="98"/>
  <c r="F757" i="98"/>
  <c r="G757" i="98"/>
  <c r="H757" i="98"/>
  <c r="I757" i="98"/>
  <c r="J757" i="98"/>
  <c r="L757" i="98"/>
  <c r="Q757" i="98"/>
  <c r="B758" i="98"/>
  <c r="F758" i="98"/>
  <c r="G758" i="98"/>
  <c r="H758" i="98"/>
  <c r="I758" i="98"/>
  <c r="J758" i="98"/>
  <c r="L758" i="98"/>
  <c r="Q758" i="98"/>
  <c r="B759" i="98"/>
  <c r="F759" i="98"/>
  <c r="G759" i="98"/>
  <c r="H759" i="98"/>
  <c r="I759" i="98"/>
  <c r="J759" i="98"/>
  <c r="L759" i="98"/>
  <c r="Q759" i="98"/>
  <c r="B760" i="98"/>
  <c r="F760" i="98"/>
  <c r="G760" i="98"/>
  <c r="H760" i="98"/>
  <c r="I760" i="98"/>
  <c r="J760" i="98"/>
  <c r="L760" i="98"/>
  <c r="Q760" i="98"/>
  <c r="B761" i="98"/>
  <c r="F761" i="98"/>
  <c r="G761" i="98"/>
  <c r="H761" i="98"/>
  <c r="I761" i="98"/>
  <c r="J761" i="98"/>
  <c r="L761" i="98"/>
  <c r="Q761" i="98"/>
  <c r="B607" i="98"/>
  <c r="F607" i="98"/>
  <c r="G607" i="98"/>
  <c r="H607" i="98"/>
  <c r="I607" i="98"/>
  <c r="J607" i="98"/>
  <c r="L607" i="98"/>
  <c r="Q607" i="98"/>
  <c r="B608" i="98"/>
  <c r="F608" i="98"/>
  <c r="G608" i="98"/>
  <c r="H608" i="98"/>
  <c r="I608" i="98"/>
  <c r="J608" i="98"/>
  <c r="L608" i="98"/>
  <c r="Q608" i="98"/>
  <c r="B609" i="98"/>
  <c r="F609" i="98"/>
  <c r="G609" i="98"/>
  <c r="H609" i="98"/>
  <c r="I609" i="98"/>
  <c r="J609" i="98"/>
  <c r="L609" i="98"/>
  <c r="Q609" i="98"/>
  <c r="B610" i="98"/>
  <c r="F610" i="98"/>
  <c r="G610" i="98"/>
  <c r="H610" i="98"/>
  <c r="I610" i="98"/>
  <c r="J610" i="98"/>
  <c r="L610" i="98"/>
  <c r="Q610" i="98"/>
  <c r="B611" i="98"/>
  <c r="F611" i="98"/>
  <c r="G611" i="98"/>
  <c r="H611" i="98"/>
  <c r="I611" i="98"/>
  <c r="J611" i="98"/>
  <c r="L611" i="98"/>
  <c r="Q611" i="98"/>
  <c r="B612" i="98"/>
  <c r="F612" i="98"/>
  <c r="G612" i="98"/>
  <c r="H612" i="98"/>
  <c r="I612" i="98"/>
  <c r="J612" i="98"/>
  <c r="L612" i="98"/>
  <c r="Q612" i="98"/>
  <c r="B613" i="98"/>
  <c r="F613" i="98"/>
  <c r="G613" i="98"/>
  <c r="H613" i="98"/>
  <c r="I613" i="98"/>
  <c r="J613" i="98"/>
  <c r="L613" i="98"/>
  <c r="Q613" i="98"/>
  <c r="B614" i="98"/>
  <c r="F614" i="98"/>
  <c r="G614" i="98"/>
  <c r="H614" i="98"/>
  <c r="I614" i="98"/>
  <c r="J614" i="98"/>
  <c r="L614" i="98"/>
  <c r="Q614" i="98"/>
  <c r="B615" i="98"/>
  <c r="F615" i="98"/>
  <c r="G615" i="98"/>
  <c r="H615" i="98"/>
  <c r="I615" i="98"/>
  <c r="J615" i="98"/>
  <c r="L615" i="98"/>
  <c r="Q615" i="98"/>
  <c r="B616" i="98"/>
  <c r="F616" i="98"/>
  <c r="G616" i="98"/>
  <c r="H616" i="98"/>
  <c r="I616" i="98"/>
  <c r="J616" i="98"/>
  <c r="L616" i="98"/>
  <c r="Q616" i="98"/>
  <c r="B617" i="98"/>
  <c r="F617" i="98"/>
  <c r="G617" i="98"/>
  <c r="H617" i="98"/>
  <c r="I617" i="98"/>
  <c r="J617" i="98"/>
  <c r="L617" i="98"/>
  <c r="Q617" i="98"/>
  <c r="B618" i="98"/>
  <c r="F618" i="98"/>
  <c r="G618" i="98"/>
  <c r="H618" i="98"/>
  <c r="I618" i="98"/>
  <c r="J618" i="98"/>
  <c r="L618" i="98"/>
  <c r="Q618" i="98"/>
  <c r="B619" i="98"/>
  <c r="F619" i="98"/>
  <c r="G619" i="98"/>
  <c r="H619" i="98"/>
  <c r="I619" i="98"/>
  <c r="J619" i="98"/>
  <c r="L619" i="98"/>
  <c r="Q619" i="98"/>
  <c r="B620" i="98"/>
  <c r="F620" i="98"/>
  <c r="G620" i="98"/>
  <c r="H620" i="98"/>
  <c r="I620" i="98"/>
  <c r="J620" i="98"/>
  <c r="L620" i="98"/>
  <c r="Q620" i="98"/>
  <c r="B621" i="98"/>
  <c r="F621" i="98"/>
  <c r="G621" i="98"/>
  <c r="H621" i="98"/>
  <c r="I621" i="98"/>
  <c r="J621" i="98"/>
  <c r="L621" i="98"/>
  <c r="Q621" i="98"/>
  <c r="B622" i="98"/>
  <c r="F622" i="98"/>
  <c r="G622" i="98"/>
  <c r="H622" i="98"/>
  <c r="I622" i="98"/>
  <c r="J622" i="98"/>
  <c r="L622" i="98"/>
  <c r="Q622" i="98"/>
  <c r="B623" i="98"/>
  <c r="F623" i="98"/>
  <c r="G623" i="98"/>
  <c r="H623" i="98"/>
  <c r="I623" i="98"/>
  <c r="J623" i="98"/>
  <c r="L623" i="98"/>
  <c r="Q623" i="98"/>
  <c r="B624" i="98"/>
  <c r="F624" i="98"/>
  <c r="G624" i="98"/>
  <c r="H624" i="98"/>
  <c r="I624" i="98"/>
  <c r="J624" i="98"/>
  <c r="L624" i="98"/>
  <c r="Q624" i="98"/>
  <c r="B625" i="98"/>
  <c r="F625" i="98"/>
  <c r="G625" i="98"/>
  <c r="H625" i="98"/>
  <c r="I625" i="98"/>
  <c r="J625" i="98"/>
  <c r="L625" i="98"/>
  <c r="Q625" i="98"/>
  <c r="B626" i="98"/>
  <c r="F626" i="98"/>
  <c r="G626" i="98"/>
  <c r="H626" i="98"/>
  <c r="I626" i="98"/>
  <c r="J626" i="98"/>
  <c r="L626" i="98"/>
  <c r="Q626" i="98"/>
  <c r="B627" i="98"/>
  <c r="F627" i="98"/>
  <c r="G627" i="98"/>
  <c r="H627" i="98"/>
  <c r="I627" i="98"/>
  <c r="J627" i="98"/>
  <c r="L627" i="98"/>
  <c r="Q627" i="98"/>
  <c r="B628" i="98"/>
  <c r="F628" i="98"/>
  <c r="G628" i="98"/>
  <c r="H628" i="98"/>
  <c r="I628" i="98"/>
  <c r="J628" i="98"/>
  <c r="L628" i="98"/>
  <c r="Q628" i="98"/>
  <c r="B629" i="98"/>
  <c r="F629" i="98"/>
  <c r="G629" i="98"/>
  <c r="H629" i="98"/>
  <c r="I629" i="98"/>
  <c r="J629" i="98"/>
  <c r="L629" i="98"/>
  <c r="Q629" i="98"/>
  <c r="B630" i="98"/>
  <c r="F630" i="98"/>
  <c r="G630" i="98"/>
  <c r="H630" i="98"/>
  <c r="I630" i="98"/>
  <c r="J630" i="98"/>
  <c r="L630" i="98"/>
  <c r="Q630" i="98"/>
  <c r="B631" i="98"/>
  <c r="F631" i="98"/>
  <c r="G631" i="98"/>
  <c r="H631" i="98"/>
  <c r="I631" i="98"/>
  <c r="J631" i="98"/>
  <c r="L631" i="98"/>
  <c r="Q631" i="98"/>
  <c r="B632" i="98"/>
  <c r="F632" i="98"/>
  <c r="G632" i="98"/>
  <c r="H632" i="98"/>
  <c r="I632" i="98"/>
  <c r="J632" i="98"/>
  <c r="L632" i="98"/>
  <c r="Q632" i="98"/>
  <c r="B633" i="98"/>
  <c r="F633" i="98"/>
  <c r="G633" i="98"/>
  <c r="H633" i="98"/>
  <c r="I633" i="98"/>
  <c r="J633" i="98"/>
  <c r="L633" i="98"/>
  <c r="Q633" i="98"/>
  <c r="B634" i="98"/>
  <c r="F634" i="98"/>
  <c r="G634" i="98"/>
  <c r="H634" i="98"/>
  <c r="I634" i="98"/>
  <c r="J634" i="98"/>
  <c r="L634" i="98"/>
  <c r="Q634" i="98"/>
  <c r="B635" i="98"/>
  <c r="F635" i="98"/>
  <c r="G635" i="98"/>
  <c r="H635" i="98"/>
  <c r="I635" i="98"/>
  <c r="J635" i="98"/>
  <c r="L635" i="98"/>
  <c r="Q635" i="98"/>
  <c r="B636" i="98"/>
  <c r="F636" i="98"/>
  <c r="G636" i="98"/>
  <c r="H636" i="98"/>
  <c r="I636" i="98"/>
  <c r="J636" i="98"/>
  <c r="L636" i="98"/>
  <c r="Q636" i="98"/>
  <c r="B637" i="98"/>
  <c r="F637" i="98"/>
  <c r="G637" i="98"/>
  <c r="H637" i="98"/>
  <c r="I637" i="98"/>
  <c r="J637" i="98"/>
  <c r="L637" i="98"/>
  <c r="Q637" i="98"/>
  <c r="B638" i="98"/>
  <c r="F638" i="98"/>
  <c r="G638" i="98"/>
  <c r="H638" i="98"/>
  <c r="I638" i="98"/>
  <c r="J638" i="98"/>
  <c r="L638" i="98"/>
  <c r="Q638" i="98"/>
  <c r="B639" i="98"/>
  <c r="F639" i="98"/>
  <c r="G639" i="98"/>
  <c r="H639" i="98"/>
  <c r="I639" i="98"/>
  <c r="J639" i="98"/>
  <c r="L639" i="98"/>
  <c r="Q639" i="98"/>
  <c r="B640" i="98"/>
  <c r="F640" i="98"/>
  <c r="G640" i="98"/>
  <c r="H640" i="98"/>
  <c r="I640" i="98"/>
  <c r="J640" i="98"/>
  <c r="L640" i="98"/>
  <c r="Q640" i="98"/>
  <c r="B641" i="98"/>
  <c r="F641" i="98"/>
  <c r="G641" i="98"/>
  <c r="H641" i="98"/>
  <c r="I641" i="98"/>
  <c r="J641" i="98"/>
  <c r="L641" i="98"/>
  <c r="Q641" i="98"/>
  <c r="B642" i="98"/>
  <c r="F642" i="98"/>
  <c r="G642" i="98"/>
  <c r="H642" i="98"/>
  <c r="I642" i="98"/>
  <c r="J642" i="98"/>
  <c r="L642" i="98"/>
  <c r="Q642" i="98"/>
  <c r="B643" i="98"/>
  <c r="F643" i="98"/>
  <c r="G643" i="98"/>
  <c r="H643" i="98"/>
  <c r="I643" i="98"/>
  <c r="J643" i="98"/>
  <c r="L643" i="98"/>
  <c r="Q643" i="98"/>
  <c r="B644" i="98"/>
  <c r="F644" i="98"/>
  <c r="G644" i="98"/>
  <c r="H644" i="98"/>
  <c r="I644" i="98"/>
  <c r="J644" i="98"/>
  <c r="L644" i="98"/>
  <c r="Q644" i="98"/>
  <c r="B645" i="98"/>
  <c r="F645" i="98"/>
  <c r="G645" i="98"/>
  <c r="H645" i="98"/>
  <c r="I645" i="98"/>
  <c r="J645" i="98"/>
  <c r="L645" i="98"/>
  <c r="Q645" i="98"/>
  <c r="B646" i="98"/>
  <c r="F646" i="98"/>
  <c r="G646" i="98"/>
  <c r="H646" i="98"/>
  <c r="I646" i="98"/>
  <c r="J646" i="98"/>
  <c r="L646" i="98"/>
  <c r="Q646" i="98"/>
  <c r="B647" i="98"/>
  <c r="F647" i="98"/>
  <c r="G647" i="98"/>
  <c r="H647" i="98"/>
  <c r="I647" i="98"/>
  <c r="J647" i="98"/>
  <c r="L647" i="98"/>
  <c r="Q647" i="98"/>
  <c r="B648" i="98"/>
  <c r="F648" i="98"/>
  <c r="G648" i="98"/>
  <c r="H648" i="98"/>
  <c r="I648" i="98"/>
  <c r="J648" i="98"/>
  <c r="L648" i="98"/>
  <c r="Q648" i="98"/>
  <c r="B649" i="98"/>
  <c r="F649" i="98"/>
  <c r="G649" i="98"/>
  <c r="H649" i="98"/>
  <c r="I649" i="98"/>
  <c r="J649" i="98"/>
  <c r="L649" i="98"/>
  <c r="Q649" i="98"/>
  <c r="B650" i="98"/>
  <c r="F650" i="98"/>
  <c r="G650" i="98"/>
  <c r="H650" i="98"/>
  <c r="I650" i="98"/>
  <c r="J650" i="98"/>
  <c r="L650" i="98"/>
  <c r="Q650" i="98"/>
  <c r="B651" i="98"/>
  <c r="F651" i="98"/>
  <c r="G651" i="98"/>
  <c r="H651" i="98"/>
  <c r="I651" i="98"/>
  <c r="J651" i="98"/>
  <c r="L651" i="98"/>
  <c r="Q651" i="98"/>
  <c r="B652" i="98"/>
  <c r="F652" i="98"/>
  <c r="G652" i="98"/>
  <c r="H652" i="98"/>
  <c r="I652" i="98"/>
  <c r="J652" i="98"/>
  <c r="L652" i="98"/>
  <c r="Q652" i="98"/>
  <c r="B653" i="98"/>
  <c r="F653" i="98"/>
  <c r="G653" i="98"/>
  <c r="H653" i="98"/>
  <c r="I653" i="98"/>
  <c r="J653" i="98"/>
  <c r="L653" i="98"/>
  <c r="Q653" i="98"/>
  <c r="B654" i="98"/>
  <c r="F654" i="98"/>
  <c r="G654" i="98"/>
  <c r="H654" i="98"/>
  <c r="I654" i="98"/>
  <c r="J654" i="98"/>
  <c r="L654" i="98"/>
  <c r="Q654" i="98"/>
  <c r="B655" i="98"/>
  <c r="F655" i="98"/>
  <c r="G655" i="98"/>
  <c r="H655" i="98"/>
  <c r="I655" i="98"/>
  <c r="J655" i="98"/>
  <c r="L655" i="98"/>
  <c r="Q655" i="98"/>
  <c r="B656" i="98"/>
  <c r="F656" i="98"/>
  <c r="G656" i="98"/>
  <c r="H656" i="98"/>
  <c r="I656" i="98"/>
  <c r="J656" i="98"/>
  <c r="L656" i="98"/>
  <c r="Q656" i="98"/>
  <c r="B657" i="98"/>
  <c r="F657" i="98"/>
  <c r="G657" i="98"/>
  <c r="H657" i="98"/>
  <c r="I657" i="98"/>
  <c r="J657" i="98"/>
  <c r="L657" i="98"/>
  <c r="Q657" i="98"/>
  <c r="B658" i="98"/>
  <c r="F658" i="98"/>
  <c r="G658" i="98"/>
  <c r="H658" i="98"/>
  <c r="I658" i="98"/>
  <c r="J658" i="98"/>
  <c r="L658" i="98"/>
  <c r="Q658" i="98"/>
  <c r="B659" i="98"/>
  <c r="F659" i="98"/>
  <c r="G659" i="98"/>
  <c r="H659" i="98"/>
  <c r="I659" i="98"/>
  <c r="J659" i="98"/>
  <c r="L659" i="98"/>
  <c r="Q659" i="98"/>
  <c r="B660" i="98"/>
  <c r="F660" i="98"/>
  <c r="G660" i="98"/>
  <c r="H660" i="98"/>
  <c r="I660" i="98"/>
  <c r="J660" i="98"/>
  <c r="L660" i="98"/>
  <c r="Q660" i="98"/>
  <c r="B661" i="98"/>
  <c r="F661" i="98"/>
  <c r="G661" i="98"/>
  <c r="H661" i="98"/>
  <c r="I661" i="98"/>
  <c r="J661" i="98"/>
  <c r="L661" i="98"/>
  <c r="Q661" i="98"/>
  <c r="B662" i="98"/>
  <c r="F662" i="98"/>
  <c r="G662" i="98"/>
  <c r="H662" i="98"/>
  <c r="I662" i="98"/>
  <c r="J662" i="98"/>
  <c r="L662" i="98"/>
  <c r="Q662" i="98"/>
  <c r="B663" i="98"/>
  <c r="F663" i="98"/>
  <c r="G663" i="98"/>
  <c r="I663" i="98"/>
  <c r="J663" i="98"/>
  <c r="L663" i="98"/>
  <c r="Q663" i="98"/>
  <c r="B664" i="98"/>
  <c r="F664" i="98"/>
  <c r="G664" i="98"/>
  <c r="H664" i="98"/>
  <c r="I664" i="98"/>
  <c r="J664" i="98"/>
  <c r="L664" i="98"/>
  <c r="Q664" i="98"/>
  <c r="B665" i="98"/>
  <c r="F665" i="98"/>
  <c r="G665" i="98"/>
  <c r="H665" i="98"/>
  <c r="I665" i="98"/>
  <c r="J665" i="98"/>
  <c r="L665" i="98"/>
  <c r="Q665" i="98"/>
  <c r="B666" i="98"/>
  <c r="F666" i="98"/>
  <c r="G666" i="98"/>
  <c r="H666" i="98"/>
  <c r="I666" i="98"/>
  <c r="J666" i="98"/>
  <c r="L666" i="98"/>
  <c r="Q666" i="98"/>
  <c r="B667" i="98"/>
  <c r="F667" i="98"/>
  <c r="G667" i="98"/>
  <c r="H667" i="98"/>
  <c r="I667" i="98"/>
  <c r="J667" i="98"/>
  <c r="L667" i="98"/>
  <c r="Q667" i="98"/>
  <c r="B668" i="98"/>
  <c r="F668" i="98"/>
  <c r="G668" i="98"/>
  <c r="H668" i="98"/>
  <c r="I668" i="98"/>
  <c r="J668" i="98"/>
  <c r="L668" i="98"/>
  <c r="Q668" i="98"/>
  <c r="B669" i="98"/>
  <c r="F669" i="98"/>
  <c r="G669" i="98"/>
  <c r="H669" i="98"/>
  <c r="I669" i="98"/>
  <c r="J669" i="98"/>
  <c r="L669" i="98"/>
  <c r="Q669" i="98"/>
  <c r="B670" i="98"/>
  <c r="F670" i="98"/>
  <c r="G670" i="98"/>
  <c r="H670" i="98"/>
  <c r="I670" i="98"/>
  <c r="J670" i="98"/>
  <c r="L670" i="98"/>
  <c r="Q670" i="98"/>
  <c r="B671" i="98"/>
  <c r="F671" i="98"/>
  <c r="G671" i="98"/>
  <c r="H671" i="98"/>
  <c r="I671" i="98"/>
  <c r="J671" i="98"/>
  <c r="L671" i="98"/>
  <c r="Q671" i="98"/>
  <c r="B672" i="98"/>
  <c r="F672" i="98"/>
  <c r="G672" i="98"/>
  <c r="H672" i="98"/>
  <c r="I672" i="98"/>
  <c r="J672" i="98"/>
  <c r="L672" i="98"/>
  <c r="Q672" i="98"/>
  <c r="B673" i="98"/>
  <c r="F673" i="98"/>
  <c r="G673" i="98"/>
  <c r="H673" i="98"/>
  <c r="I673" i="98"/>
  <c r="J673" i="98"/>
  <c r="L673" i="98"/>
  <c r="Q673" i="98"/>
  <c r="B674" i="98"/>
  <c r="F674" i="98"/>
  <c r="G674" i="98"/>
  <c r="H674" i="98"/>
  <c r="I674" i="98"/>
  <c r="J674" i="98"/>
  <c r="L674" i="98"/>
  <c r="Q674" i="98"/>
  <c r="B675" i="98"/>
  <c r="F675" i="98"/>
  <c r="G675" i="98"/>
  <c r="H675" i="98"/>
  <c r="I675" i="98"/>
  <c r="J675" i="98"/>
  <c r="L675" i="98"/>
  <c r="Q675" i="98"/>
  <c r="B676" i="98"/>
  <c r="F676" i="98"/>
  <c r="G676" i="98"/>
  <c r="H676" i="98"/>
  <c r="I676" i="98"/>
  <c r="J676" i="98"/>
  <c r="L676" i="98"/>
  <c r="Q676" i="98"/>
  <c r="B677" i="98"/>
  <c r="F677" i="98"/>
  <c r="G677" i="98"/>
  <c r="H677" i="98"/>
  <c r="I677" i="98"/>
  <c r="J677" i="98"/>
  <c r="L677" i="98"/>
  <c r="Q677" i="98"/>
  <c r="B678" i="98"/>
  <c r="F678" i="98"/>
  <c r="G678" i="98"/>
  <c r="H678" i="98"/>
  <c r="I678" i="98"/>
  <c r="J678" i="98"/>
  <c r="L678" i="98"/>
  <c r="Q678" i="98"/>
  <c r="B679" i="98"/>
  <c r="F679" i="98"/>
  <c r="G679" i="98"/>
  <c r="H679" i="98"/>
  <c r="I679" i="98"/>
  <c r="J679" i="98"/>
  <c r="L679" i="98"/>
  <c r="Q679" i="98"/>
  <c r="B680" i="98"/>
  <c r="F680" i="98"/>
  <c r="G680" i="98"/>
  <c r="H680" i="98"/>
  <c r="I680" i="98"/>
  <c r="J680" i="98"/>
  <c r="L680" i="98"/>
  <c r="Q680" i="98"/>
  <c r="B681" i="98"/>
  <c r="F681" i="98"/>
  <c r="G681" i="98"/>
  <c r="H681" i="98"/>
  <c r="I681" i="98"/>
  <c r="J681" i="98"/>
  <c r="L681" i="98"/>
  <c r="Q681" i="98"/>
  <c r="B682" i="98"/>
  <c r="F682" i="98"/>
  <c r="G682" i="98"/>
  <c r="H682" i="98"/>
  <c r="I682" i="98"/>
  <c r="J682" i="98"/>
  <c r="L682" i="98"/>
  <c r="Q682" i="98"/>
  <c r="B683" i="98"/>
  <c r="F683" i="98"/>
  <c r="G683" i="98"/>
  <c r="H683" i="98"/>
  <c r="I683" i="98"/>
  <c r="J683" i="98"/>
  <c r="L683" i="98"/>
  <c r="Q683" i="98"/>
  <c r="B684" i="98"/>
  <c r="F684" i="98"/>
  <c r="G684" i="98"/>
  <c r="H684" i="98"/>
  <c r="I684" i="98"/>
  <c r="J684" i="98"/>
  <c r="L684" i="98"/>
  <c r="Q684" i="98"/>
  <c r="B685" i="98"/>
  <c r="F685" i="98"/>
  <c r="G685" i="98"/>
  <c r="H685" i="98"/>
  <c r="I685" i="98"/>
  <c r="J685" i="98"/>
  <c r="L685" i="98"/>
  <c r="Q685" i="98"/>
  <c r="B686" i="98"/>
  <c r="F686" i="98"/>
  <c r="G686" i="98"/>
  <c r="H686" i="98"/>
  <c r="I686" i="98"/>
  <c r="J686" i="98"/>
  <c r="L686" i="98"/>
  <c r="Q686" i="98"/>
  <c r="B687" i="98"/>
  <c r="F687" i="98"/>
  <c r="G687" i="98"/>
  <c r="H687" i="98"/>
  <c r="I687" i="98"/>
  <c r="J687" i="98"/>
  <c r="L687" i="98"/>
  <c r="Q687" i="98"/>
  <c r="B688" i="98"/>
  <c r="F688" i="98"/>
  <c r="G688" i="98"/>
  <c r="H688" i="98"/>
  <c r="I688" i="98"/>
  <c r="J688" i="98"/>
  <c r="L688" i="98"/>
  <c r="Q688" i="98"/>
  <c r="B689" i="98"/>
  <c r="F689" i="98"/>
  <c r="G689" i="98"/>
  <c r="H689" i="98"/>
  <c r="I689" i="98"/>
  <c r="J689" i="98"/>
  <c r="L689" i="98"/>
  <c r="Q689" i="98"/>
  <c r="B690" i="98"/>
  <c r="F690" i="98"/>
  <c r="G690" i="98"/>
  <c r="H690" i="98"/>
  <c r="I690" i="98"/>
  <c r="J690" i="98"/>
  <c r="L690" i="98"/>
  <c r="Q690" i="98"/>
  <c r="B691" i="98"/>
  <c r="F691" i="98"/>
  <c r="G691" i="98"/>
  <c r="H691" i="98"/>
  <c r="I691" i="98"/>
  <c r="J691" i="98"/>
  <c r="L691" i="98"/>
  <c r="Q691" i="98"/>
  <c r="B692" i="98"/>
  <c r="F692" i="98"/>
  <c r="G692" i="98"/>
  <c r="H692" i="98"/>
  <c r="I692" i="98"/>
  <c r="J692" i="98"/>
  <c r="L692" i="98"/>
  <c r="Q692" i="98"/>
  <c r="B693" i="98"/>
  <c r="F693" i="98"/>
  <c r="G693" i="98"/>
  <c r="H693" i="98"/>
  <c r="I693" i="98"/>
  <c r="J693" i="98"/>
  <c r="L693" i="98"/>
  <c r="Q693" i="98"/>
  <c r="B694" i="98"/>
  <c r="F694" i="98"/>
  <c r="G694" i="98"/>
  <c r="H694" i="98"/>
  <c r="I694" i="98"/>
  <c r="J694" i="98"/>
  <c r="L694" i="98"/>
  <c r="Q694" i="98"/>
  <c r="B695" i="98"/>
  <c r="F695" i="98"/>
  <c r="G695" i="98"/>
  <c r="H695" i="98"/>
  <c r="I695" i="98"/>
  <c r="J695" i="98"/>
  <c r="L695" i="98"/>
  <c r="Q695" i="98"/>
  <c r="B696" i="98"/>
  <c r="F696" i="98"/>
  <c r="G696" i="98"/>
  <c r="H696" i="98"/>
  <c r="I696" i="98"/>
  <c r="J696" i="98"/>
  <c r="L696" i="98"/>
  <c r="Q696" i="98"/>
  <c r="B697" i="98"/>
  <c r="F697" i="98"/>
  <c r="G697" i="98"/>
  <c r="H697" i="98"/>
  <c r="I697" i="98"/>
  <c r="J697" i="98"/>
  <c r="L697" i="98"/>
  <c r="Q697" i="98"/>
  <c r="B698" i="98"/>
  <c r="F698" i="98"/>
  <c r="G698" i="98"/>
  <c r="H698" i="98"/>
  <c r="I698" i="98"/>
  <c r="J698" i="98"/>
  <c r="L698" i="98"/>
  <c r="Q698" i="98"/>
  <c r="B699" i="98"/>
  <c r="F699" i="98"/>
  <c r="G699" i="98"/>
  <c r="H699" i="98"/>
  <c r="I699" i="98"/>
  <c r="J699" i="98"/>
  <c r="L699" i="98"/>
  <c r="Q699" i="98"/>
  <c r="B700" i="98"/>
  <c r="F700" i="98"/>
  <c r="G700" i="98"/>
  <c r="H700" i="98"/>
  <c r="I700" i="98"/>
  <c r="J700" i="98"/>
  <c r="L700" i="98"/>
  <c r="Q700" i="98"/>
  <c r="B701" i="98"/>
  <c r="F701" i="98"/>
  <c r="G701" i="98"/>
  <c r="H701" i="98"/>
  <c r="I701" i="98"/>
  <c r="J701" i="98"/>
  <c r="L701" i="98"/>
  <c r="Q701" i="98"/>
  <c r="B702" i="98"/>
  <c r="F702" i="98"/>
  <c r="G702" i="98"/>
  <c r="H702" i="98"/>
  <c r="I702" i="98"/>
  <c r="J702" i="98"/>
  <c r="L702" i="98"/>
  <c r="Q702" i="98"/>
  <c r="B703" i="98"/>
  <c r="F703" i="98"/>
  <c r="G703" i="98"/>
  <c r="H703" i="98"/>
  <c r="I703" i="98"/>
  <c r="J703" i="98"/>
  <c r="L703" i="98"/>
  <c r="Q703" i="98"/>
  <c r="B704" i="98"/>
  <c r="F704" i="98"/>
  <c r="G704" i="98"/>
  <c r="H704" i="98"/>
  <c r="I704" i="98"/>
  <c r="J704" i="98"/>
  <c r="L704" i="98"/>
  <c r="Q704" i="98"/>
  <c r="B705" i="98"/>
  <c r="F705" i="98"/>
  <c r="G705" i="98"/>
  <c r="H705" i="98"/>
  <c r="I705" i="98"/>
  <c r="J705" i="98"/>
  <c r="L705" i="98"/>
  <c r="Q705" i="98"/>
  <c r="B706" i="98"/>
  <c r="F706" i="98"/>
  <c r="G706" i="98"/>
  <c r="H706" i="98"/>
  <c r="I706" i="98"/>
  <c r="J706" i="98"/>
  <c r="L706" i="98"/>
  <c r="Q706" i="98"/>
  <c r="B707" i="98"/>
  <c r="F707" i="98"/>
  <c r="G707" i="98"/>
  <c r="H707" i="98"/>
  <c r="I707" i="98"/>
  <c r="J707" i="98"/>
  <c r="L707" i="98"/>
  <c r="Q707" i="98"/>
  <c r="B708" i="98"/>
  <c r="F708" i="98"/>
  <c r="G708" i="98"/>
  <c r="H708" i="98"/>
  <c r="I708" i="98"/>
  <c r="J708" i="98"/>
  <c r="L708" i="98"/>
  <c r="Q708" i="98"/>
  <c r="B709" i="98"/>
  <c r="F709" i="98"/>
  <c r="G709" i="98"/>
  <c r="H709" i="98"/>
  <c r="I709" i="98"/>
  <c r="J709" i="98"/>
  <c r="L709" i="98"/>
  <c r="Q709" i="98"/>
  <c r="B710" i="98"/>
  <c r="F710" i="98"/>
  <c r="G710" i="98"/>
  <c r="H710" i="98"/>
  <c r="I710" i="98"/>
  <c r="J710" i="98"/>
  <c r="L710" i="98"/>
  <c r="Q710" i="98"/>
  <c r="B711" i="98"/>
  <c r="F711" i="98"/>
  <c r="G711" i="98"/>
  <c r="H711" i="98"/>
  <c r="I711" i="98"/>
  <c r="J711" i="98"/>
  <c r="L711" i="98"/>
  <c r="Q711" i="98"/>
  <c r="B712" i="98"/>
  <c r="F712" i="98"/>
  <c r="G712" i="98"/>
  <c r="H712" i="98"/>
  <c r="I712" i="98"/>
  <c r="J712" i="98"/>
  <c r="L712" i="98"/>
  <c r="Q712" i="98"/>
  <c r="B713" i="98"/>
  <c r="F713" i="98"/>
  <c r="G713" i="98"/>
  <c r="H713" i="98"/>
  <c r="I713" i="98"/>
  <c r="J713" i="98"/>
  <c r="L713" i="98"/>
  <c r="Q713" i="98"/>
  <c r="B714" i="98"/>
  <c r="F714" i="98"/>
  <c r="G714" i="98"/>
  <c r="H714" i="98"/>
  <c r="I714" i="98"/>
  <c r="J714" i="98"/>
  <c r="L714" i="98"/>
  <c r="Q714" i="98"/>
  <c r="B715" i="98"/>
  <c r="F715" i="98"/>
  <c r="G715" i="98"/>
  <c r="H715" i="98"/>
  <c r="I715" i="98"/>
  <c r="J715" i="98"/>
  <c r="L715" i="98"/>
  <c r="Q715" i="98"/>
  <c r="B716" i="98"/>
  <c r="F716" i="98"/>
  <c r="G716" i="98"/>
  <c r="H716" i="98"/>
  <c r="I716" i="98"/>
  <c r="J716" i="98"/>
  <c r="L716" i="98"/>
  <c r="Q716" i="98"/>
  <c r="B717" i="98"/>
  <c r="F717" i="98"/>
  <c r="G717" i="98"/>
  <c r="H717" i="98"/>
  <c r="I717" i="98"/>
  <c r="J717" i="98"/>
  <c r="L717" i="98"/>
  <c r="Q717" i="98"/>
  <c r="B549" i="98"/>
  <c r="F549" i="98"/>
  <c r="G549" i="98"/>
  <c r="H549" i="98"/>
  <c r="I549" i="98"/>
  <c r="J549" i="98"/>
  <c r="L549" i="98"/>
  <c r="Q549" i="98"/>
  <c r="B550" i="98"/>
  <c r="F550" i="98"/>
  <c r="G550" i="98"/>
  <c r="H550" i="98"/>
  <c r="I550" i="98"/>
  <c r="J550" i="98"/>
  <c r="L550" i="98"/>
  <c r="Q550" i="98"/>
  <c r="B551" i="98"/>
  <c r="F551" i="98"/>
  <c r="G551" i="98"/>
  <c r="H551" i="98"/>
  <c r="I551" i="98"/>
  <c r="J551" i="98"/>
  <c r="L551" i="98"/>
  <c r="Q551" i="98"/>
  <c r="B552" i="98"/>
  <c r="F552" i="98"/>
  <c r="G552" i="98"/>
  <c r="H552" i="98"/>
  <c r="I552" i="98"/>
  <c r="J552" i="98"/>
  <c r="L552" i="98"/>
  <c r="Q552" i="98"/>
  <c r="B553" i="98"/>
  <c r="F553" i="98"/>
  <c r="G553" i="98"/>
  <c r="H553" i="98"/>
  <c r="I553" i="98"/>
  <c r="J553" i="98"/>
  <c r="L553" i="98"/>
  <c r="Q553" i="98"/>
  <c r="B554" i="98"/>
  <c r="F554" i="98"/>
  <c r="G554" i="98"/>
  <c r="H554" i="98"/>
  <c r="I554" i="98"/>
  <c r="J554" i="98"/>
  <c r="L554" i="98"/>
  <c r="Q554" i="98"/>
  <c r="B555" i="98"/>
  <c r="F555" i="98"/>
  <c r="G555" i="98"/>
  <c r="H555" i="98"/>
  <c r="I555" i="98"/>
  <c r="J555" i="98"/>
  <c r="L555" i="98"/>
  <c r="Q555" i="98"/>
  <c r="B556" i="98"/>
  <c r="F556" i="98"/>
  <c r="G556" i="98"/>
  <c r="H556" i="98"/>
  <c r="I556" i="98"/>
  <c r="J556" i="98"/>
  <c r="L556" i="98"/>
  <c r="Q556" i="98"/>
  <c r="B557" i="98"/>
  <c r="F557" i="98"/>
  <c r="G557" i="98"/>
  <c r="H557" i="98"/>
  <c r="I557" i="98"/>
  <c r="J557" i="98"/>
  <c r="L557" i="98"/>
  <c r="Q557" i="98"/>
  <c r="B558" i="98"/>
  <c r="F558" i="98"/>
  <c r="G558" i="98"/>
  <c r="H558" i="98"/>
  <c r="I558" i="98"/>
  <c r="J558" i="98"/>
  <c r="L558" i="98"/>
  <c r="Q558" i="98"/>
  <c r="B559" i="98"/>
  <c r="F559" i="98"/>
  <c r="G559" i="98"/>
  <c r="H559" i="98"/>
  <c r="I559" i="98"/>
  <c r="J559" i="98"/>
  <c r="L559" i="98"/>
  <c r="Q559" i="98"/>
  <c r="B560" i="98"/>
  <c r="F560" i="98"/>
  <c r="G560" i="98"/>
  <c r="H560" i="98"/>
  <c r="I560" i="98"/>
  <c r="J560" i="98"/>
  <c r="L560" i="98"/>
  <c r="Q560" i="98"/>
  <c r="B561" i="98"/>
  <c r="F561" i="98"/>
  <c r="G561" i="98"/>
  <c r="H561" i="98"/>
  <c r="I561" i="98"/>
  <c r="J561" i="98"/>
  <c r="L561" i="98"/>
  <c r="Q561" i="98"/>
  <c r="B562" i="98"/>
  <c r="F562" i="98"/>
  <c r="G562" i="98"/>
  <c r="H562" i="98"/>
  <c r="I562" i="98"/>
  <c r="J562" i="98"/>
  <c r="L562" i="98"/>
  <c r="Q562" i="98"/>
  <c r="B563" i="98"/>
  <c r="F563" i="98"/>
  <c r="G563" i="98"/>
  <c r="H563" i="98"/>
  <c r="I563" i="98"/>
  <c r="J563" i="98"/>
  <c r="L563" i="98"/>
  <c r="Q563" i="98"/>
  <c r="B564" i="98"/>
  <c r="F564" i="98"/>
  <c r="G564" i="98"/>
  <c r="H564" i="98"/>
  <c r="I564" i="98"/>
  <c r="J564" i="98"/>
  <c r="L564" i="98"/>
  <c r="Q564" i="98"/>
  <c r="B565" i="98"/>
  <c r="F565" i="98"/>
  <c r="G565" i="98"/>
  <c r="H565" i="98"/>
  <c r="I565" i="98"/>
  <c r="J565" i="98"/>
  <c r="L565" i="98"/>
  <c r="Q565" i="98"/>
  <c r="B566" i="98"/>
  <c r="F566" i="98"/>
  <c r="G566" i="98"/>
  <c r="H566" i="98"/>
  <c r="I566" i="98"/>
  <c r="J566" i="98"/>
  <c r="L566" i="98"/>
  <c r="Q566" i="98"/>
  <c r="B567" i="98"/>
  <c r="F567" i="98"/>
  <c r="G567" i="98"/>
  <c r="H567" i="98"/>
  <c r="I567" i="98"/>
  <c r="J567" i="98"/>
  <c r="L567" i="98"/>
  <c r="Q567" i="98"/>
  <c r="B568" i="98"/>
  <c r="F568" i="98"/>
  <c r="G568" i="98"/>
  <c r="H568" i="98"/>
  <c r="I568" i="98"/>
  <c r="J568" i="98"/>
  <c r="L568" i="98"/>
  <c r="Q568" i="98"/>
  <c r="B569" i="98"/>
  <c r="F569" i="98"/>
  <c r="G569" i="98"/>
  <c r="H569" i="98"/>
  <c r="I569" i="98"/>
  <c r="J569" i="98"/>
  <c r="L569" i="98"/>
  <c r="Q569" i="98"/>
  <c r="B570" i="98"/>
  <c r="F570" i="98"/>
  <c r="G570" i="98"/>
  <c r="H570" i="98"/>
  <c r="I570" i="98"/>
  <c r="J570" i="98"/>
  <c r="L570" i="98"/>
  <c r="Q570" i="98"/>
  <c r="B571" i="98"/>
  <c r="F571" i="98"/>
  <c r="G571" i="98"/>
  <c r="H571" i="98"/>
  <c r="I571" i="98"/>
  <c r="J571" i="98"/>
  <c r="L571" i="98"/>
  <c r="Q571" i="98"/>
  <c r="B572" i="98"/>
  <c r="F572" i="98"/>
  <c r="G572" i="98"/>
  <c r="H572" i="98"/>
  <c r="I572" i="98"/>
  <c r="J572" i="98"/>
  <c r="L572" i="98"/>
  <c r="Q572" i="98"/>
  <c r="B573" i="98"/>
  <c r="F573" i="98"/>
  <c r="G573" i="98"/>
  <c r="H573" i="98"/>
  <c r="I573" i="98"/>
  <c r="J573" i="98"/>
  <c r="L573" i="98"/>
  <c r="Q573" i="98"/>
  <c r="B574" i="98"/>
  <c r="F574" i="98"/>
  <c r="G574" i="98"/>
  <c r="H574" i="98"/>
  <c r="I574" i="98"/>
  <c r="J574" i="98"/>
  <c r="L574" i="98"/>
  <c r="Q574" i="98"/>
  <c r="B575" i="98"/>
  <c r="F575" i="98"/>
  <c r="G575" i="98"/>
  <c r="H575" i="98"/>
  <c r="I575" i="98"/>
  <c r="J575" i="98"/>
  <c r="L575" i="98"/>
  <c r="Q575" i="98"/>
  <c r="B576" i="98"/>
  <c r="F576" i="98"/>
  <c r="G576" i="98"/>
  <c r="H576" i="98"/>
  <c r="I576" i="98"/>
  <c r="J576" i="98"/>
  <c r="L576" i="98"/>
  <c r="Q576" i="98"/>
  <c r="B577" i="98"/>
  <c r="F577" i="98"/>
  <c r="G577" i="98"/>
  <c r="H577" i="98"/>
  <c r="I577" i="98"/>
  <c r="J577" i="98"/>
  <c r="L577" i="98"/>
  <c r="Q577" i="98"/>
  <c r="B578" i="98"/>
  <c r="F578" i="98"/>
  <c r="G578" i="98"/>
  <c r="H578" i="98"/>
  <c r="I578" i="98"/>
  <c r="J578" i="98"/>
  <c r="L578" i="98"/>
  <c r="Q578" i="98"/>
  <c r="B579" i="98"/>
  <c r="F579" i="98"/>
  <c r="G579" i="98"/>
  <c r="H579" i="98"/>
  <c r="I579" i="98"/>
  <c r="J579" i="98"/>
  <c r="L579" i="98"/>
  <c r="Q579" i="98"/>
  <c r="B580" i="98"/>
  <c r="F580" i="98"/>
  <c r="G580" i="98"/>
  <c r="H580" i="98"/>
  <c r="I580" i="98"/>
  <c r="J580" i="98"/>
  <c r="L580" i="98"/>
  <c r="Q580" i="98"/>
  <c r="B581" i="98"/>
  <c r="F581" i="98"/>
  <c r="G581" i="98"/>
  <c r="H581" i="98"/>
  <c r="I581" i="98"/>
  <c r="J581" i="98"/>
  <c r="L581" i="98"/>
  <c r="Q581" i="98"/>
  <c r="B582" i="98"/>
  <c r="F582" i="98"/>
  <c r="G582" i="98"/>
  <c r="H582" i="98"/>
  <c r="I582" i="98"/>
  <c r="J582" i="98"/>
  <c r="L582" i="98"/>
  <c r="Q582" i="98"/>
  <c r="B583" i="98"/>
  <c r="F583" i="98"/>
  <c r="G583" i="98"/>
  <c r="H583" i="98"/>
  <c r="I583" i="98"/>
  <c r="J583" i="98"/>
  <c r="L583" i="98"/>
  <c r="Q583" i="98"/>
  <c r="B584" i="98"/>
  <c r="F584" i="98"/>
  <c r="G584" i="98"/>
  <c r="H584" i="98"/>
  <c r="I584" i="98"/>
  <c r="J584" i="98"/>
  <c r="L584" i="98"/>
  <c r="Q584" i="98"/>
  <c r="B585" i="98"/>
  <c r="F585" i="98"/>
  <c r="G585" i="98"/>
  <c r="H585" i="98"/>
  <c r="I585" i="98"/>
  <c r="J585" i="98"/>
  <c r="L585" i="98"/>
  <c r="Q585" i="98"/>
  <c r="B586" i="98"/>
  <c r="F586" i="98"/>
  <c r="G586" i="98"/>
  <c r="H586" i="98"/>
  <c r="I586" i="98"/>
  <c r="J586" i="98"/>
  <c r="L586" i="98"/>
  <c r="Q586" i="98"/>
  <c r="B587" i="98"/>
  <c r="F587" i="98"/>
  <c r="G587" i="98"/>
  <c r="H587" i="98"/>
  <c r="I587" i="98"/>
  <c r="J587" i="98"/>
  <c r="L587" i="98"/>
  <c r="Q587" i="98"/>
  <c r="B588" i="98"/>
  <c r="F588" i="98"/>
  <c r="G588" i="98"/>
  <c r="H588" i="98"/>
  <c r="I588" i="98"/>
  <c r="J588" i="98"/>
  <c r="L588" i="98"/>
  <c r="Q588" i="98"/>
  <c r="B589" i="98"/>
  <c r="F589" i="98"/>
  <c r="G589" i="98"/>
  <c r="H589" i="98"/>
  <c r="I589" i="98"/>
  <c r="J589" i="98"/>
  <c r="L589" i="98"/>
  <c r="Q589" i="98"/>
  <c r="B590" i="98"/>
  <c r="F590" i="98"/>
  <c r="G590" i="98"/>
  <c r="H590" i="98"/>
  <c r="I590" i="98"/>
  <c r="J590" i="98"/>
  <c r="L590" i="98"/>
  <c r="Q590" i="98"/>
  <c r="B591" i="98"/>
  <c r="F591" i="98"/>
  <c r="G591" i="98"/>
  <c r="H591" i="98"/>
  <c r="I591" i="98"/>
  <c r="J591" i="98"/>
  <c r="L591" i="98"/>
  <c r="Q591" i="98"/>
  <c r="B592" i="98"/>
  <c r="F592" i="98"/>
  <c r="G592" i="98"/>
  <c r="H592" i="98"/>
  <c r="I592" i="98"/>
  <c r="J592" i="98"/>
  <c r="L592" i="98"/>
  <c r="Q592" i="98"/>
  <c r="B593" i="98"/>
  <c r="F593" i="98"/>
  <c r="G593" i="98"/>
  <c r="H593" i="98"/>
  <c r="I593" i="98"/>
  <c r="J593" i="98"/>
  <c r="L593" i="98"/>
  <c r="Q593" i="98"/>
  <c r="B594" i="98"/>
  <c r="F594" i="98"/>
  <c r="G594" i="98"/>
  <c r="H594" i="98"/>
  <c r="I594" i="98"/>
  <c r="J594" i="98"/>
  <c r="L594" i="98"/>
  <c r="Q594" i="98"/>
  <c r="B595" i="98"/>
  <c r="F595" i="98"/>
  <c r="G595" i="98"/>
  <c r="H595" i="98"/>
  <c r="I595" i="98"/>
  <c r="J595" i="98"/>
  <c r="L595" i="98"/>
  <c r="Q595" i="98"/>
  <c r="B596" i="98"/>
  <c r="F596" i="98"/>
  <c r="G596" i="98"/>
  <c r="H596" i="98"/>
  <c r="I596" i="98"/>
  <c r="J596" i="98"/>
  <c r="L596" i="98"/>
  <c r="Q596" i="98"/>
  <c r="B597" i="98"/>
  <c r="F597" i="98"/>
  <c r="G597" i="98"/>
  <c r="H597" i="98"/>
  <c r="I597" i="98"/>
  <c r="J597" i="98"/>
  <c r="L597" i="98"/>
  <c r="Q597" i="98"/>
  <c r="B598" i="98"/>
  <c r="F598" i="98"/>
  <c r="G598" i="98"/>
  <c r="H598" i="98"/>
  <c r="I598" i="98"/>
  <c r="J598" i="98"/>
  <c r="L598" i="98"/>
  <c r="Q598" i="98"/>
  <c r="B599" i="98"/>
  <c r="F599" i="98"/>
  <c r="G599" i="98"/>
  <c r="H599" i="98"/>
  <c r="I599" i="98"/>
  <c r="J599" i="98"/>
  <c r="L599" i="98"/>
  <c r="Q599" i="98"/>
  <c r="B600" i="98"/>
  <c r="F600" i="98"/>
  <c r="G600" i="98"/>
  <c r="H600" i="98"/>
  <c r="I600" i="98"/>
  <c r="J600" i="98"/>
  <c r="L600" i="98"/>
  <c r="Q600" i="98"/>
  <c r="B601" i="98"/>
  <c r="F601" i="98"/>
  <c r="G601" i="98"/>
  <c r="H601" i="98"/>
  <c r="I601" i="98"/>
  <c r="J601" i="98"/>
  <c r="L601" i="98"/>
  <c r="Q601" i="98"/>
  <c r="B602" i="98"/>
  <c r="F602" i="98"/>
  <c r="G602" i="98"/>
  <c r="H602" i="98"/>
  <c r="I602" i="98"/>
  <c r="J602" i="98"/>
  <c r="L602" i="98"/>
  <c r="Q602" i="98"/>
  <c r="B603" i="98"/>
  <c r="F603" i="98"/>
  <c r="G603" i="98"/>
  <c r="H603" i="98"/>
  <c r="I603" i="98"/>
  <c r="J603" i="98"/>
  <c r="L603" i="98"/>
  <c r="Q603" i="98"/>
  <c r="B604" i="98"/>
  <c r="F604" i="98"/>
  <c r="G604" i="98"/>
  <c r="H604" i="98"/>
  <c r="I604" i="98"/>
  <c r="J604" i="98"/>
  <c r="L604" i="98"/>
  <c r="Q604" i="98"/>
  <c r="B605" i="98"/>
  <c r="F605" i="98"/>
  <c r="G605" i="98"/>
  <c r="H605" i="98"/>
  <c r="I605" i="98"/>
  <c r="J605" i="98"/>
  <c r="L605" i="98"/>
  <c r="Q605" i="98"/>
  <c r="B606" i="98"/>
  <c r="F606" i="98"/>
  <c r="G606" i="98"/>
  <c r="H606" i="98"/>
  <c r="I606" i="98"/>
  <c r="J606" i="98"/>
  <c r="L606" i="98"/>
  <c r="Q606" i="98"/>
  <c r="B495" i="98"/>
  <c r="F495" i="98"/>
  <c r="G495" i="98"/>
  <c r="H495" i="98"/>
  <c r="I495" i="98"/>
  <c r="J495" i="98"/>
  <c r="L495" i="98"/>
  <c r="Q495" i="98"/>
  <c r="B496" i="98"/>
  <c r="F496" i="98"/>
  <c r="G496" i="98"/>
  <c r="H496" i="98"/>
  <c r="I496" i="98"/>
  <c r="J496" i="98"/>
  <c r="L496" i="98"/>
  <c r="Q496" i="98"/>
  <c r="B497" i="98"/>
  <c r="F497" i="98"/>
  <c r="G497" i="98"/>
  <c r="H497" i="98"/>
  <c r="I497" i="98"/>
  <c r="J497" i="98"/>
  <c r="L497" i="98"/>
  <c r="Q497" i="98"/>
  <c r="B498" i="98"/>
  <c r="F498" i="98"/>
  <c r="G498" i="98"/>
  <c r="H498" i="98"/>
  <c r="I498" i="98"/>
  <c r="J498" i="98"/>
  <c r="L498" i="98"/>
  <c r="Q498" i="98"/>
  <c r="B499" i="98"/>
  <c r="F499" i="98"/>
  <c r="G499" i="98"/>
  <c r="H499" i="98"/>
  <c r="I499" i="98"/>
  <c r="J499" i="98"/>
  <c r="L499" i="98"/>
  <c r="Q499" i="98"/>
  <c r="B500" i="98"/>
  <c r="F500" i="98"/>
  <c r="G500" i="98"/>
  <c r="H500" i="98"/>
  <c r="I500" i="98"/>
  <c r="J500" i="98"/>
  <c r="L500" i="98"/>
  <c r="Q500" i="98"/>
  <c r="B501" i="98"/>
  <c r="F501" i="98"/>
  <c r="G501" i="98"/>
  <c r="H501" i="98"/>
  <c r="I501" i="98"/>
  <c r="J501" i="98"/>
  <c r="L501" i="98"/>
  <c r="Q501" i="98"/>
  <c r="B502" i="98"/>
  <c r="F502" i="98"/>
  <c r="G502" i="98"/>
  <c r="H502" i="98"/>
  <c r="I502" i="98"/>
  <c r="J502" i="98"/>
  <c r="L502" i="98"/>
  <c r="Q502" i="98"/>
  <c r="B503" i="98"/>
  <c r="F503" i="98"/>
  <c r="G503" i="98"/>
  <c r="H503" i="98"/>
  <c r="I503" i="98"/>
  <c r="J503" i="98"/>
  <c r="L503" i="98"/>
  <c r="Q503" i="98"/>
  <c r="B504" i="98"/>
  <c r="F504" i="98"/>
  <c r="G504" i="98"/>
  <c r="H504" i="98"/>
  <c r="I504" i="98"/>
  <c r="J504" i="98"/>
  <c r="L504" i="98"/>
  <c r="Q504" i="98"/>
  <c r="B505" i="98"/>
  <c r="F505" i="98"/>
  <c r="G505" i="98"/>
  <c r="H505" i="98"/>
  <c r="I505" i="98"/>
  <c r="J505" i="98"/>
  <c r="L505" i="98"/>
  <c r="Q505" i="98"/>
  <c r="B506" i="98"/>
  <c r="F506" i="98"/>
  <c r="G506" i="98"/>
  <c r="H506" i="98"/>
  <c r="I506" i="98"/>
  <c r="J506" i="98"/>
  <c r="L506" i="98"/>
  <c r="Q506" i="98"/>
  <c r="B507" i="98"/>
  <c r="F507" i="98"/>
  <c r="G507" i="98"/>
  <c r="H507" i="98"/>
  <c r="I507" i="98"/>
  <c r="J507" i="98"/>
  <c r="L507" i="98"/>
  <c r="Q507" i="98"/>
  <c r="B508" i="98"/>
  <c r="F508" i="98"/>
  <c r="G508" i="98"/>
  <c r="H508" i="98"/>
  <c r="I508" i="98"/>
  <c r="J508" i="98"/>
  <c r="L508" i="98"/>
  <c r="Q508" i="98"/>
  <c r="B509" i="98"/>
  <c r="F509" i="98"/>
  <c r="G509" i="98"/>
  <c r="H509" i="98"/>
  <c r="I509" i="98"/>
  <c r="J509" i="98"/>
  <c r="L509" i="98"/>
  <c r="Q509" i="98"/>
  <c r="B510" i="98"/>
  <c r="F510" i="98"/>
  <c r="G510" i="98"/>
  <c r="H510" i="98"/>
  <c r="I510" i="98"/>
  <c r="J510" i="98"/>
  <c r="L510" i="98"/>
  <c r="Q510" i="98"/>
  <c r="B511" i="98"/>
  <c r="F511" i="98"/>
  <c r="G511" i="98"/>
  <c r="H511" i="98"/>
  <c r="I511" i="98"/>
  <c r="J511" i="98"/>
  <c r="L511" i="98"/>
  <c r="Q511" i="98"/>
  <c r="B512" i="98"/>
  <c r="F512" i="98"/>
  <c r="G512" i="98"/>
  <c r="H512" i="98"/>
  <c r="I512" i="98"/>
  <c r="J512" i="98"/>
  <c r="L512" i="98"/>
  <c r="Q512" i="98"/>
  <c r="B513" i="98"/>
  <c r="F513" i="98"/>
  <c r="G513" i="98"/>
  <c r="H513" i="98"/>
  <c r="I513" i="98"/>
  <c r="J513" i="98"/>
  <c r="L513" i="98"/>
  <c r="Q513" i="98"/>
  <c r="B514" i="98"/>
  <c r="F514" i="98"/>
  <c r="G514" i="98"/>
  <c r="H514" i="98"/>
  <c r="I514" i="98"/>
  <c r="J514" i="98"/>
  <c r="L514" i="98"/>
  <c r="Q514" i="98"/>
  <c r="B515" i="98"/>
  <c r="F515" i="98"/>
  <c r="G515" i="98"/>
  <c r="H515" i="98"/>
  <c r="I515" i="98"/>
  <c r="J515" i="98"/>
  <c r="L515" i="98"/>
  <c r="Q515" i="98"/>
  <c r="B516" i="98"/>
  <c r="F516" i="98"/>
  <c r="G516" i="98"/>
  <c r="H516" i="98"/>
  <c r="I516" i="98"/>
  <c r="J516" i="98"/>
  <c r="L516" i="98"/>
  <c r="Q516" i="98"/>
  <c r="B517" i="98"/>
  <c r="F517" i="98"/>
  <c r="G517" i="98"/>
  <c r="H517" i="98"/>
  <c r="I517" i="98"/>
  <c r="J517" i="98"/>
  <c r="L517" i="98"/>
  <c r="Q517" i="98"/>
  <c r="B518" i="98"/>
  <c r="F518" i="98"/>
  <c r="G518" i="98"/>
  <c r="H518" i="98"/>
  <c r="I518" i="98"/>
  <c r="J518" i="98"/>
  <c r="L518" i="98"/>
  <c r="Q518" i="98"/>
  <c r="B519" i="98"/>
  <c r="F519" i="98"/>
  <c r="G519" i="98"/>
  <c r="H519" i="98"/>
  <c r="I519" i="98"/>
  <c r="J519" i="98"/>
  <c r="L519" i="98"/>
  <c r="Q519" i="98"/>
  <c r="B520" i="98"/>
  <c r="F520" i="98"/>
  <c r="G520" i="98"/>
  <c r="H520" i="98"/>
  <c r="I520" i="98"/>
  <c r="J520" i="98"/>
  <c r="L520" i="98"/>
  <c r="Q520" i="98"/>
  <c r="B521" i="98"/>
  <c r="F521" i="98"/>
  <c r="G521" i="98"/>
  <c r="H521" i="98"/>
  <c r="I521" i="98"/>
  <c r="J521" i="98"/>
  <c r="L521" i="98"/>
  <c r="Q521" i="98"/>
  <c r="B522" i="98"/>
  <c r="F522" i="98"/>
  <c r="G522" i="98"/>
  <c r="H522" i="98"/>
  <c r="I522" i="98"/>
  <c r="J522" i="98"/>
  <c r="L522" i="98"/>
  <c r="Q522" i="98"/>
  <c r="B523" i="98"/>
  <c r="F523" i="98"/>
  <c r="G523" i="98"/>
  <c r="H523" i="98"/>
  <c r="I523" i="98"/>
  <c r="J523" i="98"/>
  <c r="L523" i="98"/>
  <c r="Q523" i="98"/>
  <c r="B524" i="98"/>
  <c r="F524" i="98"/>
  <c r="G524" i="98"/>
  <c r="H524" i="98"/>
  <c r="I524" i="98"/>
  <c r="J524" i="98"/>
  <c r="L524" i="98"/>
  <c r="Q524" i="98"/>
  <c r="B525" i="98"/>
  <c r="F525" i="98"/>
  <c r="G525" i="98"/>
  <c r="H525" i="98"/>
  <c r="I525" i="98"/>
  <c r="J525" i="98"/>
  <c r="L525" i="98"/>
  <c r="Q525" i="98"/>
  <c r="B526" i="98"/>
  <c r="F526" i="98"/>
  <c r="G526" i="98"/>
  <c r="H526" i="98"/>
  <c r="I526" i="98"/>
  <c r="J526" i="98"/>
  <c r="L526" i="98"/>
  <c r="Q526" i="98"/>
  <c r="B527" i="98"/>
  <c r="F527" i="98"/>
  <c r="G527" i="98"/>
  <c r="H527" i="98"/>
  <c r="I527" i="98"/>
  <c r="J527" i="98"/>
  <c r="L527" i="98"/>
  <c r="Q527" i="98"/>
  <c r="B528" i="98"/>
  <c r="F528" i="98"/>
  <c r="G528" i="98"/>
  <c r="H528" i="98"/>
  <c r="I528" i="98"/>
  <c r="J528" i="98"/>
  <c r="L528" i="98"/>
  <c r="Q528" i="98"/>
  <c r="B529" i="98"/>
  <c r="F529" i="98"/>
  <c r="G529" i="98"/>
  <c r="H529" i="98"/>
  <c r="I529" i="98"/>
  <c r="J529" i="98"/>
  <c r="L529" i="98"/>
  <c r="Q529" i="98"/>
  <c r="B530" i="98"/>
  <c r="F530" i="98"/>
  <c r="G530" i="98"/>
  <c r="H530" i="98"/>
  <c r="I530" i="98"/>
  <c r="J530" i="98"/>
  <c r="L530" i="98"/>
  <c r="Q530" i="98"/>
  <c r="B531" i="98"/>
  <c r="F531" i="98"/>
  <c r="G531" i="98"/>
  <c r="H531" i="98"/>
  <c r="I531" i="98"/>
  <c r="J531" i="98"/>
  <c r="L531" i="98"/>
  <c r="Q531" i="98"/>
  <c r="B532" i="98"/>
  <c r="F532" i="98"/>
  <c r="G532" i="98"/>
  <c r="I532" i="98"/>
  <c r="J532" i="98"/>
  <c r="L532" i="98"/>
  <c r="Q532" i="98"/>
  <c r="B533" i="98"/>
  <c r="F533" i="98"/>
  <c r="G533" i="98"/>
  <c r="I533" i="98"/>
  <c r="J533" i="98"/>
  <c r="L533" i="98"/>
  <c r="Q533" i="98"/>
  <c r="B534" i="98"/>
  <c r="F534" i="98"/>
  <c r="G534" i="98"/>
  <c r="I534" i="98"/>
  <c r="J534" i="98"/>
  <c r="L534" i="98"/>
  <c r="Q534" i="98"/>
  <c r="B535" i="98"/>
  <c r="F535" i="98"/>
  <c r="G535" i="98"/>
  <c r="I535" i="98"/>
  <c r="J535" i="98"/>
  <c r="L535" i="98"/>
  <c r="Q535" i="98"/>
  <c r="B536" i="98"/>
  <c r="F536" i="98"/>
  <c r="G536" i="98"/>
  <c r="I536" i="98"/>
  <c r="J536" i="98"/>
  <c r="L536" i="98"/>
  <c r="Q536" i="98"/>
  <c r="B537" i="98"/>
  <c r="F537" i="98"/>
  <c r="G537" i="98"/>
  <c r="I537" i="98"/>
  <c r="J537" i="98"/>
  <c r="L537" i="98"/>
  <c r="Q537" i="98"/>
  <c r="B538" i="98"/>
  <c r="F538" i="98"/>
  <c r="G538" i="98"/>
  <c r="H538" i="98"/>
  <c r="I538" i="98"/>
  <c r="J538" i="98"/>
  <c r="L538" i="98"/>
  <c r="Q538" i="98"/>
  <c r="B539" i="98"/>
  <c r="F539" i="98"/>
  <c r="G539" i="98"/>
  <c r="H539" i="98"/>
  <c r="I539" i="98"/>
  <c r="J539" i="98"/>
  <c r="L539" i="98"/>
  <c r="Q539" i="98"/>
  <c r="B540" i="98"/>
  <c r="F540" i="98"/>
  <c r="G540" i="98"/>
  <c r="H540" i="98"/>
  <c r="I540" i="98"/>
  <c r="J540" i="98"/>
  <c r="L540" i="98"/>
  <c r="Q540" i="98"/>
  <c r="B541" i="98"/>
  <c r="F541" i="98"/>
  <c r="G541" i="98"/>
  <c r="H541" i="98"/>
  <c r="I541" i="98"/>
  <c r="J541" i="98"/>
  <c r="L541" i="98"/>
  <c r="Q541" i="98"/>
  <c r="B542" i="98"/>
  <c r="F542" i="98"/>
  <c r="G542" i="98"/>
  <c r="H542" i="98"/>
  <c r="I542" i="98"/>
  <c r="J542" i="98"/>
  <c r="L542" i="98"/>
  <c r="Q542" i="98"/>
  <c r="B543" i="98"/>
  <c r="F543" i="98"/>
  <c r="G543" i="98"/>
  <c r="H543" i="98"/>
  <c r="I543" i="98"/>
  <c r="J543" i="98"/>
  <c r="L543" i="98"/>
  <c r="Q543" i="98"/>
  <c r="B544" i="98"/>
  <c r="F544" i="98"/>
  <c r="G544" i="98"/>
  <c r="H544" i="98"/>
  <c r="I544" i="98"/>
  <c r="J544" i="98"/>
  <c r="L544" i="98"/>
  <c r="Q544" i="98"/>
  <c r="B545" i="98"/>
  <c r="F545" i="98"/>
  <c r="G545" i="98"/>
  <c r="H545" i="98"/>
  <c r="I545" i="98"/>
  <c r="J545" i="98"/>
  <c r="L545" i="98"/>
  <c r="Q545" i="98"/>
  <c r="B546" i="98"/>
  <c r="F546" i="98"/>
  <c r="G546" i="98"/>
  <c r="I546" i="98"/>
  <c r="J546" i="98"/>
  <c r="L546" i="98"/>
  <c r="Q546" i="98"/>
  <c r="B547" i="98"/>
  <c r="F547" i="98"/>
  <c r="G547" i="98"/>
  <c r="H547" i="98"/>
  <c r="I547" i="98"/>
  <c r="J547" i="98"/>
  <c r="L547" i="98"/>
  <c r="Q547" i="98"/>
  <c r="B548" i="98"/>
  <c r="F548" i="98"/>
  <c r="G548" i="98"/>
  <c r="H548" i="98"/>
  <c r="I548" i="98"/>
  <c r="J548" i="98"/>
  <c r="L548" i="98"/>
  <c r="Q548" i="98"/>
  <c r="B494" i="98"/>
  <c r="F494" i="98"/>
  <c r="G494" i="98"/>
  <c r="H494" i="98"/>
  <c r="I494" i="98"/>
  <c r="J494" i="98"/>
  <c r="L494" i="98"/>
  <c r="Q494" i="98"/>
  <c r="B446" i="98"/>
  <c r="F446" i="98"/>
  <c r="G446" i="98"/>
  <c r="I446" i="98"/>
  <c r="J446" i="98"/>
  <c r="L446" i="98"/>
  <c r="Q446" i="98"/>
  <c r="B447" i="98"/>
  <c r="F447" i="98"/>
  <c r="G447" i="98"/>
  <c r="H447" i="98"/>
  <c r="I447" i="98"/>
  <c r="J447" i="98"/>
  <c r="L447" i="98"/>
  <c r="Q447" i="98"/>
  <c r="B448" i="98"/>
  <c r="F448" i="98"/>
  <c r="G448" i="98"/>
  <c r="H448" i="98"/>
  <c r="I448" i="98"/>
  <c r="J448" i="98"/>
  <c r="L448" i="98"/>
  <c r="Q448" i="98"/>
  <c r="B449" i="98"/>
  <c r="F449" i="98"/>
  <c r="G449" i="98"/>
  <c r="H449" i="98"/>
  <c r="I449" i="98"/>
  <c r="J449" i="98"/>
  <c r="L449" i="98"/>
  <c r="Q449" i="98"/>
  <c r="B450" i="98"/>
  <c r="F450" i="98"/>
  <c r="G450" i="98"/>
  <c r="H450" i="98"/>
  <c r="I450" i="98"/>
  <c r="J450" i="98"/>
  <c r="L450" i="98"/>
  <c r="Q450" i="98"/>
  <c r="B451" i="98"/>
  <c r="F451" i="98"/>
  <c r="G451" i="98"/>
  <c r="H451" i="98"/>
  <c r="I451" i="98"/>
  <c r="J451" i="98"/>
  <c r="L451" i="98"/>
  <c r="Q451" i="98"/>
  <c r="B452" i="98"/>
  <c r="F452" i="98"/>
  <c r="G452" i="98"/>
  <c r="H452" i="98"/>
  <c r="I452" i="98"/>
  <c r="J452" i="98"/>
  <c r="L452" i="98"/>
  <c r="Q452" i="98"/>
  <c r="B453" i="98"/>
  <c r="F453" i="98"/>
  <c r="G453" i="98"/>
  <c r="H453" i="98"/>
  <c r="I453" i="98"/>
  <c r="J453" i="98"/>
  <c r="L453" i="98"/>
  <c r="Q453" i="98"/>
  <c r="B454" i="98"/>
  <c r="F454" i="98"/>
  <c r="G454" i="98"/>
  <c r="H454" i="98"/>
  <c r="I454" i="98"/>
  <c r="J454" i="98"/>
  <c r="L454" i="98"/>
  <c r="Q454" i="98"/>
  <c r="B455" i="98"/>
  <c r="F455" i="98"/>
  <c r="G455" i="98"/>
  <c r="H455" i="98"/>
  <c r="I455" i="98"/>
  <c r="J455" i="98"/>
  <c r="L455" i="98"/>
  <c r="Q455" i="98"/>
  <c r="B456" i="98"/>
  <c r="F456" i="98"/>
  <c r="G456" i="98"/>
  <c r="H456" i="98"/>
  <c r="I456" i="98"/>
  <c r="J456" i="98"/>
  <c r="L456" i="98"/>
  <c r="Q456" i="98"/>
  <c r="B457" i="98"/>
  <c r="F457" i="98"/>
  <c r="G457" i="98"/>
  <c r="H457" i="98"/>
  <c r="I457" i="98"/>
  <c r="J457" i="98"/>
  <c r="L457" i="98"/>
  <c r="Q457" i="98"/>
  <c r="B458" i="98"/>
  <c r="F458" i="98"/>
  <c r="G458" i="98"/>
  <c r="H458" i="98"/>
  <c r="I458" i="98"/>
  <c r="J458" i="98"/>
  <c r="L458" i="98"/>
  <c r="Q458" i="98"/>
  <c r="B459" i="98"/>
  <c r="F459" i="98"/>
  <c r="G459" i="98"/>
  <c r="H459" i="98"/>
  <c r="I459" i="98"/>
  <c r="J459" i="98"/>
  <c r="L459" i="98"/>
  <c r="Q459" i="98"/>
  <c r="B460" i="98"/>
  <c r="F460" i="98"/>
  <c r="G460" i="98"/>
  <c r="H460" i="98"/>
  <c r="I460" i="98"/>
  <c r="J460" i="98"/>
  <c r="L460" i="98"/>
  <c r="Q460" i="98"/>
  <c r="B461" i="98"/>
  <c r="F461" i="98"/>
  <c r="G461" i="98"/>
  <c r="H461" i="98"/>
  <c r="I461" i="98"/>
  <c r="J461" i="98"/>
  <c r="L461" i="98"/>
  <c r="Q461" i="98"/>
  <c r="B462" i="98"/>
  <c r="F462" i="98"/>
  <c r="G462" i="98"/>
  <c r="H462" i="98"/>
  <c r="I462" i="98"/>
  <c r="J462" i="98"/>
  <c r="L462" i="98"/>
  <c r="Q462" i="98"/>
  <c r="B463" i="98"/>
  <c r="F463" i="98"/>
  <c r="G463" i="98"/>
  <c r="H463" i="98"/>
  <c r="I463" i="98"/>
  <c r="J463" i="98"/>
  <c r="L463" i="98"/>
  <c r="Q463" i="98"/>
  <c r="B464" i="98"/>
  <c r="F464" i="98"/>
  <c r="G464" i="98"/>
  <c r="H464" i="98"/>
  <c r="I464" i="98"/>
  <c r="J464" i="98"/>
  <c r="L464" i="98"/>
  <c r="Q464" i="98"/>
  <c r="B465" i="98"/>
  <c r="F465" i="98"/>
  <c r="G465" i="98"/>
  <c r="H465" i="98"/>
  <c r="I465" i="98"/>
  <c r="J465" i="98"/>
  <c r="L465" i="98"/>
  <c r="Q465" i="98"/>
  <c r="B466" i="98"/>
  <c r="F466" i="98"/>
  <c r="G466" i="98"/>
  <c r="H466" i="98"/>
  <c r="I466" i="98"/>
  <c r="J466" i="98"/>
  <c r="L466" i="98"/>
  <c r="Q466" i="98"/>
  <c r="B467" i="98"/>
  <c r="F467" i="98"/>
  <c r="G467" i="98"/>
  <c r="H467" i="98"/>
  <c r="I467" i="98"/>
  <c r="J467" i="98"/>
  <c r="L467" i="98"/>
  <c r="Q467" i="98"/>
  <c r="B468" i="98"/>
  <c r="F468" i="98"/>
  <c r="G468" i="98"/>
  <c r="H468" i="98"/>
  <c r="I468" i="98"/>
  <c r="J468" i="98"/>
  <c r="L468" i="98"/>
  <c r="Q468" i="98"/>
  <c r="B469" i="98"/>
  <c r="F469" i="98"/>
  <c r="G469" i="98"/>
  <c r="H469" i="98"/>
  <c r="I469" i="98"/>
  <c r="J469" i="98"/>
  <c r="L469" i="98"/>
  <c r="Q469" i="98"/>
  <c r="B470" i="98"/>
  <c r="F470" i="98"/>
  <c r="G470" i="98"/>
  <c r="H470" i="98"/>
  <c r="I470" i="98"/>
  <c r="J470" i="98"/>
  <c r="L470" i="98"/>
  <c r="Q470" i="98"/>
  <c r="B471" i="98"/>
  <c r="F471" i="98"/>
  <c r="G471" i="98"/>
  <c r="H471" i="98"/>
  <c r="I471" i="98"/>
  <c r="J471" i="98"/>
  <c r="L471" i="98"/>
  <c r="Q471" i="98"/>
  <c r="B472" i="98"/>
  <c r="F472" i="98"/>
  <c r="G472" i="98"/>
  <c r="H472" i="98"/>
  <c r="I472" i="98"/>
  <c r="J472" i="98"/>
  <c r="L472" i="98"/>
  <c r="Q472" i="98"/>
  <c r="B473" i="98"/>
  <c r="F473" i="98"/>
  <c r="G473" i="98"/>
  <c r="H473" i="98"/>
  <c r="I473" i="98"/>
  <c r="J473" i="98"/>
  <c r="L473" i="98"/>
  <c r="Q473" i="98"/>
  <c r="B474" i="98"/>
  <c r="F474" i="98"/>
  <c r="G474" i="98"/>
  <c r="H474" i="98"/>
  <c r="I474" i="98"/>
  <c r="J474" i="98"/>
  <c r="L474" i="98"/>
  <c r="Q474" i="98"/>
  <c r="B475" i="98"/>
  <c r="F475" i="98"/>
  <c r="G475" i="98"/>
  <c r="H475" i="98"/>
  <c r="I475" i="98"/>
  <c r="J475" i="98"/>
  <c r="L475" i="98"/>
  <c r="Q475" i="98"/>
  <c r="B476" i="98"/>
  <c r="F476" i="98"/>
  <c r="G476" i="98"/>
  <c r="H476" i="98"/>
  <c r="I476" i="98"/>
  <c r="J476" i="98"/>
  <c r="L476" i="98"/>
  <c r="Q476" i="98"/>
  <c r="B477" i="98"/>
  <c r="F477" i="98"/>
  <c r="G477" i="98"/>
  <c r="H477" i="98"/>
  <c r="I477" i="98"/>
  <c r="J477" i="98"/>
  <c r="L477" i="98"/>
  <c r="Q477" i="98"/>
  <c r="B478" i="98"/>
  <c r="F478" i="98"/>
  <c r="G478" i="98"/>
  <c r="H478" i="98"/>
  <c r="I478" i="98"/>
  <c r="J478" i="98"/>
  <c r="L478" i="98"/>
  <c r="Q478" i="98"/>
  <c r="B479" i="98"/>
  <c r="F479" i="98"/>
  <c r="G479" i="98"/>
  <c r="H479" i="98"/>
  <c r="I479" i="98"/>
  <c r="J479" i="98"/>
  <c r="L479" i="98"/>
  <c r="Q479" i="98"/>
  <c r="B480" i="98"/>
  <c r="F480" i="98"/>
  <c r="G480" i="98"/>
  <c r="H480" i="98"/>
  <c r="I480" i="98"/>
  <c r="J480" i="98"/>
  <c r="L480" i="98"/>
  <c r="Q480" i="98"/>
  <c r="B481" i="98"/>
  <c r="F481" i="98"/>
  <c r="G481" i="98"/>
  <c r="I481" i="98"/>
  <c r="J481" i="98"/>
  <c r="L481" i="98"/>
  <c r="Q481" i="98"/>
  <c r="B482" i="98"/>
  <c r="F482" i="98"/>
  <c r="G482" i="98"/>
  <c r="H482" i="98"/>
  <c r="I482" i="98"/>
  <c r="J482" i="98"/>
  <c r="L482" i="98"/>
  <c r="Q482" i="98"/>
  <c r="B483" i="98"/>
  <c r="F483" i="98"/>
  <c r="G483" i="98"/>
  <c r="H483" i="98"/>
  <c r="I483" i="98"/>
  <c r="J483" i="98"/>
  <c r="L483" i="98"/>
  <c r="Q483" i="98"/>
  <c r="B484" i="98"/>
  <c r="F484" i="98"/>
  <c r="G484" i="98"/>
  <c r="H484" i="98"/>
  <c r="I484" i="98"/>
  <c r="J484" i="98"/>
  <c r="L484" i="98"/>
  <c r="Q484" i="98"/>
  <c r="B485" i="98"/>
  <c r="F485" i="98"/>
  <c r="G485" i="98"/>
  <c r="H485" i="98"/>
  <c r="I485" i="98"/>
  <c r="J485" i="98"/>
  <c r="L485" i="98"/>
  <c r="Q485" i="98"/>
  <c r="B486" i="98"/>
  <c r="F486" i="98"/>
  <c r="G486" i="98"/>
  <c r="H486" i="98"/>
  <c r="I486" i="98"/>
  <c r="J486" i="98"/>
  <c r="L486" i="98"/>
  <c r="Q486" i="98"/>
  <c r="B487" i="98"/>
  <c r="F487" i="98"/>
  <c r="G487" i="98"/>
  <c r="H487" i="98"/>
  <c r="I487" i="98"/>
  <c r="J487" i="98"/>
  <c r="L487" i="98"/>
  <c r="Q487" i="98"/>
  <c r="B488" i="98"/>
  <c r="F488" i="98"/>
  <c r="G488" i="98"/>
  <c r="H488" i="98"/>
  <c r="I488" i="98"/>
  <c r="J488" i="98"/>
  <c r="L488" i="98"/>
  <c r="Q488" i="98"/>
  <c r="B489" i="98"/>
  <c r="F489" i="98"/>
  <c r="G489" i="98"/>
  <c r="I489" i="98"/>
  <c r="J489" i="98"/>
  <c r="L489" i="98"/>
  <c r="Q489" i="98"/>
  <c r="B490" i="98"/>
  <c r="F490" i="98"/>
  <c r="G490" i="98"/>
  <c r="H490" i="98"/>
  <c r="I490" i="98"/>
  <c r="J490" i="98"/>
  <c r="L490" i="98"/>
  <c r="Q490" i="98"/>
  <c r="B491" i="98"/>
  <c r="F491" i="98"/>
  <c r="G491" i="98"/>
  <c r="H491" i="98"/>
  <c r="I491" i="98"/>
  <c r="J491" i="98"/>
  <c r="L491" i="98"/>
  <c r="Q491" i="98"/>
  <c r="B492" i="98"/>
  <c r="F492" i="98"/>
  <c r="G492" i="98"/>
  <c r="H492" i="98"/>
  <c r="I492" i="98"/>
  <c r="J492" i="98"/>
  <c r="L492" i="98"/>
  <c r="Q492" i="98"/>
  <c r="B493" i="98"/>
  <c r="F493" i="98"/>
  <c r="G493" i="98"/>
  <c r="H493" i="98"/>
  <c r="I493" i="98"/>
  <c r="J493" i="98"/>
  <c r="L493" i="98"/>
  <c r="Q493" i="98"/>
  <c r="B360" i="98"/>
  <c r="F360" i="98"/>
  <c r="G360" i="98"/>
  <c r="H360" i="98"/>
  <c r="I360" i="98"/>
  <c r="J360" i="98"/>
  <c r="L360" i="98"/>
  <c r="Q360" i="98"/>
  <c r="B361" i="98"/>
  <c r="F361" i="98"/>
  <c r="G361" i="98"/>
  <c r="H361" i="98"/>
  <c r="I361" i="98"/>
  <c r="J361" i="98"/>
  <c r="L361" i="98"/>
  <c r="Q361" i="98"/>
  <c r="B362" i="98"/>
  <c r="F362" i="98"/>
  <c r="G362" i="98"/>
  <c r="H362" i="98"/>
  <c r="I362" i="98"/>
  <c r="J362" i="98"/>
  <c r="L362" i="98"/>
  <c r="Q362" i="98"/>
  <c r="B363" i="98"/>
  <c r="F363" i="98"/>
  <c r="G363" i="98"/>
  <c r="H363" i="98"/>
  <c r="I363" i="98"/>
  <c r="J363" i="98"/>
  <c r="L363" i="98"/>
  <c r="Q363" i="98"/>
  <c r="B364" i="98"/>
  <c r="F364" i="98"/>
  <c r="G364" i="98"/>
  <c r="H364" i="98"/>
  <c r="I364" i="98"/>
  <c r="J364" i="98"/>
  <c r="L364" i="98"/>
  <c r="Q364" i="98"/>
  <c r="B365" i="98"/>
  <c r="F365" i="98"/>
  <c r="G365" i="98"/>
  <c r="H365" i="98"/>
  <c r="I365" i="98"/>
  <c r="J365" i="98"/>
  <c r="L365" i="98"/>
  <c r="Q365" i="98"/>
  <c r="B366" i="98"/>
  <c r="F366" i="98"/>
  <c r="G366" i="98"/>
  <c r="H366" i="98"/>
  <c r="I366" i="98"/>
  <c r="J366" i="98"/>
  <c r="L366" i="98"/>
  <c r="Q366" i="98"/>
  <c r="B367" i="98"/>
  <c r="F367" i="98"/>
  <c r="G367" i="98"/>
  <c r="H367" i="98"/>
  <c r="I367" i="98"/>
  <c r="J367" i="98"/>
  <c r="L367" i="98"/>
  <c r="Q367" i="98"/>
  <c r="B368" i="98"/>
  <c r="F368" i="98"/>
  <c r="G368" i="98"/>
  <c r="H368" i="98"/>
  <c r="I368" i="98"/>
  <c r="J368" i="98"/>
  <c r="L368" i="98"/>
  <c r="Q368" i="98"/>
  <c r="B369" i="98"/>
  <c r="F369" i="98"/>
  <c r="G369" i="98"/>
  <c r="H369" i="98"/>
  <c r="I369" i="98"/>
  <c r="J369" i="98"/>
  <c r="L369" i="98"/>
  <c r="Q369" i="98"/>
  <c r="B370" i="98"/>
  <c r="F370" i="98"/>
  <c r="G370" i="98"/>
  <c r="H370" i="98"/>
  <c r="I370" i="98"/>
  <c r="J370" i="98"/>
  <c r="L370" i="98"/>
  <c r="Q370" i="98"/>
  <c r="B371" i="98"/>
  <c r="F371" i="98"/>
  <c r="G371" i="98"/>
  <c r="H371" i="98"/>
  <c r="I371" i="98"/>
  <c r="J371" i="98"/>
  <c r="L371" i="98"/>
  <c r="Q371" i="98"/>
  <c r="B372" i="98"/>
  <c r="F372" i="98"/>
  <c r="G372" i="98"/>
  <c r="H372" i="98"/>
  <c r="I372" i="98"/>
  <c r="J372" i="98"/>
  <c r="L372" i="98"/>
  <c r="Q372" i="98"/>
  <c r="B373" i="98"/>
  <c r="F373" i="98"/>
  <c r="G373" i="98"/>
  <c r="H373" i="98"/>
  <c r="I373" i="98"/>
  <c r="J373" i="98"/>
  <c r="L373" i="98"/>
  <c r="Q373" i="98"/>
  <c r="B374" i="98"/>
  <c r="F374" i="98"/>
  <c r="G374" i="98"/>
  <c r="H374" i="98"/>
  <c r="I374" i="98"/>
  <c r="J374" i="98"/>
  <c r="L374" i="98"/>
  <c r="Q374" i="98"/>
  <c r="B375" i="98"/>
  <c r="F375" i="98"/>
  <c r="G375" i="98"/>
  <c r="H375" i="98"/>
  <c r="I375" i="98"/>
  <c r="J375" i="98"/>
  <c r="L375" i="98"/>
  <c r="Q375" i="98"/>
  <c r="B376" i="98"/>
  <c r="F376" i="98"/>
  <c r="G376" i="98"/>
  <c r="H376" i="98"/>
  <c r="I376" i="98"/>
  <c r="J376" i="98"/>
  <c r="L376" i="98"/>
  <c r="Q376" i="98"/>
  <c r="B377" i="98"/>
  <c r="F377" i="98"/>
  <c r="G377" i="98"/>
  <c r="H377" i="98"/>
  <c r="I377" i="98"/>
  <c r="J377" i="98"/>
  <c r="L377" i="98"/>
  <c r="Q377" i="98"/>
  <c r="B378" i="98"/>
  <c r="F378" i="98"/>
  <c r="G378" i="98"/>
  <c r="H378" i="98"/>
  <c r="I378" i="98"/>
  <c r="J378" i="98"/>
  <c r="L378" i="98"/>
  <c r="Q378" i="98"/>
  <c r="B379" i="98"/>
  <c r="F379" i="98"/>
  <c r="G379" i="98"/>
  <c r="H379" i="98"/>
  <c r="I379" i="98"/>
  <c r="J379" i="98"/>
  <c r="L379" i="98"/>
  <c r="Q379" i="98"/>
  <c r="B380" i="98"/>
  <c r="F380" i="98"/>
  <c r="G380" i="98"/>
  <c r="H380" i="98"/>
  <c r="I380" i="98"/>
  <c r="J380" i="98"/>
  <c r="L380" i="98"/>
  <c r="Q380" i="98"/>
  <c r="B381" i="98"/>
  <c r="F381" i="98"/>
  <c r="G381" i="98"/>
  <c r="H381" i="98"/>
  <c r="I381" i="98"/>
  <c r="J381" i="98"/>
  <c r="L381" i="98"/>
  <c r="Q381" i="98"/>
  <c r="B382" i="98"/>
  <c r="F382" i="98"/>
  <c r="G382" i="98"/>
  <c r="H382" i="98"/>
  <c r="I382" i="98"/>
  <c r="J382" i="98"/>
  <c r="L382" i="98"/>
  <c r="Q382" i="98"/>
  <c r="B383" i="98"/>
  <c r="F383" i="98"/>
  <c r="G383" i="98"/>
  <c r="H383" i="98"/>
  <c r="I383" i="98"/>
  <c r="J383" i="98"/>
  <c r="L383" i="98"/>
  <c r="Q383" i="98"/>
  <c r="B384" i="98"/>
  <c r="F384" i="98"/>
  <c r="G384" i="98"/>
  <c r="H384" i="98"/>
  <c r="I384" i="98"/>
  <c r="J384" i="98"/>
  <c r="L384" i="98"/>
  <c r="Q384" i="98"/>
  <c r="B385" i="98"/>
  <c r="F385" i="98"/>
  <c r="G385" i="98"/>
  <c r="H385" i="98"/>
  <c r="I385" i="98"/>
  <c r="J385" i="98"/>
  <c r="L385" i="98"/>
  <c r="Q385" i="98"/>
  <c r="B386" i="98"/>
  <c r="F386" i="98"/>
  <c r="G386" i="98"/>
  <c r="I386" i="98"/>
  <c r="J386" i="98"/>
  <c r="L386" i="98"/>
  <c r="Q386" i="98"/>
  <c r="B387" i="98"/>
  <c r="F387" i="98"/>
  <c r="G387" i="98"/>
  <c r="H387" i="98"/>
  <c r="I387" i="98"/>
  <c r="J387" i="98"/>
  <c r="L387" i="98"/>
  <c r="Q387" i="98"/>
  <c r="B388" i="98"/>
  <c r="F388" i="98"/>
  <c r="G388" i="98"/>
  <c r="H388" i="98"/>
  <c r="I388" i="98"/>
  <c r="J388" i="98"/>
  <c r="L388" i="98"/>
  <c r="Q388" i="98"/>
  <c r="B389" i="98"/>
  <c r="F389" i="98"/>
  <c r="G389" i="98"/>
  <c r="H389" i="98"/>
  <c r="I389" i="98"/>
  <c r="J389" i="98"/>
  <c r="L389" i="98"/>
  <c r="Q389" i="98"/>
  <c r="B390" i="98"/>
  <c r="F390" i="98"/>
  <c r="G390" i="98"/>
  <c r="H390" i="98"/>
  <c r="I390" i="98"/>
  <c r="J390" i="98"/>
  <c r="L390" i="98"/>
  <c r="Q390" i="98"/>
  <c r="B391" i="98"/>
  <c r="F391" i="98"/>
  <c r="G391" i="98"/>
  <c r="H391" i="98"/>
  <c r="I391" i="98"/>
  <c r="J391" i="98"/>
  <c r="L391" i="98"/>
  <c r="Q391" i="98"/>
  <c r="B392" i="98"/>
  <c r="F392" i="98"/>
  <c r="G392" i="98"/>
  <c r="H392" i="98"/>
  <c r="I392" i="98"/>
  <c r="J392" i="98"/>
  <c r="L392" i="98"/>
  <c r="Q392" i="98"/>
  <c r="B393" i="98"/>
  <c r="F393" i="98"/>
  <c r="G393" i="98"/>
  <c r="H393" i="98"/>
  <c r="I393" i="98"/>
  <c r="J393" i="98"/>
  <c r="L393" i="98"/>
  <c r="Q393" i="98"/>
  <c r="B394" i="98"/>
  <c r="F394" i="98"/>
  <c r="G394" i="98"/>
  <c r="I394" i="98"/>
  <c r="J394" i="98"/>
  <c r="L394" i="98"/>
  <c r="Q394" i="98"/>
  <c r="B395" i="98"/>
  <c r="F395" i="98"/>
  <c r="G395" i="98"/>
  <c r="H395" i="98"/>
  <c r="I395" i="98"/>
  <c r="J395" i="98"/>
  <c r="L395" i="98"/>
  <c r="Q395" i="98"/>
  <c r="B396" i="98"/>
  <c r="F396" i="98"/>
  <c r="G396" i="98"/>
  <c r="H396" i="98"/>
  <c r="I396" i="98"/>
  <c r="J396" i="98"/>
  <c r="L396" i="98"/>
  <c r="Q396" i="98"/>
  <c r="B397" i="98"/>
  <c r="F397" i="98"/>
  <c r="G397" i="98"/>
  <c r="H397" i="98"/>
  <c r="I397" i="98"/>
  <c r="J397" i="98"/>
  <c r="L397" i="98"/>
  <c r="Q397" i="98"/>
  <c r="B398" i="98"/>
  <c r="F398" i="98"/>
  <c r="G398" i="98"/>
  <c r="I398" i="98"/>
  <c r="J398" i="98"/>
  <c r="L398" i="98"/>
  <c r="Q398" i="98"/>
  <c r="B399" i="98"/>
  <c r="F399" i="98"/>
  <c r="G399" i="98"/>
  <c r="H399" i="98"/>
  <c r="I399" i="98"/>
  <c r="J399" i="98"/>
  <c r="L399" i="98"/>
  <c r="Q399" i="98"/>
  <c r="B400" i="98"/>
  <c r="F400" i="98"/>
  <c r="G400" i="98"/>
  <c r="H400" i="98"/>
  <c r="I400" i="98"/>
  <c r="J400" i="98"/>
  <c r="L400" i="98"/>
  <c r="Q400" i="98"/>
  <c r="B401" i="98"/>
  <c r="F401" i="98"/>
  <c r="G401" i="98"/>
  <c r="H401" i="98"/>
  <c r="I401" i="98"/>
  <c r="J401" i="98"/>
  <c r="L401" i="98"/>
  <c r="Q401" i="98"/>
  <c r="B402" i="98"/>
  <c r="F402" i="98"/>
  <c r="G402" i="98"/>
  <c r="H402" i="98"/>
  <c r="I402" i="98"/>
  <c r="J402" i="98"/>
  <c r="L402" i="98"/>
  <c r="Q402" i="98"/>
  <c r="B403" i="98"/>
  <c r="F403" i="98"/>
  <c r="G403" i="98"/>
  <c r="H403" i="98"/>
  <c r="I403" i="98"/>
  <c r="J403" i="98"/>
  <c r="L403" i="98"/>
  <c r="Q403" i="98"/>
  <c r="B404" i="98"/>
  <c r="F404" i="98"/>
  <c r="G404" i="98"/>
  <c r="H404" i="98"/>
  <c r="I404" i="98"/>
  <c r="J404" i="98"/>
  <c r="L404" i="98"/>
  <c r="Q404" i="98"/>
  <c r="B405" i="98"/>
  <c r="F405" i="98"/>
  <c r="G405" i="98"/>
  <c r="H405" i="98"/>
  <c r="I405" i="98"/>
  <c r="J405" i="98"/>
  <c r="L405" i="98"/>
  <c r="Q405" i="98"/>
  <c r="B406" i="98"/>
  <c r="F406" i="98"/>
  <c r="G406" i="98"/>
  <c r="H406" i="98"/>
  <c r="I406" i="98"/>
  <c r="J406" i="98"/>
  <c r="L406" i="98"/>
  <c r="Q406" i="98"/>
  <c r="B407" i="98"/>
  <c r="F407" i="98"/>
  <c r="G407" i="98"/>
  <c r="H407" i="98"/>
  <c r="I407" i="98"/>
  <c r="J407" i="98"/>
  <c r="L407" i="98"/>
  <c r="Q407" i="98"/>
  <c r="B408" i="98"/>
  <c r="F408" i="98"/>
  <c r="G408" i="98"/>
  <c r="H408" i="98"/>
  <c r="I408" i="98"/>
  <c r="J408" i="98"/>
  <c r="L408" i="98"/>
  <c r="Q408" i="98"/>
  <c r="B409" i="98"/>
  <c r="F409" i="98"/>
  <c r="G409" i="98"/>
  <c r="H409" i="98"/>
  <c r="I409" i="98"/>
  <c r="J409" i="98"/>
  <c r="L409" i="98"/>
  <c r="Q409" i="98"/>
  <c r="B410" i="98"/>
  <c r="F410" i="98"/>
  <c r="G410" i="98"/>
  <c r="H410" i="98"/>
  <c r="I410" i="98"/>
  <c r="J410" i="98"/>
  <c r="L410" i="98"/>
  <c r="Q410" i="98"/>
  <c r="B411" i="98"/>
  <c r="F411" i="98"/>
  <c r="G411" i="98"/>
  <c r="H411" i="98"/>
  <c r="I411" i="98"/>
  <c r="J411" i="98"/>
  <c r="L411" i="98"/>
  <c r="Q411" i="98"/>
  <c r="B412" i="98"/>
  <c r="F412" i="98"/>
  <c r="G412" i="98"/>
  <c r="H412" i="98"/>
  <c r="I412" i="98"/>
  <c r="J412" i="98"/>
  <c r="L412" i="98"/>
  <c r="Q412" i="98"/>
  <c r="B413" i="98"/>
  <c r="F413" i="98"/>
  <c r="G413" i="98"/>
  <c r="H413" i="98"/>
  <c r="I413" i="98"/>
  <c r="J413" i="98"/>
  <c r="L413" i="98"/>
  <c r="Q413" i="98"/>
  <c r="B414" i="98"/>
  <c r="F414" i="98"/>
  <c r="G414" i="98"/>
  <c r="H414" i="98"/>
  <c r="I414" i="98"/>
  <c r="J414" i="98"/>
  <c r="L414" i="98"/>
  <c r="Q414" i="98"/>
  <c r="B415" i="98"/>
  <c r="F415" i="98"/>
  <c r="G415" i="98"/>
  <c r="H415" i="98"/>
  <c r="I415" i="98"/>
  <c r="J415" i="98"/>
  <c r="L415" i="98"/>
  <c r="Q415" i="98"/>
  <c r="B416" i="98"/>
  <c r="F416" i="98"/>
  <c r="G416" i="98"/>
  <c r="H416" i="98"/>
  <c r="I416" i="98"/>
  <c r="J416" i="98"/>
  <c r="L416" i="98"/>
  <c r="Q416" i="98"/>
  <c r="B417" i="98"/>
  <c r="F417" i="98"/>
  <c r="G417" i="98"/>
  <c r="H417" i="98"/>
  <c r="I417" i="98"/>
  <c r="J417" i="98"/>
  <c r="L417" i="98"/>
  <c r="Q417" i="98"/>
  <c r="B418" i="98"/>
  <c r="F418" i="98"/>
  <c r="G418" i="98"/>
  <c r="H418" i="98"/>
  <c r="I418" i="98"/>
  <c r="J418" i="98"/>
  <c r="L418" i="98"/>
  <c r="Q418" i="98"/>
  <c r="B419" i="98"/>
  <c r="F419" i="98"/>
  <c r="G419" i="98"/>
  <c r="H419" i="98"/>
  <c r="I419" i="98"/>
  <c r="J419" i="98"/>
  <c r="L419" i="98"/>
  <c r="Q419" i="98"/>
  <c r="B420" i="98"/>
  <c r="F420" i="98"/>
  <c r="G420" i="98"/>
  <c r="H420" i="98"/>
  <c r="I420" i="98"/>
  <c r="J420" i="98"/>
  <c r="L420" i="98"/>
  <c r="Q420" i="98"/>
  <c r="B421" i="98"/>
  <c r="F421" i="98"/>
  <c r="G421" i="98"/>
  <c r="H421" i="98"/>
  <c r="I421" i="98"/>
  <c r="J421" i="98"/>
  <c r="L421" i="98"/>
  <c r="Q421" i="98"/>
  <c r="B422" i="98"/>
  <c r="F422" i="98"/>
  <c r="G422" i="98"/>
  <c r="H422" i="98"/>
  <c r="I422" i="98"/>
  <c r="J422" i="98"/>
  <c r="L422" i="98"/>
  <c r="Q422" i="98"/>
  <c r="B423" i="98"/>
  <c r="F423" i="98"/>
  <c r="G423" i="98"/>
  <c r="H423" i="98"/>
  <c r="I423" i="98"/>
  <c r="J423" i="98"/>
  <c r="L423" i="98"/>
  <c r="Q423" i="98"/>
  <c r="B424" i="98"/>
  <c r="F424" i="98"/>
  <c r="G424" i="98"/>
  <c r="H424" i="98"/>
  <c r="I424" i="98"/>
  <c r="J424" i="98"/>
  <c r="L424" i="98"/>
  <c r="Q424" i="98"/>
  <c r="B425" i="98"/>
  <c r="F425" i="98"/>
  <c r="G425" i="98"/>
  <c r="H425" i="98"/>
  <c r="I425" i="98"/>
  <c r="J425" i="98"/>
  <c r="L425" i="98"/>
  <c r="Q425" i="98"/>
  <c r="B426" i="98"/>
  <c r="F426" i="98"/>
  <c r="G426" i="98"/>
  <c r="H426" i="98"/>
  <c r="I426" i="98"/>
  <c r="J426" i="98"/>
  <c r="L426" i="98"/>
  <c r="Q426" i="98"/>
  <c r="B427" i="98"/>
  <c r="F427" i="98"/>
  <c r="G427" i="98"/>
  <c r="H427" i="98"/>
  <c r="I427" i="98"/>
  <c r="J427" i="98"/>
  <c r="L427" i="98"/>
  <c r="Q427" i="98"/>
  <c r="B428" i="98"/>
  <c r="F428" i="98"/>
  <c r="G428" i="98"/>
  <c r="H428" i="98"/>
  <c r="I428" i="98"/>
  <c r="J428" i="98"/>
  <c r="L428" i="98"/>
  <c r="Q428" i="98"/>
  <c r="B429" i="98"/>
  <c r="F429" i="98"/>
  <c r="G429" i="98"/>
  <c r="H429" i="98"/>
  <c r="I429" i="98"/>
  <c r="J429" i="98"/>
  <c r="L429" i="98"/>
  <c r="Q429" i="98"/>
  <c r="B430" i="98"/>
  <c r="F430" i="98"/>
  <c r="G430" i="98"/>
  <c r="H430" i="98"/>
  <c r="I430" i="98"/>
  <c r="J430" i="98"/>
  <c r="L430" i="98"/>
  <c r="Q430" i="98"/>
  <c r="B431" i="98"/>
  <c r="F431" i="98"/>
  <c r="G431" i="98"/>
  <c r="H431" i="98"/>
  <c r="I431" i="98"/>
  <c r="J431" i="98"/>
  <c r="L431" i="98"/>
  <c r="Q431" i="98"/>
  <c r="B432" i="98"/>
  <c r="F432" i="98"/>
  <c r="G432" i="98"/>
  <c r="H432" i="98"/>
  <c r="I432" i="98"/>
  <c r="J432" i="98"/>
  <c r="L432" i="98"/>
  <c r="Q432" i="98"/>
  <c r="B433" i="98"/>
  <c r="F433" i="98"/>
  <c r="G433" i="98"/>
  <c r="H433" i="98"/>
  <c r="I433" i="98"/>
  <c r="J433" i="98"/>
  <c r="L433" i="98"/>
  <c r="Q433" i="98"/>
  <c r="B434" i="98"/>
  <c r="F434" i="98"/>
  <c r="G434" i="98"/>
  <c r="H434" i="98"/>
  <c r="I434" i="98"/>
  <c r="J434" i="98"/>
  <c r="L434" i="98"/>
  <c r="Q434" i="98"/>
  <c r="B435" i="98"/>
  <c r="F435" i="98"/>
  <c r="G435" i="98"/>
  <c r="H435" i="98"/>
  <c r="I435" i="98"/>
  <c r="J435" i="98"/>
  <c r="L435" i="98"/>
  <c r="Q435" i="98"/>
  <c r="B436" i="98"/>
  <c r="F436" i="98"/>
  <c r="G436" i="98"/>
  <c r="H436" i="98"/>
  <c r="I436" i="98"/>
  <c r="J436" i="98"/>
  <c r="L436" i="98"/>
  <c r="Q436" i="98"/>
  <c r="B437" i="98"/>
  <c r="F437" i="98"/>
  <c r="G437" i="98"/>
  <c r="H437" i="98"/>
  <c r="I437" i="98"/>
  <c r="J437" i="98"/>
  <c r="L437" i="98"/>
  <c r="Q437" i="98"/>
  <c r="B438" i="98"/>
  <c r="F438" i="98"/>
  <c r="G438" i="98"/>
  <c r="H438" i="98"/>
  <c r="I438" i="98"/>
  <c r="J438" i="98"/>
  <c r="L438" i="98"/>
  <c r="Q438" i="98"/>
  <c r="B439" i="98"/>
  <c r="F439" i="98"/>
  <c r="G439" i="98"/>
  <c r="H439" i="98"/>
  <c r="I439" i="98"/>
  <c r="J439" i="98"/>
  <c r="L439" i="98"/>
  <c r="Q439" i="98"/>
  <c r="B440" i="98"/>
  <c r="F440" i="98"/>
  <c r="G440" i="98"/>
  <c r="H440" i="98"/>
  <c r="I440" i="98"/>
  <c r="J440" i="98"/>
  <c r="L440" i="98"/>
  <c r="Q440" i="98"/>
  <c r="B441" i="98"/>
  <c r="F441" i="98"/>
  <c r="G441" i="98"/>
  <c r="H441" i="98"/>
  <c r="I441" i="98"/>
  <c r="J441" i="98"/>
  <c r="L441" i="98"/>
  <c r="Q441" i="98"/>
  <c r="B442" i="98"/>
  <c r="F442" i="98"/>
  <c r="G442" i="98"/>
  <c r="I442" i="98"/>
  <c r="J442" i="98"/>
  <c r="L442" i="98"/>
  <c r="Q442" i="98"/>
  <c r="B443" i="98"/>
  <c r="F443" i="98"/>
  <c r="G443" i="98"/>
  <c r="H443" i="98"/>
  <c r="I443" i="98"/>
  <c r="J443" i="98"/>
  <c r="L443" i="98"/>
  <c r="Q443" i="98"/>
  <c r="B444" i="98"/>
  <c r="F444" i="98"/>
  <c r="G444" i="98"/>
  <c r="H444" i="98"/>
  <c r="I444" i="98"/>
  <c r="J444" i="98"/>
  <c r="L444" i="98"/>
  <c r="Q444" i="98"/>
  <c r="B445" i="98"/>
  <c r="F445" i="98"/>
  <c r="G445" i="98"/>
  <c r="H445" i="98"/>
  <c r="I445" i="98"/>
  <c r="J445" i="98"/>
  <c r="L445" i="98"/>
  <c r="Q445" i="98"/>
  <c r="B330" i="98"/>
  <c r="F330" i="98"/>
  <c r="G330" i="98"/>
  <c r="H330" i="98"/>
  <c r="I330" i="98"/>
  <c r="J330" i="98"/>
  <c r="L330" i="98"/>
  <c r="Q330" i="98"/>
  <c r="B331" i="98"/>
  <c r="F331" i="98"/>
  <c r="G331" i="98"/>
  <c r="H331" i="98"/>
  <c r="I331" i="98"/>
  <c r="J331" i="98"/>
  <c r="L331" i="98"/>
  <c r="Q331" i="98"/>
  <c r="B332" i="98"/>
  <c r="F332" i="98"/>
  <c r="G332" i="98"/>
  <c r="H332" i="98"/>
  <c r="I332" i="98"/>
  <c r="J332" i="98"/>
  <c r="L332" i="98"/>
  <c r="Q332" i="98"/>
  <c r="B333" i="98"/>
  <c r="F333" i="98"/>
  <c r="G333" i="98"/>
  <c r="H333" i="98"/>
  <c r="I333" i="98"/>
  <c r="J333" i="98"/>
  <c r="L333" i="98"/>
  <c r="Q333" i="98"/>
  <c r="B334" i="98"/>
  <c r="F334" i="98"/>
  <c r="G334" i="98"/>
  <c r="H334" i="98"/>
  <c r="I334" i="98"/>
  <c r="J334" i="98"/>
  <c r="L334" i="98"/>
  <c r="Q334" i="98"/>
  <c r="B335" i="98"/>
  <c r="F335" i="98"/>
  <c r="G335" i="98"/>
  <c r="H335" i="98"/>
  <c r="I335" i="98"/>
  <c r="J335" i="98"/>
  <c r="L335" i="98"/>
  <c r="Q335" i="98"/>
  <c r="B336" i="98"/>
  <c r="F336" i="98"/>
  <c r="G336" i="98"/>
  <c r="H336" i="98"/>
  <c r="I336" i="98"/>
  <c r="J336" i="98"/>
  <c r="L336" i="98"/>
  <c r="Q336" i="98"/>
  <c r="B337" i="98"/>
  <c r="F337" i="98"/>
  <c r="G337" i="98"/>
  <c r="H337" i="98"/>
  <c r="I337" i="98"/>
  <c r="J337" i="98"/>
  <c r="L337" i="98"/>
  <c r="Q337" i="98"/>
  <c r="B338" i="98"/>
  <c r="F338" i="98"/>
  <c r="G338" i="98"/>
  <c r="H338" i="98"/>
  <c r="I338" i="98"/>
  <c r="J338" i="98"/>
  <c r="L338" i="98"/>
  <c r="Q338" i="98"/>
  <c r="B339" i="98"/>
  <c r="F339" i="98"/>
  <c r="G339" i="98"/>
  <c r="H339" i="98"/>
  <c r="I339" i="98"/>
  <c r="J339" i="98"/>
  <c r="L339" i="98"/>
  <c r="Q339" i="98"/>
  <c r="B340" i="98"/>
  <c r="F340" i="98"/>
  <c r="G340" i="98"/>
  <c r="H340" i="98"/>
  <c r="I340" i="98"/>
  <c r="J340" i="98"/>
  <c r="L340" i="98"/>
  <c r="Q340" i="98"/>
  <c r="B341" i="98"/>
  <c r="F341" i="98"/>
  <c r="G341" i="98"/>
  <c r="H341" i="98"/>
  <c r="I341" i="98"/>
  <c r="J341" i="98"/>
  <c r="L341" i="98"/>
  <c r="Q341" i="98"/>
  <c r="B342" i="98"/>
  <c r="F342" i="98"/>
  <c r="G342" i="98"/>
  <c r="H342" i="98"/>
  <c r="I342" i="98"/>
  <c r="J342" i="98"/>
  <c r="L342" i="98"/>
  <c r="Q342" i="98"/>
  <c r="B343" i="98"/>
  <c r="F343" i="98"/>
  <c r="G343" i="98"/>
  <c r="H343" i="98"/>
  <c r="I343" i="98"/>
  <c r="J343" i="98"/>
  <c r="L343" i="98"/>
  <c r="Q343" i="98"/>
  <c r="B344" i="98"/>
  <c r="F344" i="98"/>
  <c r="G344" i="98"/>
  <c r="H344" i="98"/>
  <c r="I344" i="98"/>
  <c r="J344" i="98"/>
  <c r="L344" i="98"/>
  <c r="Q344" i="98"/>
  <c r="B345" i="98"/>
  <c r="F345" i="98"/>
  <c r="G345" i="98"/>
  <c r="H345" i="98"/>
  <c r="I345" i="98"/>
  <c r="J345" i="98"/>
  <c r="L345" i="98"/>
  <c r="Q345" i="98"/>
  <c r="B346" i="98"/>
  <c r="F346" i="98"/>
  <c r="G346" i="98"/>
  <c r="H346" i="98"/>
  <c r="I346" i="98"/>
  <c r="J346" i="98"/>
  <c r="L346" i="98"/>
  <c r="Q346" i="98"/>
  <c r="B347" i="98"/>
  <c r="F347" i="98"/>
  <c r="G347" i="98"/>
  <c r="H347" i="98"/>
  <c r="I347" i="98"/>
  <c r="J347" i="98"/>
  <c r="L347" i="98"/>
  <c r="Q347" i="98"/>
  <c r="B348" i="98"/>
  <c r="F348" i="98"/>
  <c r="G348" i="98"/>
  <c r="H348" i="98"/>
  <c r="I348" i="98"/>
  <c r="J348" i="98"/>
  <c r="L348" i="98"/>
  <c r="Q348" i="98"/>
  <c r="B349" i="98"/>
  <c r="F349" i="98"/>
  <c r="G349" i="98"/>
  <c r="H349" i="98"/>
  <c r="I349" i="98"/>
  <c r="J349" i="98"/>
  <c r="L349" i="98"/>
  <c r="Q349" i="98"/>
  <c r="B350" i="98"/>
  <c r="F350" i="98"/>
  <c r="G350" i="98"/>
  <c r="H350" i="98"/>
  <c r="I350" i="98"/>
  <c r="J350" i="98"/>
  <c r="L350" i="98"/>
  <c r="Q350" i="98"/>
  <c r="B351" i="98"/>
  <c r="F351" i="98"/>
  <c r="G351" i="98"/>
  <c r="H351" i="98"/>
  <c r="I351" i="98"/>
  <c r="J351" i="98"/>
  <c r="L351" i="98"/>
  <c r="Q351" i="98"/>
  <c r="B352" i="98"/>
  <c r="F352" i="98"/>
  <c r="G352" i="98"/>
  <c r="H352" i="98"/>
  <c r="I352" i="98"/>
  <c r="J352" i="98"/>
  <c r="L352" i="98"/>
  <c r="Q352" i="98"/>
  <c r="B353" i="98"/>
  <c r="F353" i="98"/>
  <c r="G353" i="98"/>
  <c r="H353" i="98"/>
  <c r="I353" i="98"/>
  <c r="J353" i="98"/>
  <c r="L353" i="98"/>
  <c r="Q353" i="98"/>
  <c r="B354" i="98"/>
  <c r="F354" i="98"/>
  <c r="G354" i="98"/>
  <c r="H354" i="98"/>
  <c r="I354" i="98"/>
  <c r="J354" i="98"/>
  <c r="L354" i="98"/>
  <c r="Q354" i="98"/>
  <c r="B355" i="98"/>
  <c r="F355" i="98"/>
  <c r="G355" i="98"/>
  <c r="H355" i="98"/>
  <c r="I355" i="98"/>
  <c r="J355" i="98"/>
  <c r="L355" i="98"/>
  <c r="Q355" i="98"/>
  <c r="B356" i="98"/>
  <c r="F356" i="98"/>
  <c r="G356" i="98"/>
  <c r="H356" i="98"/>
  <c r="I356" i="98"/>
  <c r="J356" i="98"/>
  <c r="L356" i="98"/>
  <c r="Q356" i="98"/>
  <c r="B357" i="98"/>
  <c r="F357" i="98"/>
  <c r="G357" i="98"/>
  <c r="H357" i="98"/>
  <c r="I357" i="98"/>
  <c r="J357" i="98"/>
  <c r="L357" i="98"/>
  <c r="Q357" i="98"/>
  <c r="B358" i="98"/>
  <c r="F358" i="98"/>
  <c r="G358" i="98"/>
  <c r="H358" i="98"/>
  <c r="I358" i="98"/>
  <c r="J358" i="98"/>
  <c r="L358" i="98"/>
  <c r="Q358" i="98"/>
  <c r="B359" i="98"/>
  <c r="F359" i="98"/>
  <c r="G359" i="98"/>
  <c r="H359" i="98"/>
  <c r="I359" i="98"/>
  <c r="J359" i="98"/>
  <c r="L359" i="98"/>
  <c r="Q359" i="98"/>
  <c r="B282" i="98"/>
  <c r="F282" i="98"/>
  <c r="G282" i="98"/>
  <c r="H282" i="98"/>
  <c r="I282" i="98"/>
  <c r="J282" i="98"/>
  <c r="L282" i="98"/>
  <c r="Q282" i="98"/>
  <c r="B283" i="98"/>
  <c r="F283" i="98"/>
  <c r="G283" i="98"/>
  <c r="H283" i="98"/>
  <c r="I283" i="98"/>
  <c r="J283" i="98"/>
  <c r="L283" i="98"/>
  <c r="Q283" i="98"/>
  <c r="B284" i="98"/>
  <c r="F284" i="98"/>
  <c r="G284" i="98"/>
  <c r="H284" i="98"/>
  <c r="I284" i="98"/>
  <c r="J284" i="98"/>
  <c r="L284" i="98"/>
  <c r="Q284" i="98"/>
  <c r="B285" i="98"/>
  <c r="F285" i="98"/>
  <c r="G285" i="98"/>
  <c r="H285" i="98"/>
  <c r="I285" i="98"/>
  <c r="J285" i="98"/>
  <c r="L285" i="98"/>
  <c r="Q285" i="98"/>
  <c r="B286" i="98"/>
  <c r="F286" i="98"/>
  <c r="G286" i="98"/>
  <c r="H286" i="98"/>
  <c r="I286" i="98"/>
  <c r="J286" i="98"/>
  <c r="L286" i="98"/>
  <c r="Q286" i="98"/>
  <c r="B287" i="98"/>
  <c r="F287" i="98"/>
  <c r="G287" i="98"/>
  <c r="H287" i="98"/>
  <c r="I287" i="98"/>
  <c r="J287" i="98"/>
  <c r="L287" i="98"/>
  <c r="Q287" i="98"/>
  <c r="B288" i="98"/>
  <c r="F288" i="98"/>
  <c r="G288" i="98"/>
  <c r="H288" i="98"/>
  <c r="I288" i="98"/>
  <c r="J288" i="98"/>
  <c r="L288" i="98"/>
  <c r="Q288" i="98"/>
  <c r="B289" i="98"/>
  <c r="F289" i="98"/>
  <c r="G289" i="98"/>
  <c r="H289" i="98"/>
  <c r="I289" i="98"/>
  <c r="J289" i="98"/>
  <c r="L289" i="98"/>
  <c r="Q289" i="98"/>
  <c r="B290" i="98"/>
  <c r="F290" i="98"/>
  <c r="G290" i="98"/>
  <c r="H290" i="98"/>
  <c r="I290" i="98"/>
  <c r="J290" i="98"/>
  <c r="L290" i="98"/>
  <c r="Q290" i="98"/>
  <c r="B291" i="98"/>
  <c r="F291" i="98"/>
  <c r="G291" i="98"/>
  <c r="H291" i="98"/>
  <c r="I291" i="98"/>
  <c r="J291" i="98"/>
  <c r="L291" i="98"/>
  <c r="Q291" i="98"/>
  <c r="B292" i="98"/>
  <c r="F292" i="98"/>
  <c r="G292" i="98"/>
  <c r="H292" i="98"/>
  <c r="I292" i="98"/>
  <c r="J292" i="98"/>
  <c r="L292" i="98"/>
  <c r="Q292" i="98"/>
  <c r="B293" i="98"/>
  <c r="F293" i="98"/>
  <c r="G293" i="98"/>
  <c r="H293" i="98"/>
  <c r="I293" i="98"/>
  <c r="J293" i="98"/>
  <c r="L293" i="98"/>
  <c r="Q293" i="98"/>
  <c r="B294" i="98"/>
  <c r="F294" i="98"/>
  <c r="G294" i="98"/>
  <c r="H294" i="98"/>
  <c r="I294" i="98"/>
  <c r="J294" i="98"/>
  <c r="L294" i="98"/>
  <c r="Q294" i="98"/>
  <c r="B295" i="98"/>
  <c r="F295" i="98"/>
  <c r="G295" i="98"/>
  <c r="H295" i="98"/>
  <c r="I295" i="98"/>
  <c r="J295" i="98"/>
  <c r="L295" i="98"/>
  <c r="Q295" i="98"/>
  <c r="B296" i="98"/>
  <c r="F296" i="98"/>
  <c r="G296" i="98"/>
  <c r="H296" i="98"/>
  <c r="I296" i="98"/>
  <c r="J296" i="98"/>
  <c r="L296" i="98"/>
  <c r="Q296" i="98"/>
  <c r="B297" i="98"/>
  <c r="F297" i="98"/>
  <c r="G297" i="98"/>
  <c r="H297" i="98"/>
  <c r="I297" i="98"/>
  <c r="J297" i="98"/>
  <c r="L297" i="98"/>
  <c r="Q297" i="98"/>
  <c r="B298" i="98"/>
  <c r="F298" i="98"/>
  <c r="G298" i="98"/>
  <c r="H298" i="98"/>
  <c r="I298" i="98"/>
  <c r="J298" i="98"/>
  <c r="L298" i="98"/>
  <c r="Q298" i="98"/>
  <c r="B299" i="98"/>
  <c r="F299" i="98"/>
  <c r="G299" i="98"/>
  <c r="H299" i="98"/>
  <c r="I299" i="98"/>
  <c r="J299" i="98"/>
  <c r="L299" i="98"/>
  <c r="Q299" i="98"/>
  <c r="B300" i="98"/>
  <c r="F300" i="98"/>
  <c r="G300" i="98"/>
  <c r="H300" i="98"/>
  <c r="I300" i="98"/>
  <c r="J300" i="98"/>
  <c r="L300" i="98"/>
  <c r="Q300" i="98"/>
  <c r="B301" i="98"/>
  <c r="F301" i="98"/>
  <c r="G301" i="98"/>
  <c r="H301" i="98"/>
  <c r="I301" i="98"/>
  <c r="J301" i="98"/>
  <c r="L301" i="98"/>
  <c r="Q301" i="98"/>
  <c r="B302" i="98"/>
  <c r="F302" i="98"/>
  <c r="G302" i="98"/>
  <c r="H302" i="98"/>
  <c r="I302" i="98"/>
  <c r="J302" i="98"/>
  <c r="L302" i="98"/>
  <c r="Q302" i="98"/>
  <c r="B303" i="98"/>
  <c r="F303" i="98"/>
  <c r="G303" i="98"/>
  <c r="H303" i="98"/>
  <c r="I303" i="98"/>
  <c r="J303" i="98"/>
  <c r="L303" i="98"/>
  <c r="Q303" i="98"/>
  <c r="B304" i="98"/>
  <c r="F304" i="98"/>
  <c r="G304" i="98"/>
  <c r="H304" i="98"/>
  <c r="I304" i="98"/>
  <c r="J304" i="98"/>
  <c r="L304" i="98"/>
  <c r="Q304" i="98"/>
  <c r="B305" i="98"/>
  <c r="F305" i="98"/>
  <c r="G305" i="98"/>
  <c r="H305" i="98"/>
  <c r="I305" i="98"/>
  <c r="J305" i="98"/>
  <c r="L305" i="98"/>
  <c r="Q305" i="98"/>
  <c r="B306" i="98"/>
  <c r="F306" i="98"/>
  <c r="G306" i="98"/>
  <c r="H306" i="98"/>
  <c r="I306" i="98"/>
  <c r="J306" i="98"/>
  <c r="L306" i="98"/>
  <c r="Q306" i="98"/>
  <c r="B307" i="98"/>
  <c r="F307" i="98"/>
  <c r="G307" i="98"/>
  <c r="H307" i="98"/>
  <c r="I307" i="98"/>
  <c r="J307" i="98"/>
  <c r="L307" i="98"/>
  <c r="Q307" i="98"/>
  <c r="B308" i="98"/>
  <c r="F308" i="98"/>
  <c r="G308" i="98"/>
  <c r="H308" i="98"/>
  <c r="I308" i="98"/>
  <c r="J308" i="98"/>
  <c r="L308" i="98"/>
  <c r="Q308" i="98"/>
  <c r="B309" i="98"/>
  <c r="F309" i="98"/>
  <c r="G309" i="98"/>
  <c r="H309" i="98"/>
  <c r="I309" i="98"/>
  <c r="J309" i="98"/>
  <c r="L309" i="98"/>
  <c r="Q309" i="98"/>
  <c r="B310" i="98"/>
  <c r="F310" i="98"/>
  <c r="G310" i="98"/>
  <c r="H310" i="98"/>
  <c r="I310" i="98"/>
  <c r="J310" i="98"/>
  <c r="L310" i="98"/>
  <c r="Q310" i="98"/>
  <c r="B311" i="98"/>
  <c r="F311" i="98"/>
  <c r="G311" i="98"/>
  <c r="H311" i="98"/>
  <c r="I311" i="98"/>
  <c r="J311" i="98"/>
  <c r="L311" i="98"/>
  <c r="Q311" i="98"/>
  <c r="B312" i="98"/>
  <c r="F312" i="98"/>
  <c r="G312" i="98"/>
  <c r="H312" i="98"/>
  <c r="I312" i="98"/>
  <c r="J312" i="98"/>
  <c r="L312" i="98"/>
  <c r="Q312" i="98"/>
  <c r="B313" i="98"/>
  <c r="F313" i="98"/>
  <c r="G313" i="98"/>
  <c r="H313" i="98"/>
  <c r="I313" i="98"/>
  <c r="J313" i="98"/>
  <c r="L313" i="98"/>
  <c r="Q313" i="98"/>
  <c r="B314" i="98"/>
  <c r="F314" i="98"/>
  <c r="G314" i="98"/>
  <c r="I314" i="98"/>
  <c r="J314" i="98"/>
  <c r="L314" i="98"/>
  <c r="Q314" i="98"/>
  <c r="B315" i="98"/>
  <c r="F315" i="98"/>
  <c r="G315" i="98"/>
  <c r="H315" i="98"/>
  <c r="I315" i="98"/>
  <c r="J315" i="98"/>
  <c r="L315" i="98"/>
  <c r="Q315" i="98"/>
  <c r="B316" i="98"/>
  <c r="F316" i="98"/>
  <c r="G316" i="98"/>
  <c r="H316" i="98"/>
  <c r="I316" i="98"/>
  <c r="J316" i="98"/>
  <c r="L316" i="98"/>
  <c r="Q316" i="98"/>
  <c r="B317" i="98"/>
  <c r="F317" i="98"/>
  <c r="G317" i="98"/>
  <c r="H317" i="98"/>
  <c r="I317" i="98"/>
  <c r="J317" i="98"/>
  <c r="L317" i="98"/>
  <c r="Q317" i="98"/>
  <c r="B318" i="98"/>
  <c r="F318" i="98"/>
  <c r="G318" i="98"/>
  <c r="H318" i="98"/>
  <c r="I318" i="98"/>
  <c r="J318" i="98"/>
  <c r="L318" i="98"/>
  <c r="Q318" i="98"/>
  <c r="B319" i="98"/>
  <c r="F319" i="98"/>
  <c r="G319" i="98"/>
  <c r="H319" i="98"/>
  <c r="I319" i="98"/>
  <c r="J319" i="98"/>
  <c r="L319" i="98"/>
  <c r="Q319" i="98"/>
  <c r="B320" i="98"/>
  <c r="F320" i="98"/>
  <c r="G320" i="98"/>
  <c r="H320" i="98"/>
  <c r="I320" i="98"/>
  <c r="J320" i="98"/>
  <c r="L320" i="98"/>
  <c r="Q320" i="98"/>
  <c r="B321" i="98"/>
  <c r="F321" i="98"/>
  <c r="G321" i="98"/>
  <c r="H321" i="98"/>
  <c r="I321" i="98"/>
  <c r="J321" i="98"/>
  <c r="L321" i="98"/>
  <c r="Q321" i="98"/>
  <c r="B322" i="98"/>
  <c r="F322" i="98"/>
  <c r="G322" i="98"/>
  <c r="H322" i="98"/>
  <c r="I322" i="98"/>
  <c r="J322" i="98"/>
  <c r="L322" i="98"/>
  <c r="Q322" i="98"/>
  <c r="B323" i="98"/>
  <c r="F323" i="98"/>
  <c r="G323" i="98"/>
  <c r="H323" i="98"/>
  <c r="I323" i="98"/>
  <c r="J323" i="98"/>
  <c r="L323" i="98"/>
  <c r="Q323" i="98"/>
  <c r="B324" i="98"/>
  <c r="F324" i="98"/>
  <c r="G324" i="98"/>
  <c r="H324" i="98"/>
  <c r="I324" i="98"/>
  <c r="J324" i="98"/>
  <c r="L324" i="98"/>
  <c r="Q324" i="98"/>
  <c r="B325" i="98"/>
  <c r="F325" i="98"/>
  <c r="G325" i="98"/>
  <c r="I325" i="98"/>
  <c r="J325" i="98"/>
  <c r="L325" i="98"/>
  <c r="Q325" i="98"/>
  <c r="B326" i="98"/>
  <c r="F326" i="98"/>
  <c r="G326" i="98"/>
  <c r="H326" i="98"/>
  <c r="I326" i="98"/>
  <c r="J326" i="98"/>
  <c r="L326" i="98"/>
  <c r="Q326" i="98"/>
  <c r="B327" i="98"/>
  <c r="F327" i="98"/>
  <c r="G327" i="98"/>
  <c r="H327" i="98"/>
  <c r="I327" i="98"/>
  <c r="J327" i="98"/>
  <c r="L327" i="98"/>
  <c r="Q327" i="98"/>
  <c r="B328" i="98"/>
  <c r="F328" i="98"/>
  <c r="G328" i="98"/>
  <c r="H328" i="98"/>
  <c r="I328" i="98"/>
  <c r="J328" i="98"/>
  <c r="L328" i="98"/>
  <c r="Q328" i="98"/>
  <c r="B329" i="98"/>
  <c r="F329" i="98"/>
  <c r="G329" i="98"/>
  <c r="H329" i="98"/>
  <c r="I329" i="98"/>
  <c r="J329" i="98"/>
  <c r="L329" i="98"/>
  <c r="Q329" i="98"/>
  <c r="B277" i="98"/>
  <c r="F277" i="98"/>
  <c r="G277" i="98"/>
  <c r="H277" i="98"/>
  <c r="I277" i="98"/>
  <c r="J277" i="98"/>
  <c r="L277" i="98"/>
  <c r="Q277" i="98"/>
  <c r="B278" i="98"/>
  <c r="F278" i="98"/>
  <c r="G278" i="98"/>
  <c r="H278" i="98"/>
  <c r="I278" i="98"/>
  <c r="J278" i="98"/>
  <c r="L278" i="98"/>
  <c r="Q278" i="98"/>
  <c r="B279" i="98"/>
  <c r="F279" i="98"/>
  <c r="G279" i="98"/>
  <c r="I279" i="98"/>
  <c r="J279" i="98"/>
  <c r="L279" i="98"/>
  <c r="Q279" i="98"/>
  <c r="B280" i="98"/>
  <c r="F280" i="98"/>
  <c r="G280" i="98"/>
  <c r="H280" i="98"/>
  <c r="I280" i="98"/>
  <c r="J280" i="98"/>
  <c r="L280" i="98"/>
  <c r="Q280" i="98"/>
  <c r="B281" i="98"/>
  <c r="F281" i="98"/>
  <c r="G281" i="98"/>
  <c r="H281" i="98"/>
  <c r="I281" i="98"/>
  <c r="J281" i="98"/>
  <c r="L281" i="98"/>
  <c r="Q281" i="98"/>
  <c r="B160" i="98"/>
  <c r="F160" i="98"/>
  <c r="G160" i="98"/>
  <c r="H160" i="98"/>
  <c r="I160" i="98"/>
  <c r="J160" i="98"/>
  <c r="L160" i="98"/>
  <c r="Q160" i="98"/>
  <c r="B161" i="98"/>
  <c r="F161" i="98"/>
  <c r="G161" i="98"/>
  <c r="H161" i="98"/>
  <c r="I161" i="98"/>
  <c r="J161" i="98"/>
  <c r="L161" i="98"/>
  <c r="Q161" i="98"/>
  <c r="B162" i="98"/>
  <c r="F162" i="98"/>
  <c r="G162" i="98"/>
  <c r="H162" i="98"/>
  <c r="I162" i="98"/>
  <c r="J162" i="98"/>
  <c r="L162" i="98"/>
  <c r="Q162" i="98"/>
  <c r="B163" i="98"/>
  <c r="F163" i="98"/>
  <c r="G163" i="98"/>
  <c r="H163" i="98"/>
  <c r="I163" i="98"/>
  <c r="J163" i="98"/>
  <c r="L163" i="98"/>
  <c r="Q163" i="98"/>
  <c r="B164" i="98"/>
  <c r="F164" i="98"/>
  <c r="G164" i="98"/>
  <c r="H164" i="98"/>
  <c r="I164" i="98"/>
  <c r="J164" i="98"/>
  <c r="L164" i="98"/>
  <c r="Q164" i="98"/>
  <c r="B165" i="98"/>
  <c r="F165" i="98"/>
  <c r="G165" i="98"/>
  <c r="H165" i="98"/>
  <c r="I165" i="98"/>
  <c r="J165" i="98"/>
  <c r="L165" i="98"/>
  <c r="Q165" i="98"/>
  <c r="B166" i="98"/>
  <c r="F166" i="98"/>
  <c r="G166" i="98"/>
  <c r="H166" i="98"/>
  <c r="I166" i="98"/>
  <c r="J166" i="98"/>
  <c r="L166" i="98"/>
  <c r="Q166" i="98"/>
  <c r="B167" i="98"/>
  <c r="F167" i="98"/>
  <c r="G167" i="98"/>
  <c r="H167" i="98"/>
  <c r="I167" i="98"/>
  <c r="J167" i="98"/>
  <c r="L167" i="98"/>
  <c r="Q167" i="98"/>
  <c r="B168" i="98"/>
  <c r="F168" i="98"/>
  <c r="G168" i="98"/>
  <c r="H168" i="98"/>
  <c r="I168" i="98"/>
  <c r="J168" i="98"/>
  <c r="L168" i="98"/>
  <c r="Q168" i="98"/>
  <c r="B169" i="98"/>
  <c r="F169" i="98"/>
  <c r="G169" i="98"/>
  <c r="H169" i="98"/>
  <c r="I169" i="98"/>
  <c r="J169" i="98"/>
  <c r="L169" i="98"/>
  <c r="Q169" i="98"/>
  <c r="B170" i="98"/>
  <c r="F170" i="98"/>
  <c r="G170" i="98"/>
  <c r="H170" i="98"/>
  <c r="I170" i="98"/>
  <c r="J170" i="98"/>
  <c r="L170" i="98"/>
  <c r="Q170" i="98"/>
  <c r="B171" i="98"/>
  <c r="F171" i="98"/>
  <c r="G171" i="98"/>
  <c r="H171" i="98"/>
  <c r="I171" i="98"/>
  <c r="J171" i="98"/>
  <c r="L171" i="98"/>
  <c r="Q171" i="98"/>
  <c r="B172" i="98"/>
  <c r="F172" i="98"/>
  <c r="G172" i="98"/>
  <c r="H172" i="98"/>
  <c r="I172" i="98"/>
  <c r="J172" i="98"/>
  <c r="L172" i="98"/>
  <c r="Q172" i="98"/>
  <c r="B173" i="98"/>
  <c r="F173" i="98"/>
  <c r="G173" i="98"/>
  <c r="H173" i="98"/>
  <c r="I173" i="98"/>
  <c r="J173" i="98"/>
  <c r="L173" i="98"/>
  <c r="Q173" i="98"/>
  <c r="B174" i="98"/>
  <c r="F174" i="98"/>
  <c r="G174" i="98"/>
  <c r="H174" i="98"/>
  <c r="I174" i="98"/>
  <c r="J174" i="98"/>
  <c r="L174" i="98"/>
  <c r="Q174" i="98"/>
  <c r="B175" i="98"/>
  <c r="F175" i="98"/>
  <c r="G175" i="98"/>
  <c r="H175" i="98"/>
  <c r="I175" i="98"/>
  <c r="J175" i="98"/>
  <c r="L175" i="98"/>
  <c r="Q175" i="98"/>
  <c r="B176" i="98"/>
  <c r="F176" i="98"/>
  <c r="G176" i="98"/>
  <c r="H176" i="98"/>
  <c r="I176" i="98"/>
  <c r="J176" i="98"/>
  <c r="L176" i="98"/>
  <c r="Q176" i="98"/>
  <c r="B177" i="98"/>
  <c r="F177" i="98"/>
  <c r="G177" i="98"/>
  <c r="H177" i="98"/>
  <c r="I177" i="98"/>
  <c r="J177" i="98"/>
  <c r="L177" i="98"/>
  <c r="Q177" i="98"/>
  <c r="B178" i="98"/>
  <c r="F178" i="98"/>
  <c r="G178" i="98"/>
  <c r="H178" i="98"/>
  <c r="I178" i="98"/>
  <c r="J178" i="98"/>
  <c r="L178" i="98"/>
  <c r="Q178" i="98"/>
  <c r="B179" i="98"/>
  <c r="F179" i="98"/>
  <c r="G179" i="98"/>
  <c r="I179" i="98"/>
  <c r="J179" i="98"/>
  <c r="L179" i="98"/>
  <c r="Q179" i="98"/>
  <c r="B180" i="98"/>
  <c r="F180" i="98"/>
  <c r="G180" i="98"/>
  <c r="H180" i="98"/>
  <c r="I180" i="98"/>
  <c r="J180" i="98"/>
  <c r="L180" i="98"/>
  <c r="Q180" i="98"/>
  <c r="B181" i="98"/>
  <c r="F181" i="98"/>
  <c r="G181" i="98"/>
  <c r="H181" i="98"/>
  <c r="I181" i="98"/>
  <c r="J181" i="98"/>
  <c r="L181" i="98"/>
  <c r="Q181" i="98"/>
  <c r="B182" i="98"/>
  <c r="F182" i="98"/>
  <c r="G182" i="98"/>
  <c r="H182" i="98"/>
  <c r="I182" i="98"/>
  <c r="J182" i="98"/>
  <c r="L182" i="98"/>
  <c r="Q182" i="98"/>
  <c r="B183" i="98"/>
  <c r="F183" i="98"/>
  <c r="G183" i="98"/>
  <c r="H183" i="98"/>
  <c r="I183" i="98"/>
  <c r="J183" i="98"/>
  <c r="L183" i="98"/>
  <c r="Q183" i="98"/>
  <c r="B184" i="98"/>
  <c r="F184" i="98"/>
  <c r="G184" i="98"/>
  <c r="H184" i="98"/>
  <c r="I184" i="98"/>
  <c r="J184" i="98"/>
  <c r="L184" i="98"/>
  <c r="Q184" i="98"/>
  <c r="B185" i="98"/>
  <c r="F185" i="98"/>
  <c r="G185" i="98"/>
  <c r="H185" i="98"/>
  <c r="I185" i="98"/>
  <c r="J185" i="98"/>
  <c r="L185" i="98"/>
  <c r="Q185" i="98"/>
  <c r="B186" i="98"/>
  <c r="F186" i="98"/>
  <c r="G186" i="98"/>
  <c r="H186" i="98"/>
  <c r="I186" i="98"/>
  <c r="J186" i="98"/>
  <c r="L186" i="98"/>
  <c r="Q186" i="98"/>
  <c r="B187" i="98"/>
  <c r="F187" i="98"/>
  <c r="G187" i="98"/>
  <c r="H187" i="98"/>
  <c r="I187" i="98"/>
  <c r="J187" i="98"/>
  <c r="L187" i="98"/>
  <c r="Q187" i="98"/>
  <c r="B188" i="98"/>
  <c r="F188" i="98"/>
  <c r="G188" i="98"/>
  <c r="H188" i="98"/>
  <c r="I188" i="98"/>
  <c r="J188" i="98"/>
  <c r="L188" i="98"/>
  <c r="Q188" i="98"/>
  <c r="B189" i="98"/>
  <c r="F189" i="98"/>
  <c r="G189" i="98"/>
  <c r="H189" i="98"/>
  <c r="I189" i="98"/>
  <c r="J189" i="98"/>
  <c r="L189" i="98"/>
  <c r="Q189" i="98"/>
  <c r="B190" i="98"/>
  <c r="F190" i="98"/>
  <c r="G190" i="98"/>
  <c r="H190" i="98"/>
  <c r="I190" i="98"/>
  <c r="J190" i="98"/>
  <c r="L190" i="98"/>
  <c r="Q190" i="98"/>
  <c r="B191" i="98"/>
  <c r="F191" i="98"/>
  <c r="G191" i="98"/>
  <c r="H191" i="98"/>
  <c r="I191" i="98"/>
  <c r="J191" i="98"/>
  <c r="L191" i="98"/>
  <c r="Q191" i="98"/>
  <c r="B192" i="98"/>
  <c r="F192" i="98"/>
  <c r="G192" i="98"/>
  <c r="H192" i="98"/>
  <c r="I192" i="98"/>
  <c r="J192" i="98"/>
  <c r="L192" i="98"/>
  <c r="Q192" i="98"/>
  <c r="B193" i="98"/>
  <c r="F193" i="98"/>
  <c r="G193" i="98"/>
  <c r="H193" i="98"/>
  <c r="I193" i="98"/>
  <c r="J193" i="98"/>
  <c r="L193" i="98"/>
  <c r="Q193" i="98"/>
  <c r="B194" i="98"/>
  <c r="F194" i="98"/>
  <c r="G194" i="98"/>
  <c r="H194" i="98"/>
  <c r="I194" i="98"/>
  <c r="J194" i="98"/>
  <c r="L194" i="98"/>
  <c r="Q194" i="98"/>
  <c r="B195" i="98"/>
  <c r="F195" i="98"/>
  <c r="G195" i="98"/>
  <c r="H195" i="98"/>
  <c r="I195" i="98"/>
  <c r="J195" i="98"/>
  <c r="L195" i="98"/>
  <c r="Q195" i="98"/>
  <c r="B196" i="98"/>
  <c r="F196" i="98"/>
  <c r="G196" i="98"/>
  <c r="H196" i="98"/>
  <c r="I196" i="98"/>
  <c r="J196" i="98"/>
  <c r="L196" i="98"/>
  <c r="Q196" i="98"/>
  <c r="B197" i="98"/>
  <c r="F197" i="98"/>
  <c r="G197" i="98"/>
  <c r="H197" i="98"/>
  <c r="I197" i="98"/>
  <c r="J197" i="98"/>
  <c r="L197" i="98"/>
  <c r="Q197" i="98"/>
  <c r="B198" i="98"/>
  <c r="F198" i="98"/>
  <c r="G198" i="98"/>
  <c r="H198" i="98"/>
  <c r="I198" i="98"/>
  <c r="J198" i="98"/>
  <c r="L198" i="98"/>
  <c r="Q198" i="98"/>
  <c r="B199" i="98"/>
  <c r="F199" i="98"/>
  <c r="G199" i="98"/>
  <c r="H199" i="98"/>
  <c r="I199" i="98"/>
  <c r="J199" i="98"/>
  <c r="L199" i="98"/>
  <c r="Q199" i="98"/>
  <c r="B200" i="98"/>
  <c r="F200" i="98"/>
  <c r="G200" i="98"/>
  <c r="H200" i="98"/>
  <c r="I200" i="98"/>
  <c r="J200" i="98"/>
  <c r="L200" i="98"/>
  <c r="Q200" i="98"/>
  <c r="B201" i="98"/>
  <c r="F201" i="98"/>
  <c r="G201" i="98"/>
  <c r="H201" i="98"/>
  <c r="I201" i="98"/>
  <c r="J201" i="98"/>
  <c r="L201" i="98"/>
  <c r="Q201" i="98"/>
  <c r="B202" i="98"/>
  <c r="F202" i="98"/>
  <c r="G202" i="98"/>
  <c r="H202" i="98"/>
  <c r="I202" i="98"/>
  <c r="J202" i="98"/>
  <c r="L202" i="98"/>
  <c r="Q202" i="98"/>
  <c r="B203" i="98"/>
  <c r="F203" i="98"/>
  <c r="G203" i="98"/>
  <c r="H203" i="98"/>
  <c r="I203" i="98"/>
  <c r="J203" i="98"/>
  <c r="L203" i="98"/>
  <c r="Q203" i="98"/>
  <c r="B204" i="98"/>
  <c r="F204" i="98"/>
  <c r="G204" i="98"/>
  <c r="H204" i="98"/>
  <c r="I204" i="98"/>
  <c r="J204" i="98"/>
  <c r="L204" i="98"/>
  <c r="Q204" i="98"/>
  <c r="B205" i="98"/>
  <c r="F205" i="98"/>
  <c r="G205" i="98"/>
  <c r="H205" i="98"/>
  <c r="I205" i="98"/>
  <c r="J205" i="98"/>
  <c r="L205" i="98"/>
  <c r="Q205" i="98"/>
  <c r="B206" i="98"/>
  <c r="F206" i="98"/>
  <c r="G206" i="98"/>
  <c r="H206" i="98"/>
  <c r="I206" i="98"/>
  <c r="J206" i="98"/>
  <c r="L206" i="98"/>
  <c r="Q206" i="98"/>
  <c r="B207" i="98"/>
  <c r="F207" i="98"/>
  <c r="G207" i="98"/>
  <c r="H207" i="98"/>
  <c r="I207" i="98"/>
  <c r="J207" i="98"/>
  <c r="L207" i="98"/>
  <c r="Q207" i="98"/>
  <c r="B208" i="98"/>
  <c r="F208" i="98"/>
  <c r="G208" i="98"/>
  <c r="H208" i="98"/>
  <c r="I208" i="98"/>
  <c r="J208" i="98"/>
  <c r="L208" i="98"/>
  <c r="Q208" i="98"/>
  <c r="B209" i="98"/>
  <c r="F209" i="98"/>
  <c r="G209" i="98"/>
  <c r="H209" i="98"/>
  <c r="I209" i="98"/>
  <c r="J209" i="98"/>
  <c r="L209" i="98"/>
  <c r="Q209" i="98"/>
  <c r="B210" i="98"/>
  <c r="F210" i="98"/>
  <c r="G210" i="98"/>
  <c r="H210" i="98"/>
  <c r="I210" i="98"/>
  <c r="J210" i="98"/>
  <c r="L210" i="98"/>
  <c r="Q210" i="98"/>
  <c r="B211" i="98"/>
  <c r="F211" i="98"/>
  <c r="G211" i="98"/>
  <c r="H211" i="98"/>
  <c r="I211" i="98"/>
  <c r="J211" i="98"/>
  <c r="L211" i="98"/>
  <c r="Q211" i="98"/>
  <c r="B212" i="98"/>
  <c r="F212" i="98"/>
  <c r="G212" i="98"/>
  <c r="H212" i="98"/>
  <c r="I212" i="98"/>
  <c r="J212" i="98"/>
  <c r="L212" i="98"/>
  <c r="Q212" i="98"/>
  <c r="B213" i="98"/>
  <c r="F213" i="98"/>
  <c r="G213" i="98"/>
  <c r="H213" i="98"/>
  <c r="I213" i="98"/>
  <c r="J213" i="98"/>
  <c r="L213" i="98"/>
  <c r="Q213" i="98"/>
  <c r="B214" i="98"/>
  <c r="F214" i="98"/>
  <c r="G214" i="98"/>
  <c r="H214" i="98"/>
  <c r="I214" i="98"/>
  <c r="J214" i="98"/>
  <c r="L214" i="98"/>
  <c r="Q214" i="98"/>
  <c r="B215" i="98"/>
  <c r="F215" i="98"/>
  <c r="G215" i="98"/>
  <c r="H215" i="98"/>
  <c r="I215" i="98"/>
  <c r="J215" i="98"/>
  <c r="L215" i="98"/>
  <c r="Q215" i="98"/>
  <c r="B216" i="98"/>
  <c r="F216" i="98"/>
  <c r="G216" i="98"/>
  <c r="H216" i="98"/>
  <c r="I216" i="98"/>
  <c r="J216" i="98"/>
  <c r="L216" i="98"/>
  <c r="Q216" i="98"/>
  <c r="B217" i="98"/>
  <c r="F217" i="98"/>
  <c r="G217" i="98"/>
  <c r="H217" i="98"/>
  <c r="I217" i="98"/>
  <c r="J217" i="98"/>
  <c r="L217" i="98"/>
  <c r="Q217" i="98"/>
  <c r="B218" i="98"/>
  <c r="F218" i="98"/>
  <c r="G218" i="98"/>
  <c r="H218" i="98"/>
  <c r="I218" i="98"/>
  <c r="J218" i="98"/>
  <c r="L218" i="98"/>
  <c r="Q218" i="98"/>
  <c r="B219" i="98"/>
  <c r="F219" i="98"/>
  <c r="G219" i="98"/>
  <c r="H219" i="98"/>
  <c r="I219" i="98"/>
  <c r="J219" i="98"/>
  <c r="L219" i="98"/>
  <c r="Q219" i="98"/>
  <c r="B220" i="98"/>
  <c r="F220" i="98"/>
  <c r="G220" i="98"/>
  <c r="H220" i="98"/>
  <c r="I220" i="98"/>
  <c r="J220" i="98"/>
  <c r="L220" i="98"/>
  <c r="Q220" i="98"/>
  <c r="B221" i="98"/>
  <c r="F221" i="98"/>
  <c r="G221" i="98"/>
  <c r="H221" i="98"/>
  <c r="I221" i="98"/>
  <c r="J221" i="98"/>
  <c r="L221" i="98"/>
  <c r="Q221" i="98"/>
  <c r="B222" i="98"/>
  <c r="F222" i="98"/>
  <c r="G222" i="98"/>
  <c r="I222" i="98"/>
  <c r="J222" i="98"/>
  <c r="L222" i="98"/>
  <c r="Q222" i="98"/>
  <c r="B223" i="98"/>
  <c r="F223" i="98"/>
  <c r="G223" i="98"/>
  <c r="H223" i="98"/>
  <c r="I223" i="98"/>
  <c r="J223" i="98"/>
  <c r="L223" i="98"/>
  <c r="Q223" i="98"/>
  <c r="B224" i="98"/>
  <c r="F224" i="98"/>
  <c r="G224" i="98"/>
  <c r="I224" i="98"/>
  <c r="J224" i="98"/>
  <c r="L224" i="98"/>
  <c r="Q224" i="98"/>
  <c r="B225" i="98"/>
  <c r="F225" i="98"/>
  <c r="G225" i="98"/>
  <c r="H225" i="98"/>
  <c r="I225" i="98"/>
  <c r="J225" i="98"/>
  <c r="L225" i="98"/>
  <c r="Q225" i="98"/>
  <c r="B226" i="98"/>
  <c r="F226" i="98"/>
  <c r="G226" i="98"/>
  <c r="H226" i="98"/>
  <c r="I226" i="98"/>
  <c r="J226" i="98"/>
  <c r="L226" i="98"/>
  <c r="Q226" i="98"/>
  <c r="B227" i="98"/>
  <c r="F227" i="98"/>
  <c r="G227" i="98"/>
  <c r="H227" i="98"/>
  <c r="I227" i="98"/>
  <c r="J227" i="98"/>
  <c r="L227" i="98"/>
  <c r="Q227" i="98"/>
  <c r="B228" i="98"/>
  <c r="F228" i="98"/>
  <c r="G228" i="98"/>
  <c r="H228" i="98"/>
  <c r="I228" i="98"/>
  <c r="J228" i="98"/>
  <c r="L228" i="98"/>
  <c r="Q228" i="98"/>
  <c r="B229" i="98"/>
  <c r="F229" i="98"/>
  <c r="G229" i="98"/>
  <c r="H229" i="98"/>
  <c r="I229" i="98"/>
  <c r="J229" i="98"/>
  <c r="L229" i="98"/>
  <c r="Q229" i="98"/>
  <c r="B230" i="98"/>
  <c r="F230" i="98"/>
  <c r="G230" i="98"/>
  <c r="H230" i="98"/>
  <c r="I230" i="98"/>
  <c r="J230" i="98"/>
  <c r="L230" i="98"/>
  <c r="Q230" i="98"/>
  <c r="B231" i="98"/>
  <c r="F231" i="98"/>
  <c r="G231" i="98"/>
  <c r="H231" i="98"/>
  <c r="I231" i="98"/>
  <c r="J231" i="98"/>
  <c r="L231" i="98"/>
  <c r="Q231" i="98"/>
  <c r="B232" i="98"/>
  <c r="F232" i="98"/>
  <c r="G232" i="98"/>
  <c r="H232" i="98"/>
  <c r="I232" i="98"/>
  <c r="J232" i="98"/>
  <c r="L232" i="98"/>
  <c r="Q232" i="98"/>
  <c r="B233" i="98"/>
  <c r="F233" i="98"/>
  <c r="G233" i="98"/>
  <c r="H233" i="98"/>
  <c r="I233" i="98"/>
  <c r="J233" i="98"/>
  <c r="L233" i="98"/>
  <c r="Q233" i="98"/>
  <c r="B234" i="98"/>
  <c r="F234" i="98"/>
  <c r="G234" i="98"/>
  <c r="H234" i="98"/>
  <c r="I234" i="98"/>
  <c r="J234" i="98"/>
  <c r="L234" i="98"/>
  <c r="Q234" i="98"/>
  <c r="B235" i="98"/>
  <c r="F235" i="98"/>
  <c r="G235" i="98"/>
  <c r="H235" i="98"/>
  <c r="I235" i="98"/>
  <c r="J235" i="98"/>
  <c r="L235" i="98"/>
  <c r="Q235" i="98"/>
  <c r="B236" i="98"/>
  <c r="F236" i="98"/>
  <c r="G236" i="98"/>
  <c r="H236" i="98"/>
  <c r="I236" i="98"/>
  <c r="J236" i="98"/>
  <c r="L236" i="98"/>
  <c r="Q236" i="98"/>
  <c r="B237" i="98"/>
  <c r="F237" i="98"/>
  <c r="G237" i="98"/>
  <c r="H237" i="98"/>
  <c r="I237" i="98"/>
  <c r="J237" i="98"/>
  <c r="L237" i="98"/>
  <c r="Q237" i="98"/>
  <c r="B238" i="98"/>
  <c r="F238" i="98"/>
  <c r="G238" i="98"/>
  <c r="H238" i="98"/>
  <c r="I238" i="98"/>
  <c r="J238" i="98"/>
  <c r="L238" i="98"/>
  <c r="Q238" i="98"/>
  <c r="B239" i="98"/>
  <c r="F239" i="98"/>
  <c r="G239" i="98"/>
  <c r="H239" i="98"/>
  <c r="I239" i="98"/>
  <c r="J239" i="98"/>
  <c r="L239" i="98"/>
  <c r="Q239" i="98"/>
  <c r="B240" i="98"/>
  <c r="F240" i="98"/>
  <c r="G240" i="98"/>
  <c r="H240" i="98"/>
  <c r="I240" i="98"/>
  <c r="J240" i="98"/>
  <c r="L240" i="98"/>
  <c r="Q240" i="98"/>
  <c r="B241" i="98"/>
  <c r="F241" i="98"/>
  <c r="G241" i="98"/>
  <c r="H241" i="98"/>
  <c r="I241" i="98"/>
  <c r="J241" i="98"/>
  <c r="L241" i="98"/>
  <c r="Q241" i="98"/>
  <c r="B242" i="98"/>
  <c r="F242" i="98"/>
  <c r="G242" i="98"/>
  <c r="H242" i="98"/>
  <c r="I242" i="98"/>
  <c r="J242" i="98"/>
  <c r="L242" i="98"/>
  <c r="Q242" i="98"/>
  <c r="B243" i="98"/>
  <c r="F243" i="98"/>
  <c r="G243" i="98"/>
  <c r="H243" i="98"/>
  <c r="I243" i="98"/>
  <c r="J243" i="98"/>
  <c r="L243" i="98"/>
  <c r="Q243" i="98"/>
  <c r="B244" i="98"/>
  <c r="F244" i="98"/>
  <c r="G244" i="98"/>
  <c r="H244" i="98"/>
  <c r="I244" i="98"/>
  <c r="J244" i="98"/>
  <c r="L244" i="98"/>
  <c r="Q244" i="98"/>
  <c r="B245" i="98"/>
  <c r="F245" i="98"/>
  <c r="G245" i="98"/>
  <c r="H245" i="98"/>
  <c r="I245" i="98"/>
  <c r="J245" i="98"/>
  <c r="L245" i="98"/>
  <c r="Q245" i="98"/>
  <c r="B246" i="98"/>
  <c r="F246" i="98"/>
  <c r="G246" i="98"/>
  <c r="H246" i="98"/>
  <c r="I246" i="98"/>
  <c r="J246" i="98"/>
  <c r="L246" i="98"/>
  <c r="Q246" i="98"/>
  <c r="B247" i="98"/>
  <c r="F247" i="98"/>
  <c r="G247" i="98"/>
  <c r="H247" i="98"/>
  <c r="I247" i="98"/>
  <c r="J247" i="98"/>
  <c r="L247" i="98"/>
  <c r="Q247" i="98"/>
  <c r="B248" i="98"/>
  <c r="F248" i="98"/>
  <c r="G248" i="98"/>
  <c r="H248" i="98"/>
  <c r="I248" i="98"/>
  <c r="J248" i="98"/>
  <c r="L248" i="98"/>
  <c r="Q248" i="98"/>
  <c r="B249" i="98"/>
  <c r="F249" i="98"/>
  <c r="G249" i="98"/>
  <c r="H249" i="98"/>
  <c r="I249" i="98"/>
  <c r="J249" i="98"/>
  <c r="L249" i="98"/>
  <c r="Q249" i="98"/>
  <c r="B250" i="98"/>
  <c r="F250" i="98"/>
  <c r="G250" i="98"/>
  <c r="H250" i="98"/>
  <c r="I250" i="98"/>
  <c r="J250" i="98"/>
  <c r="L250" i="98"/>
  <c r="Q250" i="98"/>
  <c r="B251" i="98"/>
  <c r="F251" i="98"/>
  <c r="G251" i="98"/>
  <c r="H251" i="98"/>
  <c r="I251" i="98"/>
  <c r="J251" i="98"/>
  <c r="L251" i="98"/>
  <c r="Q251" i="98"/>
  <c r="B252" i="98"/>
  <c r="F252" i="98"/>
  <c r="G252" i="98"/>
  <c r="H252" i="98"/>
  <c r="I252" i="98"/>
  <c r="J252" i="98"/>
  <c r="L252" i="98"/>
  <c r="Q252" i="98"/>
  <c r="B253" i="98"/>
  <c r="F253" i="98"/>
  <c r="G253" i="98"/>
  <c r="H253" i="98"/>
  <c r="I253" i="98"/>
  <c r="J253" i="98"/>
  <c r="L253" i="98"/>
  <c r="Q253" i="98"/>
  <c r="B254" i="98"/>
  <c r="F254" i="98"/>
  <c r="G254" i="98"/>
  <c r="H254" i="98"/>
  <c r="I254" i="98"/>
  <c r="J254" i="98"/>
  <c r="L254" i="98"/>
  <c r="Q254" i="98"/>
  <c r="B255" i="98"/>
  <c r="F255" i="98"/>
  <c r="G255" i="98"/>
  <c r="H255" i="98"/>
  <c r="I255" i="98"/>
  <c r="J255" i="98"/>
  <c r="L255" i="98"/>
  <c r="Q255" i="98"/>
  <c r="B256" i="98"/>
  <c r="F256" i="98"/>
  <c r="G256" i="98"/>
  <c r="H256" i="98"/>
  <c r="I256" i="98"/>
  <c r="J256" i="98"/>
  <c r="L256" i="98"/>
  <c r="Q256" i="98"/>
  <c r="B257" i="98"/>
  <c r="F257" i="98"/>
  <c r="G257" i="98"/>
  <c r="H257" i="98"/>
  <c r="I257" i="98"/>
  <c r="J257" i="98"/>
  <c r="L257" i="98"/>
  <c r="Q257" i="98"/>
  <c r="B258" i="98"/>
  <c r="F258" i="98"/>
  <c r="G258" i="98"/>
  <c r="H258" i="98"/>
  <c r="I258" i="98"/>
  <c r="J258" i="98"/>
  <c r="L258" i="98"/>
  <c r="Q258" i="98"/>
  <c r="B259" i="98"/>
  <c r="F259" i="98"/>
  <c r="G259" i="98"/>
  <c r="H259" i="98"/>
  <c r="I259" i="98"/>
  <c r="J259" i="98"/>
  <c r="L259" i="98"/>
  <c r="Q259" i="98"/>
  <c r="B260" i="98"/>
  <c r="F260" i="98"/>
  <c r="G260" i="98"/>
  <c r="H260" i="98"/>
  <c r="I260" i="98"/>
  <c r="J260" i="98"/>
  <c r="L260" i="98"/>
  <c r="Q260" i="98"/>
  <c r="B261" i="98"/>
  <c r="F261" i="98"/>
  <c r="G261" i="98"/>
  <c r="H261" i="98"/>
  <c r="I261" i="98"/>
  <c r="J261" i="98"/>
  <c r="L261" i="98"/>
  <c r="Q261" i="98"/>
  <c r="B262" i="98"/>
  <c r="F262" i="98"/>
  <c r="G262" i="98"/>
  <c r="H262" i="98"/>
  <c r="I262" i="98"/>
  <c r="J262" i="98"/>
  <c r="L262" i="98"/>
  <c r="Q262" i="98"/>
  <c r="B263" i="98"/>
  <c r="F263" i="98"/>
  <c r="G263" i="98"/>
  <c r="H263" i="98"/>
  <c r="I263" i="98"/>
  <c r="J263" i="98"/>
  <c r="L263" i="98"/>
  <c r="Q263" i="98"/>
  <c r="B264" i="98"/>
  <c r="F264" i="98"/>
  <c r="G264" i="98"/>
  <c r="H264" i="98"/>
  <c r="I264" i="98"/>
  <c r="J264" i="98"/>
  <c r="L264" i="98"/>
  <c r="Q264" i="98"/>
  <c r="B265" i="98"/>
  <c r="F265" i="98"/>
  <c r="G265" i="98"/>
  <c r="H265" i="98"/>
  <c r="I265" i="98"/>
  <c r="J265" i="98"/>
  <c r="L265" i="98"/>
  <c r="Q265" i="98"/>
  <c r="B266" i="98"/>
  <c r="F266" i="98"/>
  <c r="G266" i="98"/>
  <c r="H266" i="98"/>
  <c r="I266" i="98"/>
  <c r="J266" i="98"/>
  <c r="L266" i="98"/>
  <c r="Q266" i="98"/>
  <c r="B267" i="98"/>
  <c r="F267" i="98"/>
  <c r="G267" i="98"/>
  <c r="H267" i="98"/>
  <c r="I267" i="98"/>
  <c r="J267" i="98"/>
  <c r="L267" i="98"/>
  <c r="Q267" i="98"/>
  <c r="B268" i="98"/>
  <c r="F268" i="98"/>
  <c r="G268" i="98"/>
  <c r="H268" i="98"/>
  <c r="I268" i="98"/>
  <c r="J268" i="98"/>
  <c r="L268" i="98"/>
  <c r="Q268" i="98"/>
  <c r="B269" i="98"/>
  <c r="F269" i="98"/>
  <c r="G269" i="98"/>
  <c r="H269" i="98"/>
  <c r="I269" i="98"/>
  <c r="J269" i="98"/>
  <c r="L269" i="98"/>
  <c r="Q269" i="98"/>
  <c r="B270" i="98"/>
  <c r="F270" i="98"/>
  <c r="G270" i="98"/>
  <c r="H270" i="98"/>
  <c r="I270" i="98"/>
  <c r="J270" i="98"/>
  <c r="L270" i="98"/>
  <c r="Q270" i="98"/>
  <c r="B271" i="98"/>
  <c r="F271" i="98"/>
  <c r="G271" i="98"/>
  <c r="H271" i="98"/>
  <c r="I271" i="98"/>
  <c r="J271" i="98"/>
  <c r="L271" i="98"/>
  <c r="Q271" i="98"/>
  <c r="B272" i="98"/>
  <c r="F272" i="98"/>
  <c r="G272" i="98"/>
  <c r="H272" i="98"/>
  <c r="I272" i="98"/>
  <c r="J272" i="98"/>
  <c r="L272" i="98"/>
  <c r="Q272" i="98"/>
  <c r="B273" i="98"/>
  <c r="F273" i="98"/>
  <c r="G273" i="98"/>
  <c r="H273" i="98"/>
  <c r="I273" i="98"/>
  <c r="J273" i="98"/>
  <c r="L273" i="98"/>
  <c r="Q273" i="98"/>
  <c r="B274" i="98"/>
  <c r="F274" i="98"/>
  <c r="G274" i="98"/>
  <c r="H274" i="98"/>
  <c r="I274" i="98"/>
  <c r="J274" i="98"/>
  <c r="L274" i="98"/>
  <c r="Q274" i="98"/>
  <c r="B275" i="98"/>
  <c r="F275" i="98"/>
  <c r="G275" i="98"/>
  <c r="H275" i="98"/>
  <c r="I275" i="98"/>
  <c r="J275" i="98"/>
  <c r="L275" i="98"/>
  <c r="Q275" i="98"/>
  <c r="B276" i="98"/>
  <c r="F276" i="98"/>
  <c r="G276" i="98"/>
  <c r="I276" i="98"/>
  <c r="J276" i="98"/>
  <c r="L276" i="98"/>
  <c r="Q276" i="98"/>
  <c r="B115" i="98"/>
  <c r="F115" i="98"/>
  <c r="G115" i="98"/>
  <c r="H115" i="98"/>
  <c r="I115" i="98"/>
  <c r="J115" i="98"/>
  <c r="L115" i="98"/>
  <c r="Q115" i="98"/>
  <c r="B116" i="98"/>
  <c r="F116" i="98"/>
  <c r="G116" i="98"/>
  <c r="H116" i="98"/>
  <c r="I116" i="98"/>
  <c r="J116" i="98"/>
  <c r="L116" i="98"/>
  <c r="Q116" i="98"/>
  <c r="B117" i="98"/>
  <c r="F117" i="98"/>
  <c r="G117" i="98"/>
  <c r="H117" i="98"/>
  <c r="I117" i="98"/>
  <c r="J117" i="98"/>
  <c r="L117" i="98"/>
  <c r="Q117" i="98"/>
  <c r="B118" i="98"/>
  <c r="F118" i="98"/>
  <c r="G118" i="98"/>
  <c r="H118" i="98"/>
  <c r="I118" i="98"/>
  <c r="J118" i="98"/>
  <c r="L118" i="98"/>
  <c r="Q118" i="98"/>
  <c r="B119" i="98"/>
  <c r="F119" i="98"/>
  <c r="G119" i="98"/>
  <c r="H119" i="98"/>
  <c r="I119" i="98"/>
  <c r="J119" i="98"/>
  <c r="L119" i="98"/>
  <c r="Q119" i="98"/>
  <c r="B120" i="98"/>
  <c r="F120" i="98"/>
  <c r="G120" i="98"/>
  <c r="H120" i="98"/>
  <c r="I120" i="98"/>
  <c r="J120" i="98"/>
  <c r="L120" i="98"/>
  <c r="Q120" i="98"/>
  <c r="B121" i="98"/>
  <c r="F121" i="98"/>
  <c r="G121" i="98"/>
  <c r="H121" i="98"/>
  <c r="I121" i="98"/>
  <c r="J121" i="98"/>
  <c r="L121" i="98"/>
  <c r="Q121" i="98"/>
  <c r="B122" i="98"/>
  <c r="F122" i="98"/>
  <c r="G122" i="98"/>
  <c r="H122" i="98"/>
  <c r="I122" i="98"/>
  <c r="J122" i="98"/>
  <c r="L122" i="98"/>
  <c r="Q122" i="98"/>
  <c r="B123" i="98"/>
  <c r="F123" i="98"/>
  <c r="G123" i="98"/>
  <c r="H123" i="98"/>
  <c r="I123" i="98"/>
  <c r="J123" i="98"/>
  <c r="L123" i="98"/>
  <c r="Q123" i="98"/>
  <c r="B124" i="98"/>
  <c r="F124" i="98"/>
  <c r="G124" i="98"/>
  <c r="H124" i="98"/>
  <c r="I124" i="98"/>
  <c r="J124" i="98"/>
  <c r="L124" i="98"/>
  <c r="Q124" i="98"/>
  <c r="B125" i="98"/>
  <c r="F125" i="98"/>
  <c r="G125" i="98"/>
  <c r="H125" i="98"/>
  <c r="I125" i="98"/>
  <c r="J125" i="98"/>
  <c r="L125" i="98"/>
  <c r="Q125" i="98"/>
  <c r="B126" i="98"/>
  <c r="F126" i="98"/>
  <c r="G126" i="98"/>
  <c r="H126" i="98"/>
  <c r="I126" i="98"/>
  <c r="J126" i="98"/>
  <c r="L126" i="98"/>
  <c r="Q126" i="98"/>
  <c r="B127" i="98"/>
  <c r="F127" i="98"/>
  <c r="G127" i="98"/>
  <c r="H127" i="98"/>
  <c r="I127" i="98"/>
  <c r="J127" i="98"/>
  <c r="L127" i="98"/>
  <c r="Q127" i="98"/>
  <c r="B128" i="98"/>
  <c r="F128" i="98"/>
  <c r="G128" i="98"/>
  <c r="H128" i="98"/>
  <c r="I128" i="98"/>
  <c r="J128" i="98"/>
  <c r="L128" i="98"/>
  <c r="Q128" i="98"/>
  <c r="B129" i="98"/>
  <c r="F129" i="98"/>
  <c r="G129" i="98"/>
  <c r="H129" i="98"/>
  <c r="I129" i="98"/>
  <c r="J129" i="98"/>
  <c r="L129" i="98"/>
  <c r="Q129" i="98"/>
  <c r="B130" i="98"/>
  <c r="F130" i="98"/>
  <c r="G130" i="98"/>
  <c r="H130" i="98"/>
  <c r="I130" i="98"/>
  <c r="J130" i="98"/>
  <c r="L130" i="98"/>
  <c r="Q130" i="98"/>
  <c r="B131" i="98"/>
  <c r="F131" i="98"/>
  <c r="G131" i="98"/>
  <c r="H131" i="98"/>
  <c r="I131" i="98"/>
  <c r="J131" i="98"/>
  <c r="L131" i="98"/>
  <c r="Q131" i="98"/>
  <c r="B132" i="98"/>
  <c r="F132" i="98"/>
  <c r="G132" i="98"/>
  <c r="H132" i="98"/>
  <c r="I132" i="98"/>
  <c r="J132" i="98"/>
  <c r="L132" i="98"/>
  <c r="Q132" i="98"/>
  <c r="B133" i="98"/>
  <c r="F133" i="98"/>
  <c r="G133" i="98"/>
  <c r="H133" i="98"/>
  <c r="I133" i="98"/>
  <c r="J133" i="98"/>
  <c r="L133" i="98"/>
  <c r="Q133" i="98"/>
  <c r="B134" i="98"/>
  <c r="F134" i="98"/>
  <c r="G134" i="98"/>
  <c r="H134" i="98"/>
  <c r="I134" i="98"/>
  <c r="J134" i="98"/>
  <c r="L134" i="98"/>
  <c r="Q134" i="98"/>
  <c r="B135" i="98"/>
  <c r="F135" i="98"/>
  <c r="G135" i="98"/>
  <c r="H135" i="98"/>
  <c r="I135" i="98"/>
  <c r="J135" i="98"/>
  <c r="L135" i="98"/>
  <c r="Q135" i="98"/>
  <c r="B136" i="98"/>
  <c r="F136" i="98"/>
  <c r="G136" i="98"/>
  <c r="H136" i="98"/>
  <c r="I136" i="98"/>
  <c r="J136" i="98"/>
  <c r="L136" i="98"/>
  <c r="Q136" i="98"/>
  <c r="B137" i="98"/>
  <c r="F137" i="98"/>
  <c r="G137" i="98"/>
  <c r="H137" i="98"/>
  <c r="I137" i="98"/>
  <c r="J137" i="98"/>
  <c r="L137" i="98"/>
  <c r="Q137" i="98"/>
  <c r="B138" i="98"/>
  <c r="F138" i="98"/>
  <c r="G138" i="98"/>
  <c r="H138" i="98"/>
  <c r="I138" i="98"/>
  <c r="J138" i="98"/>
  <c r="L138" i="98"/>
  <c r="Q138" i="98"/>
  <c r="B139" i="98"/>
  <c r="F139" i="98"/>
  <c r="G139" i="98"/>
  <c r="H139" i="98"/>
  <c r="I139" i="98"/>
  <c r="J139" i="98"/>
  <c r="L139" i="98"/>
  <c r="Q139" i="98"/>
  <c r="B140" i="98"/>
  <c r="F140" i="98"/>
  <c r="G140" i="98"/>
  <c r="H140" i="98"/>
  <c r="I140" i="98"/>
  <c r="J140" i="98"/>
  <c r="L140" i="98"/>
  <c r="Q140" i="98"/>
  <c r="B141" i="98"/>
  <c r="F141" i="98"/>
  <c r="G141" i="98"/>
  <c r="H141" i="98"/>
  <c r="I141" i="98"/>
  <c r="J141" i="98"/>
  <c r="L141" i="98"/>
  <c r="Q141" i="98"/>
  <c r="B142" i="98"/>
  <c r="F142" i="98"/>
  <c r="G142" i="98"/>
  <c r="H142" i="98"/>
  <c r="I142" i="98"/>
  <c r="J142" i="98"/>
  <c r="L142" i="98"/>
  <c r="Q142" i="98"/>
  <c r="B143" i="98"/>
  <c r="F143" i="98"/>
  <c r="G143" i="98"/>
  <c r="H143" i="98"/>
  <c r="I143" i="98"/>
  <c r="J143" i="98"/>
  <c r="L143" i="98"/>
  <c r="Q143" i="98"/>
  <c r="B144" i="98"/>
  <c r="F144" i="98"/>
  <c r="G144" i="98"/>
  <c r="H144" i="98"/>
  <c r="I144" i="98"/>
  <c r="J144" i="98"/>
  <c r="L144" i="98"/>
  <c r="Q144" i="98"/>
  <c r="B145" i="98"/>
  <c r="F145" i="98"/>
  <c r="G145" i="98"/>
  <c r="H145" i="98"/>
  <c r="I145" i="98"/>
  <c r="J145" i="98"/>
  <c r="L145" i="98"/>
  <c r="Q145" i="98"/>
  <c r="B146" i="98"/>
  <c r="F146" i="98"/>
  <c r="G146" i="98"/>
  <c r="H146" i="98"/>
  <c r="I146" i="98"/>
  <c r="J146" i="98"/>
  <c r="L146" i="98"/>
  <c r="Q146" i="98"/>
  <c r="B147" i="98"/>
  <c r="F147" i="98"/>
  <c r="G147" i="98"/>
  <c r="H147" i="98"/>
  <c r="I147" i="98"/>
  <c r="J147" i="98"/>
  <c r="L147" i="98"/>
  <c r="Q147" i="98"/>
  <c r="B148" i="98"/>
  <c r="F148" i="98"/>
  <c r="G148" i="98"/>
  <c r="H148" i="98"/>
  <c r="I148" i="98"/>
  <c r="J148" i="98"/>
  <c r="L148" i="98"/>
  <c r="Q148" i="98"/>
  <c r="B149" i="98"/>
  <c r="F149" i="98"/>
  <c r="G149" i="98"/>
  <c r="H149" i="98"/>
  <c r="I149" i="98"/>
  <c r="J149" i="98"/>
  <c r="L149" i="98"/>
  <c r="Q149" i="98"/>
  <c r="B150" i="98"/>
  <c r="F150" i="98"/>
  <c r="G150" i="98"/>
  <c r="H150" i="98"/>
  <c r="I150" i="98"/>
  <c r="J150" i="98"/>
  <c r="L150" i="98"/>
  <c r="Q150" i="98"/>
  <c r="B151" i="98"/>
  <c r="F151" i="98"/>
  <c r="G151" i="98"/>
  <c r="H151" i="98"/>
  <c r="I151" i="98"/>
  <c r="J151" i="98"/>
  <c r="L151" i="98"/>
  <c r="Q151" i="98"/>
  <c r="B152" i="98"/>
  <c r="F152" i="98"/>
  <c r="G152" i="98"/>
  <c r="H152" i="98"/>
  <c r="I152" i="98"/>
  <c r="J152" i="98"/>
  <c r="L152" i="98"/>
  <c r="Q152" i="98"/>
  <c r="B153" i="98"/>
  <c r="F153" i="98"/>
  <c r="G153" i="98"/>
  <c r="H153" i="98"/>
  <c r="I153" i="98"/>
  <c r="J153" i="98"/>
  <c r="L153" i="98"/>
  <c r="Q153" i="98"/>
  <c r="B154" i="98"/>
  <c r="F154" i="98"/>
  <c r="G154" i="98"/>
  <c r="H154" i="98"/>
  <c r="I154" i="98"/>
  <c r="J154" i="98"/>
  <c r="L154" i="98"/>
  <c r="Q154" i="98"/>
  <c r="B155" i="98"/>
  <c r="F155" i="98"/>
  <c r="G155" i="98"/>
  <c r="H155" i="98"/>
  <c r="I155" i="98"/>
  <c r="J155" i="98"/>
  <c r="L155" i="98"/>
  <c r="Q155" i="98"/>
  <c r="B156" i="98"/>
  <c r="F156" i="98"/>
  <c r="G156" i="98"/>
  <c r="H156" i="98"/>
  <c r="I156" i="98"/>
  <c r="J156" i="98"/>
  <c r="L156" i="98"/>
  <c r="Q156" i="98"/>
  <c r="B157" i="98"/>
  <c r="F157" i="98"/>
  <c r="G157" i="98"/>
  <c r="H157" i="98"/>
  <c r="I157" i="98"/>
  <c r="J157" i="98"/>
  <c r="L157" i="98"/>
  <c r="Q157" i="98"/>
  <c r="B158" i="98"/>
  <c r="F158" i="98"/>
  <c r="G158" i="98"/>
  <c r="H158" i="98"/>
  <c r="I158" i="98"/>
  <c r="J158" i="98"/>
  <c r="L158" i="98"/>
  <c r="Q158" i="98"/>
  <c r="B159" i="98"/>
  <c r="F159" i="98"/>
  <c r="G159" i="98"/>
  <c r="H159" i="98"/>
  <c r="I159" i="98"/>
  <c r="J159" i="98"/>
  <c r="L159" i="98"/>
  <c r="Q159" i="98"/>
  <c r="B114" i="98"/>
  <c r="F114" i="98"/>
  <c r="G114" i="98"/>
  <c r="H114" i="98"/>
  <c r="I114" i="98"/>
  <c r="J114" i="98"/>
  <c r="L114" i="98"/>
  <c r="Q114" i="98"/>
  <c r="B103" i="98"/>
  <c r="F103" i="98"/>
  <c r="G103" i="98"/>
  <c r="H103" i="98"/>
  <c r="I103" i="98"/>
  <c r="J103" i="98"/>
  <c r="L103" i="98"/>
  <c r="Q103" i="98"/>
  <c r="B104" i="98"/>
  <c r="F104" i="98"/>
  <c r="G104" i="98"/>
  <c r="H104" i="98"/>
  <c r="I104" i="98"/>
  <c r="J104" i="98"/>
  <c r="L104" i="98"/>
  <c r="Q104" i="98"/>
  <c r="B105" i="98"/>
  <c r="F105" i="98"/>
  <c r="G105" i="98"/>
  <c r="H105" i="98"/>
  <c r="I105" i="98"/>
  <c r="J105" i="98"/>
  <c r="L105" i="98"/>
  <c r="Q105" i="98"/>
  <c r="B106" i="98"/>
  <c r="F106" i="98"/>
  <c r="G106" i="98"/>
  <c r="I106" i="98"/>
  <c r="J106" i="98"/>
  <c r="L106" i="98"/>
  <c r="Q106" i="98"/>
  <c r="B107" i="98"/>
  <c r="F107" i="98"/>
  <c r="G107" i="98"/>
  <c r="I107" i="98"/>
  <c r="J107" i="98"/>
  <c r="L107" i="98"/>
  <c r="Q107" i="98"/>
  <c r="B108" i="98"/>
  <c r="F108" i="98"/>
  <c r="G108" i="98"/>
  <c r="H108" i="98"/>
  <c r="I108" i="98"/>
  <c r="J108" i="98"/>
  <c r="L108" i="98"/>
  <c r="Q108" i="98"/>
  <c r="B109" i="98"/>
  <c r="F109" i="98"/>
  <c r="G109" i="98"/>
  <c r="H109" i="98"/>
  <c r="I109" i="98"/>
  <c r="J109" i="98"/>
  <c r="L109" i="98"/>
  <c r="Q109" i="98"/>
  <c r="B110" i="98"/>
  <c r="F110" i="98"/>
  <c r="G110" i="98"/>
  <c r="H110" i="98"/>
  <c r="I110" i="98"/>
  <c r="J110" i="98"/>
  <c r="L110" i="98"/>
  <c r="Q110" i="98"/>
  <c r="B111" i="98"/>
  <c r="F111" i="98"/>
  <c r="G111" i="98"/>
  <c r="I111" i="98"/>
  <c r="J111" i="98"/>
  <c r="L111" i="98"/>
  <c r="Q111" i="98"/>
  <c r="B112" i="98"/>
  <c r="F112" i="98"/>
  <c r="G112" i="98"/>
  <c r="H112" i="98"/>
  <c r="I112" i="98"/>
  <c r="J112" i="98"/>
  <c r="L112" i="98"/>
  <c r="Q112" i="98"/>
  <c r="B113" i="98"/>
  <c r="F113" i="98"/>
  <c r="G113" i="98"/>
  <c r="I113" i="98"/>
  <c r="J113" i="98"/>
  <c r="L113" i="98"/>
  <c r="Q113" i="98"/>
  <c r="B99" i="98"/>
  <c r="F99" i="98"/>
  <c r="G99" i="98"/>
  <c r="H99" i="98"/>
  <c r="I99" i="98"/>
  <c r="J99" i="98"/>
  <c r="L99" i="98"/>
  <c r="Q99" i="98"/>
  <c r="B100" i="98"/>
  <c r="F100" i="98"/>
  <c r="G100" i="98"/>
  <c r="I100" i="98"/>
  <c r="J100" i="98"/>
  <c r="L100" i="98"/>
  <c r="Q100" i="98"/>
  <c r="B101" i="98"/>
  <c r="F101" i="98"/>
  <c r="G101" i="98"/>
  <c r="I101" i="98"/>
  <c r="J101" i="98"/>
  <c r="L101" i="98"/>
  <c r="Q101" i="98"/>
  <c r="B102" i="98"/>
  <c r="F102" i="98"/>
  <c r="G102" i="98"/>
  <c r="I102" i="98"/>
  <c r="J102" i="98"/>
  <c r="L102" i="98"/>
  <c r="Q102" i="98"/>
  <c r="B82" i="98"/>
  <c r="F82" i="98"/>
  <c r="G82" i="98"/>
  <c r="H82" i="98"/>
  <c r="I82" i="98"/>
  <c r="J82" i="98"/>
  <c r="L82" i="98"/>
  <c r="Q82" i="98"/>
  <c r="B83" i="98"/>
  <c r="F83" i="98"/>
  <c r="G83" i="98"/>
  <c r="H83" i="98"/>
  <c r="I83" i="98"/>
  <c r="J83" i="98"/>
  <c r="L83" i="98"/>
  <c r="Q83" i="98"/>
  <c r="B84" i="98"/>
  <c r="F84" i="98"/>
  <c r="G84" i="98"/>
  <c r="H84" i="98"/>
  <c r="I84" i="98"/>
  <c r="J84" i="98"/>
  <c r="L84" i="98"/>
  <c r="Q84" i="98"/>
  <c r="B85" i="98"/>
  <c r="F85" i="98"/>
  <c r="G85" i="98"/>
  <c r="H85" i="98"/>
  <c r="I85" i="98"/>
  <c r="J85" i="98"/>
  <c r="L85" i="98"/>
  <c r="Q85" i="98"/>
  <c r="B86" i="98"/>
  <c r="F86" i="98"/>
  <c r="G86" i="98"/>
  <c r="H86" i="98"/>
  <c r="I86" i="98"/>
  <c r="J86" i="98"/>
  <c r="L86" i="98"/>
  <c r="Q86" i="98"/>
  <c r="B87" i="98"/>
  <c r="F87" i="98"/>
  <c r="G87" i="98"/>
  <c r="H87" i="98"/>
  <c r="I87" i="98"/>
  <c r="J87" i="98"/>
  <c r="L87" i="98"/>
  <c r="Q87" i="98"/>
  <c r="B88" i="98"/>
  <c r="F88" i="98"/>
  <c r="G88" i="98"/>
  <c r="H88" i="98"/>
  <c r="I88" i="98"/>
  <c r="J88" i="98"/>
  <c r="L88" i="98"/>
  <c r="Q88" i="98"/>
  <c r="B89" i="98"/>
  <c r="F89" i="98"/>
  <c r="G89" i="98"/>
  <c r="I89" i="98"/>
  <c r="J89" i="98"/>
  <c r="L89" i="98"/>
  <c r="Q89" i="98"/>
  <c r="B90" i="98"/>
  <c r="F90" i="98"/>
  <c r="G90" i="98"/>
  <c r="H90" i="98"/>
  <c r="I90" i="98"/>
  <c r="J90" i="98"/>
  <c r="L90" i="98"/>
  <c r="Q90" i="98"/>
  <c r="B91" i="98"/>
  <c r="F91" i="98"/>
  <c r="G91" i="98"/>
  <c r="H91" i="98"/>
  <c r="I91" i="98"/>
  <c r="J91" i="98"/>
  <c r="L91" i="98"/>
  <c r="Q91" i="98"/>
  <c r="B92" i="98"/>
  <c r="F92" i="98"/>
  <c r="G92" i="98"/>
  <c r="H92" i="98"/>
  <c r="I92" i="98"/>
  <c r="J92" i="98"/>
  <c r="L92" i="98"/>
  <c r="Q92" i="98"/>
  <c r="B93" i="98"/>
  <c r="F93" i="98"/>
  <c r="G93" i="98"/>
  <c r="H93" i="98"/>
  <c r="I93" i="98"/>
  <c r="J93" i="98"/>
  <c r="L93" i="98"/>
  <c r="Q93" i="98"/>
  <c r="B94" i="98"/>
  <c r="F94" i="98"/>
  <c r="G94" i="98"/>
  <c r="H94" i="98"/>
  <c r="I94" i="98"/>
  <c r="J94" i="98"/>
  <c r="L94" i="98"/>
  <c r="Q94" i="98"/>
  <c r="B95" i="98"/>
  <c r="F95" i="98"/>
  <c r="G95" i="98"/>
  <c r="H95" i="98"/>
  <c r="I95" i="98"/>
  <c r="J95" i="98"/>
  <c r="L95" i="98"/>
  <c r="Q95" i="98"/>
  <c r="B96" i="98"/>
  <c r="F96" i="98"/>
  <c r="G96" i="98"/>
  <c r="H96" i="98"/>
  <c r="I96" i="98"/>
  <c r="J96" i="98"/>
  <c r="L96" i="98"/>
  <c r="Q96" i="98"/>
  <c r="B97" i="98"/>
  <c r="F97" i="98"/>
  <c r="G97" i="98"/>
  <c r="H97" i="98"/>
  <c r="I97" i="98"/>
  <c r="J97" i="98"/>
  <c r="L97" i="98"/>
  <c r="Q97" i="98"/>
  <c r="B98" i="98"/>
  <c r="F98" i="98"/>
  <c r="G98" i="98"/>
  <c r="H98" i="98"/>
  <c r="I98" i="98"/>
  <c r="J98" i="98"/>
  <c r="L98" i="98"/>
  <c r="Q98" i="98"/>
  <c r="B71" i="98"/>
  <c r="F71" i="98"/>
  <c r="G71" i="98"/>
  <c r="H71" i="98"/>
  <c r="I71" i="98"/>
  <c r="J71" i="98"/>
  <c r="L71" i="98"/>
  <c r="Q71" i="98"/>
  <c r="B72" i="98"/>
  <c r="F72" i="98"/>
  <c r="G72" i="98"/>
  <c r="H72" i="98"/>
  <c r="I72" i="98"/>
  <c r="J72" i="98"/>
  <c r="L72" i="98"/>
  <c r="Q72" i="98"/>
  <c r="B73" i="98"/>
  <c r="F73" i="98"/>
  <c r="G73" i="98"/>
  <c r="H73" i="98"/>
  <c r="I73" i="98"/>
  <c r="J73" i="98"/>
  <c r="L73" i="98"/>
  <c r="Q73" i="98"/>
  <c r="B74" i="98"/>
  <c r="F74" i="98"/>
  <c r="G74" i="98"/>
  <c r="H74" i="98"/>
  <c r="I74" i="98"/>
  <c r="J74" i="98"/>
  <c r="L74" i="98"/>
  <c r="Q74" i="98"/>
  <c r="B75" i="98"/>
  <c r="F75" i="98"/>
  <c r="G75" i="98"/>
  <c r="I75" i="98"/>
  <c r="J75" i="98"/>
  <c r="L75" i="98"/>
  <c r="Q75" i="98"/>
  <c r="B76" i="98"/>
  <c r="F76" i="98"/>
  <c r="G76" i="98"/>
  <c r="H76" i="98"/>
  <c r="I76" i="98"/>
  <c r="J76" i="98"/>
  <c r="L76" i="98"/>
  <c r="Q76" i="98"/>
  <c r="B77" i="98"/>
  <c r="F77" i="98"/>
  <c r="G77" i="98"/>
  <c r="H77" i="98"/>
  <c r="I77" i="98"/>
  <c r="J77" i="98"/>
  <c r="L77" i="98"/>
  <c r="Q77" i="98"/>
  <c r="B78" i="98"/>
  <c r="F78" i="98"/>
  <c r="G78" i="98"/>
  <c r="H78" i="98"/>
  <c r="I78" i="98"/>
  <c r="J78" i="98"/>
  <c r="L78" i="98"/>
  <c r="Q78" i="98"/>
  <c r="B79" i="98"/>
  <c r="F79" i="98"/>
  <c r="G79" i="98"/>
  <c r="I79" i="98"/>
  <c r="J79" i="98"/>
  <c r="L79" i="98"/>
  <c r="Q79" i="98"/>
  <c r="B80" i="98"/>
  <c r="F80" i="98"/>
  <c r="G80" i="98"/>
  <c r="H80" i="98"/>
  <c r="I80" i="98"/>
  <c r="J80" i="98"/>
  <c r="L80" i="98"/>
  <c r="Q80" i="98"/>
  <c r="B81" i="98"/>
  <c r="F81" i="98"/>
  <c r="G81" i="98"/>
  <c r="H81" i="98"/>
  <c r="I81" i="98"/>
  <c r="J81" i="98"/>
  <c r="L81" i="98"/>
  <c r="Q81" i="98"/>
  <c r="B66" i="98"/>
  <c r="F66" i="98"/>
  <c r="G66" i="98"/>
  <c r="H66" i="98"/>
  <c r="I66" i="98"/>
  <c r="J66" i="98"/>
  <c r="L66" i="98"/>
  <c r="Q66" i="98"/>
  <c r="B67" i="98"/>
  <c r="F67" i="98"/>
  <c r="G67" i="98"/>
  <c r="H67" i="98"/>
  <c r="I67" i="98"/>
  <c r="J67" i="98"/>
  <c r="L67" i="98"/>
  <c r="Q67" i="98"/>
  <c r="B68" i="98"/>
  <c r="F68" i="98"/>
  <c r="G68" i="98"/>
  <c r="I68" i="98"/>
  <c r="J68" i="98"/>
  <c r="L68" i="98"/>
  <c r="Q68" i="98"/>
  <c r="B69" i="98"/>
  <c r="F69" i="98"/>
  <c r="G69" i="98"/>
  <c r="H69" i="98"/>
  <c r="I69" i="98"/>
  <c r="J69" i="98"/>
  <c r="L69" i="98"/>
  <c r="Q69" i="98"/>
  <c r="B70" i="98"/>
  <c r="F70" i="98"/>
  <c r="G70" i="98"/>
  <c r="I70" i="98"/>
  <c r="J70" i="98"/>
  <c r="L70" i="98"/>
  <c r="Q70" i="98"/>
  <c r="B65" i="98"/>
  <c r="F65" i="98"/>
  <c r="G65" i="98"/>
  <c r="H65" i="98"/>
  <c r="I65" i="98"/>
  <c r="J65" i="98"/>
  <c r="L65" i="98"/>
  <c r="Q65" i="98"/>
  <c r="B2" i="98"/>
  <c r="F2" i="98"/>
  <c r="G2" i="98"/>
  <c r="H2" i="98"/>
  <c r="I2" i="98"/>
  <c r="J2" i="98"/>
  <c r="L2" i="98"/>
  <c r="Q2" i="98"/>
  <c r="B3" i="98"/>
  <c r="F3" i="98"/>
  <c r="G3" i="98"/>
  <c r="H3" i="98"/>
  <c r="I3" i="98"/>
  <c r="J3" i="98"/>
  <c r="L3" i="98"/>
  <c r="Q3" i="98"/>
  <c r="B4" i="98"/>
  <c r="F4" i="98"/>
  <c r="G4" i="98"/>
  <c r="H4" i="98"/>
  <c r="I4" i="98"/>
  <c r="J4" i="98"/>
  <c r="L4" i="98"/>
  <c r="Q4" i="98"/>
  <c r="B5" i="98"/>
  <c r="F5" i="98"/>
  <c r="G5" i="98"/>
  <c r="H5" i="98"/>
  <c r="I5" i="98"/>
  <c r="J5" i="98"/>
  <c r="L5" i="98"/>
  <c r="Q5" i="98"/>
  <c r="B6" i="98"/>
  <c r="F6" i="98"/>
  <c r="G6" i="98"/>
  <c r="H6" i="98"/>
  <c r="I6" i="98"/>
  <c r="J6" i="98"/>
  <c r="L6" i="98"/>
  <c r="Q6" i="98"/>
  <c r="B7" i="98"/>
  <c r="F7" i="98"/>
  <c r="G7" i="98"/>
  <c r="H7" i="98"/>
  <c r="I7" i="98"/>
  <c r="J7" i="98"/>
  <c r="L7" i="98"/>
  <c r="Q7" i="98"/>
  <c r="B8" i="98"/>
  <c r="F8" i="98"/>
  <c r="G8" i="98"/>
  <c r="H8" i="98"/>
  <c r="I8" i="98"/>
  <c r="J8" i="98"/>
  <c r="L8" i="98"/>
  <c r="Q8" i="98"/>
  <c r="B9" i="98"/>
  <c r="F9" i="98"/>
  <c r="G9" i="98"/>
  <c r="H9" i="98"/>
  <c r="I9" i="98"/>
  <c r="J9" i="98"/>
  <c r="L9" i="98"/>
  <c r="Q9" i="98"/>
  <c r="B10" i="98"/>
  <c r="F10" i="98"/>
  <c r="G10" i="98"/>
  <c r="H10" i="98"/>
  <c r="I10" i="98"/>
  <c r="J10" i="98"/>
  <c r="L10" i="98"/>
  <c r="Q10" i="98"/>
  <c r="B11" i="98"/>
  <c r="F11" i="98"/>
  <c r="G11" i="98"/>
  <c r="H11" i="98"/>
  <c r="I11" i="98"/>
  <c r="J11" i="98"/>
  <c r="L11" i="98"/>
  <c r="Q11" i="98"/>
  <c r="B12" i="98"/>
  <c r="F12" i="98"/>
  <c r="G12" i="98"/>
  <c r="H12" i="98"/>
  <c r="I12" i="98"/>
  <c r="J12" i="98"/>
  <c r="L12" i="98"/>
  <c r="Q12" i="98"/>
  <c r="B13" i="98"/>
  <c r="F13" i="98"/>
  <c r="G13" i="98"/>
  <c r="H13" i="98"/>
  <c r="I13" i="98"/>
  <c r="J13" i="98"/>
  <c r="L13" i="98"/>
  <c r="Q13" i="98"/>
  <c r="B14" i="98"/>
  <c r="F14" i="98"/>
  <c r="G14" i="98"/>
  <c r="H14" i="98"/>
  <c r="I14" i="98"/>
  <c r="J14" i="98"/>
  <c r="L14" i="98"/>
  <c r="Q14" i="98"/>
  <c r="B15" i="98"/>
  <c r="F15" i="98"/>
  <c r="G15" i="98"/>
  <c r="H15" i="98"/>
  <c r="I15" i="98"/>
  <c r="J15" i="98"/>
  <c r="L15" i="98"/>
  <c r="Q15" i="98"/>
  <c r="B16" i="98"/>
  <c r="F16" i="98"/>
  <c r="G16" i="98"/>
  <c r="H16" i="98"/>
  <c r="I16" i="98"/>
  <c r="J16" i="98"/>
  <c r="L16" i="98"/>
  <c r="Q16" i="98"/>
  <c r="B17" i="98"/>
  <c r="F17" i="98"/>
  <c r="G17" i="98"/>
  <c r="H17" i="98"/>
  <c r="I17" i="98"/>
  <c r="J17" i="98"/>
  <c r="L17" i="98"/>
  <c r="Q17" i="98"/>
  <c r="B18" i="98"/>
  <c r="F18" i="98"/>
  <c r="G18" i="98"/>
  <c r="H18" i="98"/>
  <c r="I18" i="98"/>
  <c r="J18" i="98"/>
  <c r="L18" i="98"/>
  <c r="Q18" i="98"/>
  <c r="B19" i="98"/>
  <c r="F19" i="98"/>
  <c r="G19" i="98"/>
  <c r="I19" i="98"/>
  <c r="J19" i="98"/>
  <c r="L19" i="98"/>
  <c r="Q19" i="98"/>
  <c r="B20" i="98"/>
  <c r="F20" i="98"/>
  <c r="G20" i="98"/>
  <c r="I20" i="98"/>
  <c r="J20" i="98"/>
  <c r="L20" i="98"/>
  <c r="Q20" i="98"/>
  <c r="B21" i="98"/>
  <c r="F21" i="98"/>
  <c r="G21" i="98"/>
  <c r="H21" i="98"/>
  <c r="I21" i="98"/>
  <c r="J21" i="98"/>
  <c r="L21" i="98"/>
  <c r="Q21" i="98"/>
  <c r="B22" i="98"/>
  <c r="F22" i="98"/>
  <c r="G22" i="98"/>
  <c r="H22" i="98"/>
  <c r="I22" i="98"/>
  <c r="J22" i="98"/>
  <c r="L22" i="98"/>
  <c r="Q22" i="98"/>
  <c r="B23" i="98"/>
  <c r="F23" i="98"/>
  <c r="G23" i="98"/>
  <c r="I23" i="98"/>
  <c r="J23" i="98"/>
  <c r="L23" i="98"/>
  <c r="Q23" i="98"/>
  <c r="B24" i="98"/>
  <c r="F24" i="98"/>
  <c r="G24" i="98"/>
  <c r="I24" i="98"/>
  <c r="J24" i="98"/>
  <c r="L24" i="98"/>
  <c r="Q24" i="98"/>
  <c r="B25" i="98"/>
  <c r="F25" i="98"/>
  <c r="G25" i="98"/>
  <c r="H25" i="98"/>
  <c r="I25" i="98"/>
  <c r="J25" i="98"/>
  <c r="L25" i="98"/>
  <c r="Q25" i="98"/>
  <c r="B26" i="98"/>
  <c r="F26" i="98"/>
  <c r="G26" i="98"/>
  <c r="I26" i="98"/>
  <c r="J26" i="98"/>
  <c r="L26" i="98"/>
  <c r="Q26" i="98"/>
  <c r="B27" i="98"/>
  <c r="F27" i="98"/>
  <c r="G27" i="98"/>
  <c r="H27" i="98"/>
  <c r="I27" i="98"/>
  <c r="J27" i="98"/>
  <c r="L27" i="98"/>
  <c r="Q27" i="98"/>
  <c r="B28" i="98"/>
  <c r="F28" i="98"/>
  <c r="G28" i="98"/>
  <c r="I28" i="98"/>
  <c r="J28" i="98"/>
  <c r="L28" i="98"/>
  <c r="Q28" i="98"/>
  <c r="B29" i="98"/>
  <c r="F29" i="98"/>
  <c r="G29" i="98"/>
  <c r="H29" i="98"/>
  <c r="I29" i="98"/>
  <c r="J29" i="98"/>
  <c r="L29" i="98"/>
  <c r="Q29" i="98"/>
  <c r="B30" i="98"/>
  <c r="F30" i="98"/>
  <c r="G30" i="98"/>
  <c r="I30" i="98"/>
  <c r="J30" i="98"/>
  <c r="L30" i="98"/>
  <c r="Q30" i="98"/>
  <c r="B31" i="98"/>
  <c r="F31" i="98"/>
  <c r="G31" i="98"/>
  <c r="I31" i="98"/>
  <c r="J31" i="98"/>
  <c r="L31" i="98"/>
  <c r="Q31" i="98"/>
  <c r="B32" i="98"/>
  <c r="F32" i="98"/>
  <c r="G32" i="98"/>
  <c r="I32" i="98"/>
  <c r="J32" i="98"/>
  <c r="L32" i="98"/>
  <c r="Q32" i="98"/>
  <c r="B33" i="98"/>
  <c r="F33" i="98"/>
  <c r="G33" i="98"/>
  <c r="H33" i="98"/>
  <c r="I33" i="98"/>
  <c r="J33" i="98"/>
  <c r="L33" i="98"/>
  <c r="Q33" i="98"/>
  <c r="B34" i="98"/>
  <c r="F34" i="98"/>
  <c r="G34" i="98"/>
  <c r="I34" i="98"/>
  <c r="J34" i="98"/>
  <c r="L34" i="98"/>
  <c r="Q34" i="98"/>
  <c r="B35" i="98"/>
  <c r="F35" i="98"/>
  <c r="G35" i="98"/>
  <c r="H35" i="98"/>
  <c r="I35" i="98"/>
  <c r="J35" i="98"/>
  <c r="L35" i="98"/>
  <c r="Q35" i="98"/>
  <c r="B36" i="98"/>
  <c r="F36" i="98"/>
  <c r="G36" i="98"/>
  <c r="H36" i="98"/>
  <c r="I36" i="98"/>
  <c r="J36" i="98"/>
  <c r="L36" i="98"/>
  <c r="Q36" i="98"/>
  <c r="B37" i="98"/>
  <c r="F37" i="98"/>
  <c r="G37" i="98"/>
  <c r="H37" i="98"/>
  <c r="I37" i="98"/>
  <c r="J37" i="98"/>
  <c r="L37" i="98"/>
  <c r="Q37" i="98"/>
  <c r="B38" i="98"/>
  <c r="F38" i="98"/>
  <c r="G38" i="98"/>
  <c r="H38" i="98"/>
  <c r="I38" i="98"/>
  <c r="J38" i="98"/>
  <c r="L38" i="98"/>
  <c r="Q38" i="98"/>
  <c r="B39" i="98"/>
  <c r="F39" i="98"/>
  <c r="G39" i="98"/>
  <c r="H39" i="98"/>
  <c r="I39" i="98"/>
  <c r="J39" i="98"/>
  <c r="L39" i="98"/>
  <c r="Q39" i="98"/>
  <c r="B40" i="98"/>
  <c r="F40" i="98"/>
  <c r="G40" i="98"/>
  <c r="H40" i="98"/>
  <c r="I40" i="98"/>
  <c r="J40" i="98"/>
  <c r="L40" i="98"/>
  <c r="Q40" i="98"/>
  <c r="B41" i="98"/>
  <c r="F41" i="98"/>
  <c r="G41" i="98"/>
  <c r="H41" i="98"/>
  <c r="I41" i="98"/>
  <c r="J41" i="98"/>
  <c r="L41" i="98"/>
  <c r="Q41" i="98"/>
  <c r="B42" i="98"/>
  <c r="F42" i="98"/>
  <c r="G42" i="98"/>
  <c r="H42" i="98"/>
  <c r="I42" i="98"/>
  <c r="J42" i="98"/>
  <c r="L42" i="98"/>
  <c r="Q42" i="98"/>
  <c r="B43" i="98"/>
  <c r="F43" i="98"/>
  <c r="G43" i="98"/>
  <c r="H43" i="98"/>
  <c r="I43" i="98"/>
  <c r="J43" i="98"/>
  <c r="L43" i="98"/>
  <c r="Q43" i="98"/>
  <c r="B44" i="98"/>
  <c r="F44" i="98"/>
  <c r="G44" i="98"/>
  <c r="H44" i="98"/>
  <c r="I44" i="98"/>
  <c r="J44" i="98"/>
  <c r="L44" i="98"/>
  <c r="Q44" i="98"/>
  <c r="B45" i="98"/>
  <c r="F45" i="98"/>
  <c r="G45" i="98"/>
  <c r="H45" i="98"/>
  <c r="I45" i="98"/>
  <c r="J45" i="98"/>
  <c r="L45" i="98"/>
  <c r="Q45" i="98"/>
  <c r="B46" i="98"/>
  <c r="F46" i="98"/>
  <c r="G46" i="98"/>
  <c r="H46" i="98"/>
  <c r="I46" i="98"/>
  <c r="J46" i="98"/>
  <c r="L46" i="98"/>
  <c r="Q46" i="98"/>
  <c r="B47" i="98"/>
  <c r="F47" i="98"/>
  <c r="G47" i="98"/>
  <c r="H47" i="98"/>
  <c r="I47" i="98"/>
  <c r="J47" i="98"/>
  <c r="L47" i="98"/>
  <c r="Q47" i="98"/>
  <c r="B48" i="98"/>
  <c r="F48" i="98"/>
  <c r="G48" i="98"/>
  <c r="H48" i="98"/>
  <c r="I48" i="98"/>
  <c r="J48" i="98"/>
  <c r="L48" i="98"/>
  <c r="Q48" i="98"/>
  <c r="B49" i="98"/>
  <c r="F49" i="98"/>
  <c r="G49" i="98"/>
  <c r="I49" i="98"/>
  <c r="J49" i="98"/>
  <c r="L49" i="98"/>
  <c r="Q49" i="98"/>
  <c r="B50" i="98"/>
  <c r="F50" i="98"/>
  <c r="G50" i="98"/>
  <c r="I50" i="98"/>
  <c r="J50" i="98"/>
  <c r="L50" i="98"/>
  <c r="Q50" i="98"/>
  <c r="B51" i="98"/>
  <c r="F51" i="98"/>
  <c r="G51" i="98"/>
  <c r="I51" i="98"/>
  <c r="J51" i="98"/>
  <c r="L51" i="98"/>
  <c r="Q51" i="98"/>
  <c r="B52" i="98"/>
  <c r="F52" i="98"/>
  <c r="G52" i="98"/>
  <c r="H52" i="98"/>
  <c r="I52" i="98"/>
  <c r="J52" i="98"/>
  <c r="L52" i="98"/>
  <c r="Q52" i="98"/>
  <c r="B53" i="98"/>
  <c r="F53" i="98"/>
  <c r="G53" i="98"/>
  <c r="H53" i="98"/>
  <c r="I53" i="98"/>
  <c r="J53" i="98"/>
  <c r="L53" i="98"/>
  <c r="Q53" i="98"/>
  <c r="B54" i="98"/>
  <c r="F54" i="98"/>
  <c r="G54" i="98"/>
  <c r="H54" i="98"/>
  <c r="I54" i="98"/>
  <c r="J54" i="98"/>
  <c r="L54" i="98"/>
  <c r="Q54" i="98"/>
  <c r="B55" i="98"/>
  <c r="F55" i="98"/>
  <c r="G55" i="98"/>
  <c r="H55" i="98"/>
  <c r="I55" i="98"/>
  <c r="J55" i="98"/>
  <c r="L55" i="98"/>
  <c r="Q55" i="98"/>
  <c r="B56" i="98"/>
  <c r="F56" i="98"/>
  <c r="G56" i="98"/>
  <c r="H56" i="98"/>
  <c r="I56" i="98"/>
  <c r="J56" i="98"/>
  <c r="L56" i="98"/>
  <c r="Q56" i="98"/>
  <c r="B57" i="98"/>
  <c r="F57" i="98"/>
  <c r="G57" i="98"/>
  <c r="H57" i="98"/>
  <c r="I57" i="98"/>
  <c r="J57" i="98"/>
  <c r="L57" i="98"/>
  <c r="Q57" i="98"/>
  <c r="B58" i="98"/>
  <c r="F58" i="98"/>
  <c r="G58" i="98"/>
  <c r="H58" i="98"/>
  <c r="I58" i="98"/>
  <c r="J58" i="98"/>
  <c r="L58" i="98"/>
  <c r="Q58" i="98"/>
  <c r="B59" i="98"/>
  <c r="F59" i="98"/>
  <c r="G59" i="98"/>
  <c r="H59" i="98"/>
  <c r="I59" i="98"/>
  <c r="J59" i="98"/>
  <c r="L59" i="98"/>
  <c r="Q59" i="98"/>
  <c r="B60" i="98"/>
  <c r="F60" i="98"/>
  <c r="G60" i="98"/>
  <c r="H60" i="98"/>
  <c r="I60" i="98"/>
  <c r="J60" i="98"/>
  <c r="L60" i="98"/>
  <c r="Q60" i="98"/>
  <c r="B61" i="98"/>
  <c r="F61" i="98"/>
  <c r="G61" i="98"/>
  <c r="H61" i="98"/>
  <c r="I61" i="98"/>
  <c r="J61" i="98"/>
  <c r="L61" i="98"/>
  <c r="Q61" i="98"/>
  <c r="B62" i="98"/>
  <c r="F62" i="98"/>
  <c r="G62" i="98"/>
  <c r="H62" i="98"/>
  <c r="I62" i="98"/>
  <c r="J62" i="98"/>
  <c r="L62" i="98"/>
  <c r="Q62" i="98"/>
  <c r="B63" i="98"/>
  <c r="F63" i="98"/>
  <c r="G63" i="98"/>
  <c r="H63" i="98"/>
  <c r="I63" i="98"/>
  <c r="J63" i="98"/>
  <c r="L63" i="98"/>
  <c r="Q63" i="98"/>
  <c r="B64" i="98"/>
  <c r="F64" i="98"/>
  <c r="G64" i="98"/>
  <c r="H64" i="98"/>
  <c r="I64" i="98"/>
  <c r="J64" i="98"/>
  <c r="L64" i="98"/>
  <c r="Q64" i="98"/>
  <c r="E130" i="8"/>
  <c r="E23" i="8"/>
  <c r="A1287" i="1" l="1"/>
  <c r="A1231" i="98" s="1"/>
  <c r="C1287" i="1"/>
  <c r="D1287" i="1"/>
  <c r="D1231" i="98" s="1"/>
  <c r="K1287" i="1"/>
  <c r="K1231" i="98" s="1"/>
  <c r="M1287" i="1"/>
  <c r="M1231" i="98" s="1"/>
  <c r="N1287" i="1"/>
  <c r="N1231" i="98" s="1"/>
  <c r="O1287" i="1"/>
  <c r="O1231" i="98" s="1"/>
  <c r="P1287" i="1"/>
  <c r="P1231" i="98" s="1"/>
  <c r="A416" i="6"/>
  <c r="C416" i="6"/>
  <c r="E416" i="6" s="1"/>
  <c r="D416" i="6"/>
  <c r="K416" i="6"/>
  <c r="N416" i="6" s="1"/>
  <c r="O416" i="6" s="1"/>
  <c r="A415" i="6"/>
  <c r="C415" i="6"/>
  <c r="E415" i="6" s="1"/>
  <c r="D415" i="6"/>
  <c r="K415" i="6"/>
  <c r="N415" i="6" s="1"/>
  <c r="O415" i="6" s="1"/>
  <c r="E1287" i="1" l="1"/>
  <c r="E1231" i="98" s="1"/>
  <c r="C1231" i="98"/>
  <c r="D62" i="8"/>
  <c r="H50" i="1" l="1"/>
  <c r="H50" i="98" s="1"/>
  <c r="H49" i="1"/>
  <c r="H49" i="98" s="1"/>
  <c r="H103" i="1"/>
  <c r="H89" i="98" s="1"/>
  <c r="H200" i="1"/>
  <c r="H179" i="98" s="1"/>
  <c r="H245" i="1"/>
  <c r="H224" i="98" s="1"/>
  <c r="H339" i="1"/>
  <c r="H314" i="98" s="1"/>
  <c r="H568" i="1"/>
  <c r="H536" i="98" s="1"/>
  <c r="H578" i="1"/>
  <c r="H546" i="98" s="1"/>
  <c r="H115" i="1"/>
  <c r="H100" i="98" s="1"/>
  <c r="H51" i="1"/>
  <c r="H51" i="98" s="1"/>
  <c r="E122" i="8" l="1"/>
  <c r="E121" i="8"/>
  <c r="E77" i="8" l="1"/>
  <c r="A414" i="6" l="1"/>
  <c r="C414" i="6"/>
  <c r="E414" i="6" s="1"/>
  <c r="D414" i="6"/>
  <c r="K414" i="6"/>
  <c r="N414" i="6" s="1"/>
  <c r="O414" i="6" s="1"/>
  <c r="A413" i="6"/>
  <c r="C413" i="6"/>
  <c r="E413" i="6" s="1"/>
  <c r="D413" i="6"/>
  <c r="K413" i="6"/>
  <c r="N413" i="6" s="1"/>
  <c r="O413" i="6" s="1"/>
  <c r="A412" i="6"/>
  <c r="C412" i="6"/>
  <c r="E412" i="6" s="1"/>
  <c r="D412" i="6"/>
  <c r="K412" i="6"/>
  <c r="N412" i="6" s="1"/>
  <c r="O412" i="6" s="1"/>
  <c r="A411" i="6"/>
  <c r="C411" i="6"/>
  <c r="E411" i="6" s="1"/>
  <c r="D411" i="6"/>
  <c r="K411" i="6"/>
  <c r="N411" i="6" s="1"/>
  <c r="O411" i="6" s="1"/>
  <c r="B28" i="96"/>
  <c r="F28" i="96"/>
  <c r="G28" i="96"/>
  <c r="H28" i="96"/>
  <c r="I28" i="96"/>
  <c r="J28" i="96"/>
  <c r="L28" i="96"/>
  <c r="Q28" i="96"/>
  <c r="B29" i="96"/>
  <c r="F29" i="96"/>
  <c r="G29" i="96"/>
  <c r="H29" i="96"/>
  <c r="I29" i="96"/>
  <c r="J29" i="96"/>
  <c r="L29" i="96"/>
  <c r="Q29" i="96"/>
  <c r="B27" i="96"/>
  <c r="F27" i="96"/>
  <c r="G27" i="96"/>
  <c r="H27" i="96"/>
  <c r="I27" i="96"/>
  <c r="J27" i="96"/>
  <c r="L27" i="96"/>
  <c r="Q27" i="96"/>
  <c r="B26" i="96"/>
  <c r="F26" i="96"/>
  <c r="G26" i="96"/>
  <c r="H26" i="96"/>
  <c r="I26" i="96"/>
  <c r="J26" i="96"/>
  <c r="L26" i="96"/>
  <c r="Q26" i="96"/>
  <c r="B25" i="96"/>
  <c r="F25" i="96"/>
  <c r="G25" i="96"/>
  <c r="H25" i="96"/>
  <c r="I25" i="96"/>
  <c r="J25" i="96"/>
  <c r="L25" i="96"/>
  <c r="Q25" i="96"/>
  <c r="B24" i="96"/>
  <c r="F24" i="96"/>
  <c r="G24" i="96"/>
  <c r="H24" i="96"/>
  <c r="I24" i="96"/>
  <c r="J24" i="96"/>
  <c r="L24" i="96"/>
  <c r="Q24" i="96"/>
  <c r="B23" i="96"/>
  <c r="F23" i="96"/>
  <c r="G23" i="96"/>
  <c r="H23" i="96"/>
  <c r="I23" i="96"/>
  <c r="J23" i="96"/>
  <c r="L23" i="96"/>
  <c r="Q23" i="96"/>
  <c r="B22" i="96"/>
  <c r="F22" i="96"/>
  <c r="G22" i="96"/>
  <c r="H22" i="96"/>
  <c r="I22" i="96"/>
  <c r="J22" i="96"/>
  <c r="L22" i="96"/>
  <c r="Q22" i="96"/>
  <c r="B21" i="96"/>
  <c r="F21" i="96"/>
  <c r="G21" i="96"/>
  <c r="H21" i="96"/>
  <c r="I21" i="96"/>
  <c r="J21" i="96"/>
  <c r="L21" i="96"/>
  <c r="Q21" i="96"/>
  <c r="B20" i="96"/>
  <c r="F20" i="96"/>
  <c r="G20" i="96"/>
  <c r="H20" i="96"/>
  <c r="I20" i="96"/>
  <c r="J20" i="96"/>
  <c r="L20" i="96"/>
  <c r="Q20" i="96"/>
  <c r="B19" i="96"/>
  <c r="F19" i="96"/>
  <c r="G19" i="96"/>
  <c r="H19" i="96"/>
  <c r="I19" i="96"/>
  <c r="J19" i="96"/>
  <c r="L19" i="96"/>
  <c r="Q19" i="96"/>
  <c r="B18" i="96"/>
  <c r="F18" i="96"/>
  <c r="G18" i="96"/>
  <c r="H18" i="96"/>
  <c r="I18" i="96"/>
  <c r="J18" i="96"/>
  <c r="L18" i="96"/>
  <c r="Q18" i="96"/>
  <c r="B16" i="96"/>
  <c r="F16" i="96"/>
  <c r="G16" i="96"/>
  <c r="H16" i="96"/>
  <c r="I16" i="96"/>
  <c r="J16" i="96"/>
  <c r="L16" i="96"/>
  <c r="Q16" i="96"/>
  <c r="B17" i="96"/>
  <c r="F17" i="96"/>
  <c r="G17" i="96"/>
  <c r="H17" i="96"/>
  <c r="I17" i="96"/>
  <c r="J17" i="96"/>
  <c r="L17" i="96"/>
  <c r="Q17" i="96"/>
  <c r="B15" i="96"/>
  <c r="F15" i="96"/>
  <c r="G15" i="96"/>
  <c r="H15" i="96"/>
  <c r="I15" i="96"/>
  <c r="J15" i="96"/>
  <c r="L15" i="96"/>
  <c r="Q15" i="96"/>
  <c r="B14" i="96"/>
  <c r="F14" i="96"/>
  <c r="G14" i="96"/>
  <c r="H14" i="96"/>
  <c r="I14" i="96"/>
  <c r="J14" i="96"/>
  <c r="L14" i="96"/>
  <c r="Q14" i="96"/>
  <c r="B12" i="96"/>
  <c r="F12" i="96"/>
  <c r="G12" i="96"/>
  <c r="H12" i="96"/>
  <c r="I12" i="96"/>
  <c r="J12" i="96"/>
  <c r="L12" i="96"/>
  <c r="Q12" i="96"/>
  <c r="B13" i="96"/>
  <c r="F13" i="96"/>
  <c r="G13" i="96"/>
  <c r="H13" i="96"/>
  <c r="I13" i="96"/>
  <c r="J13" i="96"/>
  <c r="L13" i="96"/>
  <c r="Q13" i="96"/>
  <c r="B11" i="96"/>
  <c r="F11" i="96"/>
  <c r="G11" i="96"/>
  <c r="H11" i="96"/>
  <c r="I11" i="96"/>
  <c r="J11" i="96"/>
  <c r="L11" i="96"/>
  <c r="Q11" i="96"/>
  <c r="B9" i="96"/>
  <c r="F9" i="96"/>
  <c r="G9" i="96"/>
  <c r="H9" i="96"/>
  <c r="I9" i="96"/>
  <c r="J9" i="96"/>
  <c r="L9" i="96"/>
  <c r="Q9" i="96"/>
  <c r="B10" i="96"/>
  <c r="F10" i="96"/>
  <c r="G10" i="96"/>
  <c r="H10" i="96"/>
  <c r="I10" i="96"/>
  <c r="J10" i="96"/>
  <c r="L10" i="96"/>
  <c r="Q10" i="96"/>
  <c r="B7" i="96"/>
  <c r="F7" i="96"/>
  <c r="G7" i="96"/>
  <c r="H7" i="96"/>
  <c r="I7" i="96"/>
  <c r="J7" i="96"/>
  <c r="L7" i="96"/>
  <c r="Q7" i="96"/>
  <c r="B8" i="96"/>
  <c r="F8" i="96"/>
  <c r="G8" i="96"/>
  <c r="H8" i="96"/>
  <c r="I8" i="96"/>
  <c r="J8" i="96"/>
  <c r="L8" i="96"/>
  <c r="Q8" i="96"/>
  <c r="B6" i="96"/>
  <c r="F6" i="96"/>
  <c r="G6" i="96"/>
  <c r="H6" i="96"/>
  <c r="I6" i="96"/>
  <c r="J6" i="96"/>
  <c r="L6" i="96"/>
  <c r="Q6" i="96"/>
  <c r="B5" i="96"/>
  <c r="F5" i="96"/>
  <c r="G5" i="96"/>
  <c r="H5" i="96"/>
  <c r="I5" i="96"/>
  <c r="J5" i="96"/>
  <c r="L5" i="96"/>
  <c r="Q5" i="96"/>
  <c r="B2" i="96"/>
  <c r="F2" i="96"/>
  <c r="G2" i="96"/>
  <c r="H2" i="96"/>
  <c r="I2" i="96"/>
  <c r="J2" i="96"/>
  <c r="L2" i="96"/>
  <c r="Q2" i="96"/>
  <c r="B3" i="96"/>
  <c r="F3" i="96"/>
  <c r="G3" i="96"/>
  <c r="H3" i="96"/>
  <c r="I3" i="96"/>
  <c r="J3" i="96"/>
  <c r="L3" i="96"/>
  <c r="Q3" i="96"/>
  <c r="B4" i="96"/>
  <c r="F4" i="96"/>
  <c r="G4" i="96"/>
  <c r="H4" i="96"/>
  <c r="I4" i="96"/>
  <c r="J4" i="96"/>
  <c r="L4" i="96"/>
  <c r="Q4" i="96"/>
  <c r="A1" i="96"/>
  <c r="B1" i="96"/>
  <c r="C1" i="96"/>
  <c r="D1" i="96"/>
  <c r="E1" i="96"/>
  <c r="F1" i="96"/>
  <c r="G1" i="96"/>
  <c r="H1" i="96"/>
  <c r="I1" i="96"/>
  <c r="J1" i="96"/>
  <c r="K1" i="96"/>
  <c r="L1" i="96"/>
  <c r="M1" i="96"/>
  <c r="N1" i="96"/>
  <c r="O1" i="96"/>
  <c r="P1" i="96"/>
  <c r="Q1" i="96"/>
  <c r="A1285" i="1"/>
  <c r="A1229" i="98" s="1"/>
  <c r="A1286" i="1"/>
  <c r="A1230" i="98" s="1"/>
  <c r="C1285" i="1"/>
  <c r="C1229" i="98" s="1"/>
  <c r="C1286" i="1"/>
  <c r="C1230" i="98" s="1"/>
  <c r="D1285" i="1"/>
  <c r="D1229" i="98" s="1"/>
  <c r="D1286" i="1"/>
  <c r="D1230" i="98" s="1"/>
  <c r="K1285" i="1"/>
  <c r="K1229" i="98" s="1"/>
  <c r="K1286" i="1"/>
  <c r="K1230" i="98" s="1"/>
  <c r="M1285" i="1"/>
  <c r="M1229" i="98" s="1"/>
  <c r="M1286" i="1"/>
  <c r="M1230" i="98" s="1"/>
  <c r="N1285" i="1"/>
  <c r="N1229" i="98" s="1"/>
  <c r="N1286" i="1"/>
  <c r="N1230" i="98" s="1"/>
  <c r="O1285" i="1"/>
  <c r="O1229" i="98" s="1"/>
  <c r="O1286" i="1"/>
  <c r="O1230" i="98" s="1"/>
  <c r="P1285" i="1"/>
  <c r="P1229" i="98" s="1"/>
  <c r="P1286" i="1"/>
  <c r="P1230" i="98" s="1"/>
  <c r="E1286" i="1" l="1"/>
  <c r="E1230" i="98" s="1"/>
  <c r="E1285" i="1"/>
  <c r="E1229" i="98" s="1"/>
  <c r="A410" i="6"/>
  <c r="C410" i="6"/>
  <c r="E410" i="6" s="1"/>
  <c r="D410" i="6"/>
  <c r="K410" i="6"/>
  <c r="N410" i="6" s="1"/>
  <c r="O410" i="6" s="1"/>
  <c r="H422" i="1" l="1"/>
  <c r="H394" i="98" s="1"/>
  <c r="E78" i="8" l="1"/>
  <c r="A409" i="6" l="1"/>
  <c r="C409" i="6"/>
  <c r="E409" i="6" s="1"/>
  <c r="D409" i="6"/>
  <c r="K409" i="6"/>
  <c r="N409" i="6" s="1"/>
  <c r="O409" i="6" s="1"/>
  <c r="E37" i="8" l="1"/>
  <c r="A1284" i="1" l="1"/>
  <c r="A29" i="96" s="1"/>
  <c r="C1284" i="1"/>
  <c r="D1284" i="1"/>
  <c r="D29" i="96" s="1"/>
  <c r="K1284" i="1"/>
  <c r="K29" i="96" s="1"/>
  <c r="M1284" i="1"/>
  <c r="M29" i="96" s="1"/>
  <c r="N1284" i="1"/>
  <c r="N29" i="96" s="1"/>
  <c r="O1284" i="1"/>
  <c r="O29" i="96" s="1"/>
  <c r="P1284" i="1"/>
  <c r="P29" i="96" s="1"/>
  <c r="A1283" i="1"/>
  <c r="A28" i="96" s="1"/>
  <c r="C1283" i="1"/>
  <c r="D1283" i="1"/>
  <c r="D28" i="96" s="1"/>
  <c r="K1283" i="1"/>
  <c r="K28" i="96" s="1"/>
  <c r="M1283" i="1"/>
  <c r="M28" i="96" s="1"/>
  <c r="N1283" i="1"/>
  <c r="N28" i="96" s="1"/>
  <c r="O1283" i="1"/>
  <c r="O28" i="96" s="1"/>
  <c r="P1283" i="1"/>
  <c r="P28" i="96" s="1"/>
  <c r="E1284" i="1" l="1"/>
  <c r="E29" i="96" s="1"/>
  <c r="C29" i="96"/>
  <c r="E1283" i="1"/>
  <c r="E28" i="96" s="1"/>
  <c r="C28" i="96"/>
  <c r="A42" i="9"/>
  <c r="C42" i="9"/>
  <c r="D42" i="9"/>
  <c r="E42" i="9"/>
  <c r="M42" i="9"/>
  <c r="P42" i="9"/>
  <c r="R42" i="9"/>
  <c r="S42" i="9"/>
  <c r="T42" i="9"/>
  <c r="U42" i="9"/>
  <c r="A41" i="9"/>
  <c r="C41" i="9"/>
  <c r="D41" i="9"/>
  <c r="E41" i="9"/>
  <c r="M41" i="9"/>
  <c r="P41" i="9"/>
  <c r="R41" i="9"/>
  <c r="S41" i="9"/>
  <c r="T41" i="9"/>
  <c r="U41" i="9"/>
  <c r="E11" i="8"/>
  <c r="A40" i="9"/>
  <c r="C40" i="9"/>
  <c r="D40" i="9"/>
  <c r="E40" i="9"/>
  <c r="M40" i="9"/>
  <c r="P40" i="9"/>
  <c r="R40" i="9"/>
  <c r="S40" i="9"/>
  <c r="T40" i="9"/>
  <c r="U40" i="9"/>
  <c r="A39" i="9"/>
  <c r="C39" i="9"/>
  <c r="D39" i="9"/>
  <c r="E39" i="9"/>
  <c r="M39" i="9"/>
  <c r="P39" i="9"/>
  <c r="R39" i="9"/>
  <c r="S39" i="9"/>
  <c r="T39" i="9"/>
  <c r="U39" i="9"/>
  <c r="A1282" i="1" l="1"/>
  <c r="C1282" i="1"/>
  <c r="E1282" i="1" s="1"/>
  <c r="D1282" i="1"/>
  <c r="K1282" i="1"/>
  <c r="M1282" i="1"/>
  <c r="N1282" i="1"/>
  <c r="O1282" i="1"/>
  <c r="P1282" i="1"/>
  <c r="A1281" i="1"/>
  <c r="C1281" i="1"/>
  <c r="E1281" i="1" s="1"/>
  <c r="D1281" i="1"/>
  <c r="K1281" i="1"/>
  <c r="M1281" i="1"/>
  <c r="N1281" i="1"/>
  <c r="O1281" i="1"/>
  <c r="P1281" i="1"/>
  <c r="E98" i="8" l="1"/>
  <c r="H82" i="1" l="1"/>
  <c r="F121" i="8" l="1"/>
  <c r="E51" i="8" l="1"/>
  <c r="E33" i="8"/>
  <c r="G33" i="8" s="1"/>
  <c r="A82" i="5" l="1"/>
  <c r="C82" i="5"/>
  <c r="E82" i="5" s="1"/>
  <c r="D82" i="5"/>
  <c r="A81" i="5"/>
  <c r="C81" i="5"/>
  <c r="E81" i="5" s="1"/>
  <c r="D81" i="5"/>
  <c r="A79" i="5"/>
  <c r="A80" i="5"/>
  <c r="C79" i="5"/>
  <c r="E79" i="5" s="1"/>
  <c r="C80" i="5"/>
  <c r="E80" i="5" s="1"/>
  <c r="D79" i="5"/>
  <c r="D80" i="5"/>
  <c r="A78" i="5"/>
  <c r="C78" i="5"/>
  <c r="E78" i="5" s="1"/>
  <c r="D78" i="5"/>
  <c r="A77" i="5"/>
  <c r="C77" i="5"/>
  <c r="E77" i="5" s="1"/>
  <c r="D77" i="5"/>
  <c r="E27" i="12" l="1"/>
  <c r="D37" i="12" l="1"/>
  <c r="D34" i="12"/>
  <c r="D35" i="12"/>
  <c r="D36" i="12"/>
  <c r="D33" i="12"/>
  <c r="D31" i="12"/>
  <c r="F31" i="12" s="1"/>
  <c r="D30" i="12"/>
  <c r="F30" i="12" s="1"/>
  <c r="A408" i="6"/>
  <c r="C408" i="6"/>
  <c r="E408" i="6" s="1"/>
  <c r="D408" i="6"/>
  <c r="K408" i="6"/>
  <c r="N408" i="6" s="1"/>
  <c r="O408" i="6" s="1"/>
  <c r="A1041" i="1"/>
  <c r="A1000" i="98" s="1"/>
  <c r="C1041" i="1"/>
  <c r="C1000" i="98" s="1"/>
  <c r="D1041" i="1"/>
  <c r="D1000" i="98" s="1"/>
  <c r="K1041" i="1"/>
  <c r="K1000" i="98" s="1"/>
  <c r="M1041" i="1"/>
  <c r="M1000" i="98" s="1"/>
  <c r="N1041" i="1"/>
  <c r="N1000" i="98" s="1"/>
  <c r="O1041" i="1"/>
  <c r="O1000" i="98" s="1"/>
  <c r="P1041" i="1"/>
  <c r="P1000" i="98" s="1"/>
  <c r="H1015" i="1"/>
  <c r="H974" i="98" s="1"/>
  <c r="A1016" i="1"/>
  <c r="A975" i="98" s="1"/>
  <c r="C1016" i="1"/>
  <c r="C975" i="98" s="1"/>
  <c r="D1016" i="1"/>
  <c r="D975" i="98" s="1"/>
  <c r="K1016" i="1"/>
  <c r="K975" i="98" s="1"/>
  <c r="M1016" i="1"/>
  <c r="M975" i="98" s="1"/>
  <c r="N1016" i="1"/>
  <c r="N975" i="98" s="1"/>
  <c r="O1016" i="1"/>
  <c r="O975" i="98" s="1"/>
  <c r="P1016" i="1"/>
  <c r="P975" i="98" s="1"/>
  <c r="H1023" i="1"/>
  <c r="H982" i="98" s="1"/>
  <c r="A1024" i="1"/>
  <c r="A983" i="98" s="1"/>
  <c r="C1024" i="1"/>
  <c r="C983" i="98" s="1"/>
  <c r="D1024" i="1"/>
  <c r="D983" i="98" s="1"/>
  <c r="K1024" i="1"/>
  <c r="K983" i="98" s="1"/>
  <c r="M1024" i="1"/>
  <c r="M983" i="98" s="1"/>
  <c r="N1024" i="1"/>
  <c r="N983" i="98" s="1"/>
  <c r="O1024" i="1"/>
  <c r="O983" i="98" s="1"/>
  <c r="P1024" i="1"/>
  <c r="P983" i="98" s="1"/>
  <c r="H783" i="1"/>
  <c r="H748" i="98" s="1"/>
  <c r="A799" i="1"/>
  <c r="A763" i="98" s="1"/>
  <c r="C799" i="1"/>
  <c r="C763" i="98" s="1"/>
  <c r="D799" i="1"/>
  <c r="D763" i="98" s="1"/>
  <c r="K799" i="1"/>
  <c r="K763" i="98" s="1"/>
  <c r="M799" i="1"/>
  <c r="M763" i="98" s="1"/>
  <c r="N799" i="1"/>
  <c r="N763" i="98" s="1"/>
  <c r="O799" i="1"/>
  <c r="O763" i="98" s="1"/>
  <c r="P799" i="1"/>
  <c r="P763" i="98" s="1"/>
  <c r="A846" i="1"/>
  <c r="A810" i="98" s="1"/>
  <c r="C846" i="1"/>
  <c r="C810" i="98" s="1"/>
  <c r="D846" i="1"/>
  <c r="D810" i="98" s="1"/>
  <c r="K846" i="1"/>
  <c r="K810" i="98" s="1"/>
  <c r="M846" i="1"/>
  <c r="M810" i="98" s="1"/>
  <c r="N846" i="1"/>
  <c r="N810" i="98" s="1"/>
  <c r="O846" i="1"/>
  <c r="O810" i="98" s="1"/>
  <c r="P846" i="1"/>
  <c r="P810" i="98" s="1"/>
  <c r="H832" i="1"/>
  <c r="H796" i="98" s="1"/>
  <c r="A845" i="1"/>
  <c r="A809" i="98" s="1"/>
  <c r="C845" i="1"/>
  <c r="C809" i="98" s="1"/>
  <c r="D845" i="1"/>
  <c r="D809" i="98" s="1"/>
  <c r="K845" i="1"/>
  <c r="K809" i="98" s="1"/>
  <c r="M845" i="1"/>
  <c r="M809" i="98" s="1"/>
  <c r="N845" i="1"/>
  <c r="N809" i="98" s="1"/>
  <c r="O845" i="1"/>
  <c r="O809" i="98" s="1"/>
  <c r="P845" i="1"/>
  <c r="P809" i="98" s="1"/>
  <c r="A798" i="1"/>
  <c r="A762" i="98" s="1"/>
  <c r="C798" i="1"/>
  <c r="C762" i="98" s="1"/>
  <c r="D798" i="1"/>
  <c r="D762" i="98" s="1"/>
  <c r="K798" i="1"/>
  <c r="K762" i="98" s="1"/>
  <c r="M798" i="1"/>
  <c r="M762" i="98" s="1"/>
  <c r="N798" i="1"/>
  <c r="N762" i="98" s="1"/>
  <c r="O798" i="1"/>
  <c r="O762" i="98" s="1"/>
  <c r="P798" i="1"/>
  <c r="P762" i="98" s="1"/>
  <c r="H773" i="1"/>
  <c r="H738" i="98" s="1"/>
  <c r="H821" i="1"/>
  <c r="H785" i="98" s="1"/>
  <c r="A407" i="6"/>
  <c r="C407" i="6"/>
  <c r="E407" i="6" s="1"/>
  <c r="D407" i="6"/>
  <c r="K407" i="6"/>
  <c r="N407" i="6" s="1"/>
  <c r="O407" i="6" s="1"/>
  <c r="A406" i="6"/>
  <c r="C406" i="6"/>
  <c r="E406" i="6" s="1"/>
  <c r="D406" i="6"/>
  <c r="K406" i="6"/>
  <c r="N406" i="6" s="1"/>
  <c r="O406" i="6" s="1"/>
  <c r="A405" i="6"/>
  <c r="C405" i="6"/>
  <c r="E405" i="6" s="1"/>
  <c r="D405" i="6"/>
  <c r="K405" i="6"/>
  <c r="N405" i="6" s="1"/>
  <c r="O405" i="6" s="1"/>
  <c r="A961" i="1"/>
  <c r="A923" i="98" s="1"/>
  <c r="C961" i="1"/>
  <c r="C923" i="98" s="1"/>
  <c r="D961" i="1"/>
  <c r="D923" i="98" s="1"/>
  <c r="K961" i="1"/>
  <c r="K923" i="98" s="1"/>
  <c r="M961" i="1"/>
  <c r="M923" i="98" s="1"/>
  <c r="N961" i="1"/>
  <c r="N923" i="98" s="1"/>
  <c r="O961" i="1"/>
  <c r="O923" i="98" s="1"/>
  <c r="P961" i="1"/>
  <c r="P923" i="98" s="1"/>
  <c r="E1024" i="1" l="1"/>
  <c r="E983" i="98" s="1"/>
  <c r="E846" i="1"/>
  <c r="E810" i="98" s="1"/>
  <c r="E1016" i="1"/>
  <c r="E975" i="98" s="1"/>
  <c r="E798" i="1"/>
  <c r="E762" i="98" s="1"/>
  <c r="E799" i="1"/>
  <c r="E763" i="98" s="1"/>
  <c r="E1041" i="1"/>
  <c r="E1000" i="98" s="1"/>
  <c r="E845" i="1"/>
  <c r="E809" i="98" s="1"/>
  <c r="E961" i="1"/>
  <c r="E923" i="98" s="1"/>
  <c r="A960" i="1"/>
  <c r="A922" i="98" s="1"/>
  <c r="C960" i="1"/>
  <c r="C922" i="98" s="1"/>
  <c r="D960" i="1"/>
  <c r="D922" i="98" s="1"/>
  <c r="K960" i="1"/>
  <c r="K922" i="98" s="1"/>
  <c r="M960" i="1"/>
  <c r="M922" i="98" s="1"/>
  <c r="N960" i="1"/>
  <c r="N922" i="98" s="1"/>
  <c r="O960" i="1"/>
  <c r="O922" i="98" s="1"/>
  <c r="P960" i="1"/>
  <c r="P922" i="98" s="1"/>
  <c r="A404" i="6"/>
  <c r="C404" i="6"/>
  <c r="E404" i="6" s="1"/>
  <c r="D404" i="6"/>
  <c r="K404" i="6"/>
  <c r="N404" i="6" s="1"/>
  <c r="O404" i="6" s="1"/>
  <c r="A905" i="1"/>
  <c r="A868" i="98" s="1"/>
  <c r="C905" i="1"/>
  <c r="C868" i="98" s="1"/>
  <c r="D905" i="1"/>
  <c r="D868" i="98" s="1"/>
  <c r="K905" i="1"/>
  <c r="K868" i="98" s="1"/>
  <c r="M905" i="1"/>
  <c r="M868" i="98" s="1"/>
  <c r="N905" i="1"/>
  <c r="N868" i="98" s="1"/>
  <c r="O905" i="1"/>
  <c r="O868" i="98" s="1"/>
  <c r="P905" i="1"/>
  <c r="P868" i="98" s="1"/>
  <c r="H870" i="1"/>
  <c r="H834" i="98" s="1"/>
  <c r="A904" i="1"/>
  <c r="A867" i="98" s="1"/>
  <c r="C904" i="1"/>
  <c r="C867" i="98" s="1"/>
  <c r="D904" i="1"/>
  <c r="D867" i="98" s="1"/>
  <c r="K904" i="1"/>
  <c r="K867" i="98" s="1"/>
  <c r="M904" i="1"/>
  <c r="M867" i="98" s="1"/>
  <c r="N904" i="1"/>
  <c r="N867" i="98" s="1"/>
  <c r="O904" i="1"/>
  <c r="O867" i="98" s="1"/>
  <c r="P904" i="1"/>
  <c r="P867" i="98" s="1"/>
  <c r="H854" i="1"/>
  <c r="H818" i="98" s="1"/>
  <c r="E112" i="8"/>
  <c r="E106" i="8"/>
  <c r="A403" i="6"/>
  <c r="C403" i="6"/>
  <c r="E403" i="6" s="1"/>
  <c r="D403" i="6"/>
  <c r="K403" i="6"/>
  <c r="N403" i="6" s="1"/>
  <c r="O403" i="6" s="1"/>
  <c r="A402" i="6"/>
  <c r="C402" i="6"/>
  <c r="E402" i="6" s="1"/>
  <c r="D402" i="6"/>
  <c r="K402" i="6"/>
  <c r="N402" i="6" s="1"/>
  <c r="O402" i="6" s="1"/>
  <c r="A1010" i="1"/>
  <c r="A971" i="98" s="1"/>
  <c r="C1010" i="1"/>
  <c r="C971" i="98" s="1"/>
  <c r="D1010" i="1"/>
  <c r="D971" i="98" s="1"/>
  <c r="K1010" i="1"/>
  <c r="K971" i="98" s="1"/>
  <c r="M1010" i="1"/>
  <c r="M971" i="98" s="1"/>
  <c r="N1010" i="1"/>
  <c r="N971" i="98" s="1"/>
  <c r="O1010" i="1"/>
  <c r="O971" i="98" s="1"/>
  <c r="P1010" i="1"/>
  <c r="P971" i="98" s="1"/>
  <c r="A1009" i="1"/>
  <c r="A970" i="98" s="1"/>
  <c r="C1009" i="1"/>
  <c r="C970" i="98" s="1"/>
  <c r="D1009" i="1"/>
  <c r="D970" i="98" s="1"/>
  <c r="K1009" i="1"/>
  <c r="K970" i="98" s="1"/>
  <c r="M1009" i="1"/>
  <c r="M970" i="98" s="1"/>
  <c r="N1009" i="1"/>
  <c r="N970" i="98" s="1"/>
  <c r="O1009" i="1"/>
  <c r="O970" i="98" s="1"/>
  <c r="P1009" i="1"/>
  <c r="P970" i="98" s="1"/>
  <c r="E905" i="1" l="1"/>
  <c r="E868" i="98" s="1"/>
  <c r="E904" i="1"/>
  <c r="E867" i="98" s="1"/>
  <c r="E1010" i="1"/>
  <c r="E971" i="98" s="1"/>
  <c r="E960" i="1"/>
  <c r="E922" i="98" s="1"/>
  <c r="E1009" i="1"/>
  <c r="E970" i="98" s="1"/>
  <c r="E10" i="8" l="1"/>
  <c r="A416" i="1" l="1"/>
  <c r="A388" i="98" s="1"/>
  <c r="C416" i="1"/>
  <c r="C388" i="98" s="1"/>
  <c r="D416" i="1"/>
  <c r="D388" i="98" s="1"/>
  <c r="K416" i="1"/>
  <c r="K388" i="98" s="1"/>
  <c r="M416" i="1"/>
  <c r="M388" i="98" s="1"/>
  <c r="N416" i="1"/>
  <c r="N388" i="98" s="1"/>
  <c r="O416" i="1"/>
  <c r="O388" i="98" s="1"/>
  <c r="P416" i="1"/>
  <c r="P388" i="98" s="1"/>
  <c r="A415" i="1"/>
  <c r="A387" i="98" s="1"/>
  <c r="C415" i="1"/>
  <c r="C387" i="98" s="1"/>
  <c r="D415" i="1"/>
  <c r="D387" i="98" s="1"/>
  <c r="K415" i="1"/>
  <c r="K387" i="98" s="1"/>
  <c r="M415" i="1"/>
  <c r="M387" i="98" s="1"/>
  <c r="N415" i="1"/>
  <c r="N387" i="98" s="1"/>
  <c r="O415" i="1"/>
  <c r="O387" i="98" s="1"/>
  <c r="P415" i="1"/>
  <c r="P387" i="98" s="1"/>
  <c r="H414" i="1"/>
  <c r="H386" i="98" s="1"/>
  <c r="A414" i="1"/>
  <c r="A386" i="98" s="1"/>
  <c r="C414" i="1"/>
  <c r="C386" i="98" s="1"/>
  <c r="D414" i="1"/>
  <c r="D386" i="98" s="1"/>
  <c r="K414" i="1"/>
  <c r="K386" i="98" s="1"/>
  <c r="M414" i="1"/>
  <c r="M386" i="98" s="1"/>
  <c r="N414" i="1"/>
  <c r="N386" i="98" s="1"/>
  <c r="O414" i="1"/>
  <c r="O386" i="98" s="1"/>
  <c r="P414" i="1"/>
  <c r="P386" i="98" s="1"/>
  <c r="H350" i="1"/>
  <c r="H325" i="98" s="1"/>
  <c r="A350" i="1"/>
  <c r="A325" i="98" s="1"/>
  <c r="C350" i="1"/>
  <c r="C325" i="98" s="1"/>
  <c r="D350" i="1"/>
  <c r="D325" i="98" s="1"/>
  <c r="K350" i="1"/>
  <c r="K325" i="98" s="1"/>
  <c r="M350" i="1"/>
  <c r="M325" i="98" s="1"/>
  <c r="N350" i="1"/>
  <c r="N325" i="98" s="1"/>
  <c r="O350" i="1"/>
  <c r="O325" i="98" s="1"/>
  <c r="P350" i="1"/>
  <c r="P325" i="98" s="1"/>
  <c r="A750" i="1"/>
  <c r="A716" i="98" s="1"/>
  <c r="C750" i="1"/>
  <c r="C716" i="98" s="1"/>
  <c r="D750" i="1"/>
  <c r="D716" i="98" s="1"/>
  <c r="K750" i="1"/>
  <c r="K716" i="98" s="1"/>
  <c r="M750" i="1"/>
  <c r="M716" i="98" s="1"/>
  <c r="N750" i="1"/>
  <c r="N716" i="98" s="1"/>
  <c r="O750" i="1"/>
  <c r="O716" i="98" s="1"/>
  <c r="P750" i="1"/>
  <c r="P716" i="98" s="1"/>
  <c r="A749" i="1"/>
  <c r="A715" i="98" s="1"/>
  <c r="C749" i="1"/>
  <c r="C715" i="98" s="1"/>
  <c r="D749" i="1"/>
  <c r="D715" i="98" s="1"/>
  <c r="K749" i="1"/>
  <c r="K715" i="98" s="1"/>
  <c r="M749" i="1"/>
  <c r="M715" i="98" s="1"/>
  <c r="N749" i="1"/>
  <c r="N715" i="98" s="1"/>
  <c r="O749" i="1"/>
  <c r="O715" i="98" s="1"/>
  <c r="P749" i="1"/>
  <c r="P715" i="98" s="1"/>
  <c r="H475" i="1"/>
  <c r="H446" i="98" s="1"/>
  <c r="H470" i="1"/>
  <c r="H442" i="98" s="1"/>
  <c r="A349" i="1"/>
  <c r="A324" i="98" s="1"/>
  <c r="C349" i="1"/>
  <c r="C324" i="98" s="1"/>
  <c r="D349" i="1"/>
  <c r="D324" i="98" s="1"/>
  <c r="K349" i="1"/>
  <c r="K324" i="98" s="1"/>
  <c r="M349" i="1"/>
  <c r="M324" i="98" s="1"/>
  <c r="N349" i="1"/>
  <c r="N324" i="98" s="1"/>
  <c r="O349" i="1"/>
  <c r="O324" i="98" s="1"/>
  <c r="P349" i="1"/>
  <c r="P324" i="98" s="1"/>
  <c r="E350" i="1" l="1"/>
  <c r="E325" i="98" s="1"/>
  <c r="E750" i="1"/>
  <c r="E716" i="98" s="1"/>
  <c r="E749" i="1"/>
  <c r="E715" i="98" s="1"/>
  <c r="E415" i="1"/>
  <c r="E387" i="98" s="1"/>
  <c r="E416" i="1"/>
  <c r="E388" i="98" s="1"/>
  <c r="E349" i="1"/>
  <c r="E324" i="98" s="1"/>
  <c r="E414" i="1"/>
  <c r="E386" i="98" s="1"/>
  <c r="E37" i="12"/>
  <c r="F37" i="12" s="1"/>
  <c r="K295" i="6" l="1"/>
  <c r="K292" i="6"/>
  <c r="K287" i="6"/>
  <c r="N287" i="6" s="1"/>
  <c r="M23" i="9"/>
  <c r="M24" i="9"/>
  <c r="E5" i="8"/>
  <c r="E6" i="8"/>
  <c r="E9" i="8"/>
  <c r="A526" i="1" l="1"/>
  <c r="A18" i="96" s="1"/>
  <c r="C526" i="1"/>
  <c r="D526" i="1"/>
  <c r="D18" i="96" s="1"/>
  <c r="K526" i="1"/>
  <c r="K18" i="96" s="1"/>
  <c r="M526" i="1"/>
  <c r="M18" i="96" s="1"/>
  <c r="N526" i="1"/>
  <c r="N18" i="96" s="1"/>
  <c r="O526" i="1"/>
  <c r="O18" i="96" s="1"/>
  <c r="P526" i="1"/>
  <c r="P18" i="96" s="1"/>
  <c r="E526" i="1" l="1"/>
  <c r="E18" i="96" s="1"/>
  <c r="C18" i="96"/>
  <c r="A1002" i="1"/>
  <c r="A963" i="98" s="1"/>
  <c r="A1003" i="1"/>
  <c r="A964" i="98" s="1"/>
  <c r="A1004" i="1"/>
  <c r="A965" i="98" s="1"/>
  <c r="A1005" i="1"/>
  <c r="A966" i="98" s="1"/>
  <c r="A1006" i="1"/>
  <c r="A967" i="98" s="1"/>
  <c r="A1007" i="1"/>
  <c r="A968" i="98" s="1"/>
  <c r="A1008" i="1"/>
  <c r="A969" i="98" s="1"/>
  <c r="C1002" i="1"/>
  <c r="C963" i="98" s="1"/>
  <c r="C1003" i="1"/>
  <c r="C964" i="98" s="1"/>
  <c r="C1004" i="1"/>
  <c r="C965" i="98" s="1"/>
  <c r="C1005" i="1"/>
  <c r="C966" i="98" s="1"/>
  <c r="C1006" i="1"/>
  <c r="C967" i="98" s="1"/>
  <c r="C1007" i="1"/>
  <c r="C968" i="98" s="1"/>
  <c r="C1008" i="1"/>
  <c r="C969" i="98" s="1"/>
  <c r="D1002" i="1"/>
  <c r="D963" i="98" s="1"/>
  <c r="D1003" i="1"/>
  <c r="D964" i="98" s="1"/>
  <c r="D1004" i="1"/>
  <c r="D965" i="98" s="1"/>
  <c r="D1005" i="1"/>
  <c r="D966" i="98" s="1"/>
  <c r="D1006" i="1"/>
  <c r="D967" i="98" s="1"/>
  <c r="D1007" i="1"/>
  <c r="D968" i="98" s="1"/>
  <c r="D1008" i="1"/>
  <c r="D969" i="98" s="1"/>
  <c r="K1002" i="1"/>
  <c r="K963" i="98" s="1"/>
  <c r="K1003" i="1"/>
  <c r="K964" i="98" s="1"/>
  <c r="K1004" i="1"/>
  <c r="K965" i="98" s="1"/>
  <c r="K1005" i="1"/>
  <c r="K966" i="98" s="1"/>
  <c r="K1006" i="1"/>
  <c r="K967" i="98" s="1"/>
  <c r="K1007" i="1"/>
  <c r="K968" i="98" s="1"/>
  <c r="K1008" i="1"/>
  <c r="K969" i="98" s="1"/>
  <c r="M1002" i="1"/>
  <c r="M963" i="98" s="1"/>
  <c r="M1003" i="1"/>
  <c r="M964" i="98" s="1"/>
  <c r="M1004" i="1"/>
  <c r="M965" i="98" s="1"/>
  <c r="M1005" i="1"/>
  <c r="M966" i="98" s="1"/>
  <c r="M1006" i="1"/>
  <c r="M967" i="98" s="1"/>
  <c r="M1007" i="1"/>
  <c r="M968" i="98" s="1"/>
  <c r="M1008" i="1"/>
  <c r="M969" i="98" s="1"/>
  <c r="N1002" i="1"/>
  <c r="N963" i="98" s="1"/>
  <c r="N1003" i="1"/>
  <c r="N964" i="98" s="1"/>
  <c r="N1004" i="1"/>
  <c r="N965" i="98" s="1"/>
  <c r="N1005" i="1"/>
  <c r="N966" i="98" s="1"/>
  <c r="N1006" i="1"/>
  <c r="N967" i="98" s="1"/>
  <c r="N1007" i="1"/>
  <c r="N968" i="98" s="1"/>
  <c r="N1008" i="1"/>
  <c r="N969" i="98" s="1"/>
  <c r="O1002" i="1"/>
  <c r="O963" i="98" s="1"/>
  <c r="O1003" i="1"/>
  <c r="O964" i="98" s="1"/>
  <c r="O1004" i="1"/>
  <c r="O965" i="98" s="1"/>
  <c r="O1005" i="1"/>
  <c r="O966" i="98" s="1"/>
  <c r="O1006" i="1"/>
  <c r="O967" i="98" s="1"/>
  <c r="O1007" i="1"/>
  <c r="O968" i="98" s="1"/>
  <c r="O1008" i="1"/>
  <c r="O969" i="98" s="1"/>
  <c r="P1002" i="1"/>
  <c r="P963" i="98" s="1"/>
  <c r="P1003" i="1"/>
  <c r="P964" i="98" s="1"/>
  <c r="P1004" i="1"/>
  <c r="P965" i="98" s="1"/>
  <c r="P1005" i="1"/>
  <c r="P966" i="98" s="1"/>
  <c r="P1006" i="1"/>
  <c r="P967" i="98" s="1"/>
  <c r="P1007" i="1"/>
  <c r="P968" i="98" s="1"/>
  <c r="P1008" i="1"/>
  <c r="P969" i="98" s="1"/>
  <c r="A642" i="1"/>
  <c r="A608" i="98" s="1"/>
  <c r="C642" i="1"/>
  <c r="C608" i="98" s="1"/>
  <c r="D642" i="1"/>
  <c r="D608" i="98" s="1"/>
  <c r="K642" i="1"/>
  <c r="K608" i="98" s="1"/>
  <c r="M642" i="1"/>
  <c r="M608" i="98" s="1"/>
  <c r="N642" i="1"/>
  <c r="N608" i="98" s="1"/>
  <c r="O642" i="1"/>
  <c r="O608" i="98" s="1"/>
  <c r="P642" i="1"/>
  <c r="P608" i="98" s="1"/>
  <c r="A615" i="1"/>
  <c r="A582" i="98" s="1"/>
  <c r="A616" i="1"/>
  <c r="A583" i="98" s="1"/>
  <c r="C615" i="1"/>
  <c r="C582" i="98" s="1"/>
  <c r="C616" i="1"/>
  <c r="C583" i="98" s="1"/>
  <c r="D615" i="1"/>
  <c r="D582" i="98" s="1"/>
  <c r="D616" i="1"/>
  <c r="D583" i="98" s="1"/>
  <c r="K615" i="1"/>
  <c r="K582" i="98" s="1"/>
  <c r="K616" i="1"/>
  <c r="K583" i="98" s="1"/>
  <c r="M615" i="1"/>
  <c r="M582" i="98" s="1"/>
  <c r="M616" i="1"/>
  <c r="M583" i="98" s="1"/>
  <c r="N615" i="1"/>
  <c r="N582" i="98" s="1"/>
  <c r="N616" i="1"/>
  <c r="N583" i="98" s="1"/>
  <c r="O615" i="1"/>
  <c r="O582" i="98" s="1"/>
  <c r="O616" i="1"/>
  <c r="O583" i="98" s="1"/>
  <c r="P615" i="1"/>
  <c r="P582" i="98" s="1"/>
  <c r="P616" i="1"/>
  <c r="P583" i="98" s="1"/>
  <c r="A385" i="1"/>
  <c r="A358" i="98" s="1"/>
  <c r="A386" i="1"/>
  <c r="A359" i="98" s="1"/>
  <c r="A395" i="1"/>
  <c r="A367" i="98" s="1"/>
  <c r="C385" i="1"/>
  <c r="C358" i="98" s="1"/>
  <c r="C386" i="1"/>
  <c r="C359" i="98" s="1"/>
  <c r="C395" i="1"/>
  <c r="C367" i="98" s="1"/>
  <c r="D385" i="1"/>
  <c r="D358" i="98" s="1"/>
  <c r="D386" i="1"/>
  <c r="D359" i="98" s="1"/>
  <c r="D395" i="1"/>
  <c r="D367" i="98" s="1"/>
  <c r="K385" i="1"/>
  <c r="K358" i="98" s="1"/>
  <c r="K386" i="1"/>
  <c r="K359" i="98" s="1"/>
  <c r="K395" i="1"/>
  <c r="K367" i="98" s="1"/>
  <c r="M385" i="1"/>
  <c r="M358" i="98" s="1"/>
  <c r="M386" i="1"/>
  <c r="M359" i="98" s="1"/>
  <c r="M395" i="1"/>
  <c r="M367" i="98" s="1"/>
  <c r="N385" i="1"/>
  <c r="N358" i="98" s="1"/>
  <c r="N386" i="1"/>
  <c r="N359" i="98" s="1"/>
  <c r="N395" i="1"/>
  <c r="N367" i="98" s="1"/>
  <c r="O385" i="1"/>
  <c r="O358" i="98" s="1"/>
  <c r="O386" i="1"/>
  <c r="O359" i="98" s="1"/>
  <c r="O395" i="1"/>
  <c r="O367" i="98" s="1"/>
  <c r="P385" i="1"/>
  <c r="P358" i="98" s="1"/>
  <c r="P386" i="1"/>
  <c r="P359" i="98" s="1"/>
  <c r="P395" i="1"/>
  <c r="P367" i="98" s="1"/>
  <c r="A254" i="1"/>
  <c r="A233" i="98" s="1"/>
  <c r="A293" i="1"/>
  <c r="A272" i="98" s="1"/>
  <c r="A294" i="1"/>
  <c r="A273" i="98" s="1"/>
  <c r="C254" i="1"/>
  <c r="C233" i="98" s="1"/>
  <c r="C293" i="1"/>
  <c r="C272" i="98" s="1"/>
  <c r="C294" i="1"/>
  <c r="C273" i="98" s="1"/>
  <c r="D254" i="1"/>
  <c r="D233" i="98" s="1"/>
  <c r="D293" i="1"/>
  <c r="D272" i="98" s="1"/>
  <c r="D294" i="1"/>
  <c r="D273" i="98" s="1"/>
  <c r="K254" i="1"/>
  <c r="K233" i="98" s="1"/>
  <c r="K293" i="1"/>
  <c r="K272" i="98" s="1"/>
  <c r="K294" i="1"/>
  <c r="K273" i="98" s="1"/>
  <c r="M254" i="1"/>
  <c r="M233" i="98" s="1"/>
  <c r="M293" i="1"/>
  <c r="M272" i="98" s="1"/>
  <c r="M294" i="1"/>
  <c r="M273" i="98" s="1"/>
  <c r="N254" i="1"/>
  <c r="N233" i="98" s="1"/>
  <c r="N293" i="1"/>
  <c r="N272" i="98" s="1"/>
  <c r="N294" i="1"/>
  <c r="N273" i="98" s="1"/>
  <c r="O254" i="1"/>
  <c r="O233" i="98" s="1"/>
  <c r="O293" i="1"/>
  <c r="O272" i="98" s="1"/>
  <c r="O294" i="1"/>
  <c r="O273" i="98" s="1"/>
  <c r="P254" i="1"/>
  <c r="P233" i="98" s="1"/>
  <c r="P293" i="1"/>
  <c r="P272" i="98" s="1"/>
  <c r="P294" i="1"/>
  <c r="P273" i="98" s="1"/>
  <c r="A902" i="1"/>
  <c r="A865" i="98" s="1"/>
  <c r="A903" i="1"/>
  <c r="A866" i="98" s="1"/>
  <c r="A96" i="1"/>
  <c r="A82" i="98" s="1"/>
  <c r="C902" i="1"/>
  <c r="C865" i="98" s="1"/>
  <c r="C903" i="1"/>
  <c r="C866" i="98" s="1"/>
  <c r="C96" i="1"/>
  <c r="C82" i="98" s="1"/>
  <c r="D902" i="1"/>
  <c r="D865" i="98" s="1"/>
  <c r="D903" i="1"/>
  <c r="D866" i="98" s="1"/>
  <c r="D96" i="1"/>
  <c r="D82" i="98" s="1"/>
  <c r="K902" i="1"/>
  <c r="K865" i="98" s="1"/>
  <c r="K903" i="1"/>
  <c r="K866" i="98" s="1"/>
  <c r="K96" i="1"/>
  <c r="K82" i="98" s="1"/>
  <c r="M902" i="1"/>
  <c r="M865" i="98" s="1"/>
  <c r="M903" i="1"/>
  <c r="M866" i="98" s="1"/>
  <c r="M96" i="1"/>
  <c r="M82" i="98" s="1"/>
  <c r="N902" i="1"/>
  <c r="N865" i="98" s="1"/>
  <c r="N903" i="1"/>
  <c r="N866" i="98" s="1"/>
  <c r="N96" i="1"/>
  <c r="N82" i="98" s="1"/>
  <c r="O902" i="1"/>
  <c r="O865" i="98" s="1"/>
  <c r="O903" i="1"/>
  <c r="O866" i="98" s="1"/>
  <c r="O96" i="1"/>
  <c r="O82" i="98" s="1"/>
  <c r="P902" i="1"/>
  <c r="P865" i="98" s="1"/>
  <c r="P903" i="1"/>
  <c r="P866" i="98" s="1"/>
  <c r="P96" i="1"/>
  <c r="P82" i="98" s="1"/>
  <c r="A901" i="1"/>
  <c r="A864" i="98" s="1"/>
  <c r="C901" i="1"/>
  <c r="C864" i="98" s="1"/>
  <c r="D901" i="1"/>
  <c r="D864" i="98" s="1"/>
  <c r="K901" i="1"/>
  <c r="K864" i="98" s="1"/>
  <c r="M901" i="1"/>
  <c r="M864" i="98" s="1"/>
  <c r="N901" i="1"/>
  <c r="N864" i="98" s="1"/>
  <c r="O901" i="1"/>
  <c r="O864" i="98" s="1"/>
  <c r="P901" i="1"/>
  <c r="P864" i="98" s="1"/>
  <c r="E903" i="1" l="1"/>
  <c r="E866" i="98" s="1"/>
  <c r="E293" i="1"/>
  <c r="E272" i="98" s="1"/>
  <c r="E386" i="1"/>
  <c r="E359" i="98" s="1"/>
  <c r="E1007" i="1"/>
  <c r="E968" i="98" s="1"/>
  <c r="E1008" i="1"/>
  <c r="E969" i="98" s="1"/>
  <c r="E385" i="1"/>
  <c r="E358" i="98" s="1"/>
  <c r="E616" i="1"/>
  <c r="E583" i="98" s="1"/>
  <c r="E1006" i="1"/>
  <c r="E967" i="98" s="1"/>
  <c r="E254" i="1"/>
  <c r="E233" i="98" s="1"/>
  <c r="E615" i="1"/>
  <c r="E582" i="98" s="1"/>
  <c r="E1005" i="1"/>
  <c r="E966" i="98" s="1"/>
  <c r="E294" i="1"/>
  <c r="E273" i="98" s="1"/>
  <c r="E901" i="1"/>
  <c r="E864" i="98" s="1"/>
  <c r="E642" i="1"/>
  <c r="E608" i="98" s="1"/>
  <c r="E1004" i="1"/>
  <c r="E965" i="98" s="1"/>
  <c r="E96" i="1"/>
  <c r="E82" i="98" s="1"/>
  <c r="E1003" i="1"/>
  <c r="E964" i="98" s="1"/>
  <c r="E902" i="1"/>
  <c r="E865" i="98" s="1"/>
  <c r="E1002" i="1"/>
  <c r="E963" i="98" s="1"/>
  <c r="E395" i="1"/>
  <c r="E367" i="98" s="1"/>
  <c r="A41" i="5"/>
  <c r="C41" i="5"/>
  <c r="E41" i="5" s="1"/>
  <c r="D41" i="5"/>
  <c r="A36" i="5"/>
  <c r="C36" i="5"/>
  <c r="E36" i="5" s="1"/>
  <c r="D36" i="5"/>
  <c r="A37" i="5"/>
  <c r="C37" i="5"/>
  <c r="E37" i="5" s="1"/>
  <c r="D37" i="5"/>
  <c r="A25" i="5"/>
  <c r="C25" i="5"/>
  <c r="E25" i="5" s="1"/>
  <c r="D25" i="5"/>
  <c r="A76" i="5" l="1"/>
  <c r="C76" i="5"/>
  <c r="E76" i="5" s="1"/>
  <c r="D76" i="5"/>
  <c r="A75" i="1" l="1"/>
  <c r="A69" i="98" s="1"/>
  <c r="C75" i="1"/>
  <c r="C69" i="98" s="1"/>
  <c r="D75" i="1"/>
  <c r="D69" i="98" s="1"/>
  <c r="K75" i="1"/>
  <c r="K69" i="98" s="1"/>
  <c r="M75" i="1"/>
  <c r="M69" i="98" s="1"/>
  <c r="N75" i="1"/>
  <c r="N69" i="98" s="1"/>
  <c r="O75" i="1"/>
  <c r="O69" i="98" s="1"/>
  <c r="P75" i="1"/>
  <c r="P69" i="98" s="1"/>
  <c r="A525" i="1"/>
  <c r="A494" i="98" s="1"/>
  <c r="C525" i="1"/>
  <c r="C494" i="98" s="1"/>
  <c r="D525" i="1"/>
  <c r="D494" i="98" s="1"/>
  <c r="K525" i="1"/>
  <c r="K494" i="98" s="1"/>
  <c r="M525" i="1"/>
  <c r="M494" i="98" s="1"/>
  <c r="N525" i="1"/>
  <c r="N494" i="98" s="1"/>
  <c r="O525" i="1"/>
  <c r="O494" i="98" s="1"/>
  <c r="P525" i="1"/>
  <c r="P494" i="98" s="1"/>
  <c r="A401" i="6"/>
  <c r="C401" i="6"/>
  <c r="E401" i="6" s="1"/>
  <c r="D401" i="6"/>
  <c r="K401" i="6"/>
  <c r="N401" i="6" s="1"/>
  <c r="O401" i="6" s="1"/>
  <c r="E75" i="1" l="1"/>
  <c r="E69" i="98" s="1"/>
  <c r="E525" i="1"/>
  <c r="E494" i="98" s="1"/>
  <c r="H74" i="1"/>
  <c r="H68" i="98" s="1"/>
  <c r="A74" i="1"/>
  <c r="A68" i="98" s="1"/>
  <c r="C74" i="1"/>
  <c r="C68" i="98" s="1"/>
  <c r="D74" i="1"/>
  <c r="D68" i="98" s="1"/>
  <c r="K74" i="1"/>
  <c r="K68" i="98" s="1"/>
  <c r="M74" i="1"/>
  <c r="M68" i="98" s="1"/>
  <c r="N74" i="1"/>
  <c r="N68" i="98" s="1"/>
  <c r="O74" i="1"/>
  <c r="O68" i="98" s="1"/>
  <c r="P74" i="1"/>
  <c r="P68" i="98" s="1"/>
  <c r="A73" i="1"/>
  <c r="A67" i="98" s="1"/>
  <c r="C73" i="1"/>
  <c r="C67" i="98" s="1"/>
  <c r="D73" i="1"/>
  <c r="D67" i="98" s="1"/>
  <c r="K73" i="1"/>
  <c r="K67" i="98" s="1"/>
  <c r="M73" i="1"/>
  <c r="M67" i="98" s="1"/>
  <c r="N73" i="1"/>
  <c r="N67" i="98" s="1"/>
  <c r="O73" i="1"/>
  <c r="O67" i="98" s="1"/>
  <c r="P73" i="1"/>
  <c r="P67" i="98" s="1"/>
  <c r="E73" i="1" l="1"/>
  <c r="E67" i="98" s="1"/>
  <c r="E74" i="1"/>
  <c r="E68" i="98" s="1"/>
  <c r="A400" i="6"/>
  <c r="C400" i="6"/>
  <c r="E400" i="6" s="1"/>
  <c r="D400" i="6"/>
  <c r="K400" i="6"/>
  <c r="N400" i="6" s="1"/>
  <c r="O400" i="6" s="1"/>
  <c r="A399" i="6" l="1"/>
  <c r="C399" i="6"/>
  <c r="E399" i="6" s="1"/>
  <c r="D399" i="6"/>
  <c r="K399" i="6"/>
  <c r="N399" i="6" s="1"/>
  <c r="O399" i="6" s="1"/>
  <c r="A398" i="6" l="1"/>
  <c r="C398" i="6"/>
  <c r="E398" i="6" s="1"/>
  <c r="D398" i="6"/>
  <c r="K398" i="6"/>
  <c r="N398" i="6" s="1"/>
  <c r="O398" i="6" s="1"/>
  <c r="A397" i="6"/>
  <c r="C397" i="6"/>
  <c r="E397" i="6" s="1"/>
  <c r="D397" i="6"/>
  <c r="K397" i="6"/>
  <c r="N397" i="6" s="1"/>
  <c r="O397" i="6" s="1"/>
  <c r="A396" i="6"/>
  <c r="C396" i="6"/>
  <c r="E396" i="6" s="1"/>
  <c r="D396" i="6"/>
  <c r="K396" i="6"/>
  <c r="N396" i="6" s="1"/>
  <c r="O396" i="6" s="1"/>
  <c r="A1001" i="1" l="1"/>
  <c r="A962" i="98" s="1"/>
  <c r="C1001" i="1"/>
  <c r="C962" i="98" s="1"/>
  <c r="D1001" i="1"/>
  <c r="D962" i="98" s="1"/>
  <c r="K1001" i="1"/>
  <c r="K962" i="98" s="1"/>
  <c r="M1001" i="1"/>
  <c r="M962" i="98" s="1"/>
  <c r="N1001" i="1"/>
  <c r="N962" i="98" s="1"/>
  <c r="O1001" i="1"/>
  <c r="O962" i="98" s="1"/>
  <c r="P1001" i="1"/>
  <c r="P962" i="98" s="1"/>
  <c r="E1001" i="1" l="1"/>
  <c r="E962" i="98" s="1"/>
  <c r="A641" i="1"/>
  <c r="A607" i="98" s="1"/>
  <c r="C641" i="1"/>
  <c r="C607" i="98" s="1"/>
  <c r="D641" i="1"/>
  <c r="D607" i="98" s="1"/>
  <c r="K641" i="1"/>
  <c r="K607" i="98" s="1"/>
  <c r="M641" i="1"/>
  <c r="M607" i="98" s="1"/>
  <c r="N641" i="1"/>
  <c r="N607" i="98" s="1"/>
  <c r="O641" i="1"/>
  <c r="O607" i="98" s="1"/>
  <c r="P641" i="1"/>
  <c r="P607" i="98" s="1"/>
  <c r="A395" i="6"/>
  <c r="C395" i="6"/>
  <c r="E395" i="6" s="1"/>
  <c r="D395" i="6"/>
  <c r="K395" i="6"/>
  <c r="N395" i="6" s="1"/>
  <c r="O395" i="6" s="1"/>
  <c r="A394" i="6"/>
  <c r="C394" i="6"/>
  <c r="E394" i="6" s="1"/>
  <c r="D394" i="6"/>
  <c r="K394" i="6"/>
  <c r="N394" i="6" s="1"/>
  <c r="O394" i="6" s="1"/>
  <c r="A1052" i="1"/>
  <c r="A1008" i="98" s="1"/>
  <c r="C1052" i="1"/>
  <c r="C1008" i="98" s="1"/>
  <c r="D1052" i="1"/>
  <c r="D1008" i="98" s="1"/>
  <c r="K1052" i="1"/>
  <c r="K1008" i="98" s="1"/>
  <c r="M1052" i="1"/>
  <c r="M1008" i="98" s="1"/>
  <c r="N1052" i="1"/>
  <c r="N1008" i="98" s="1"/>
  <c r="O1052" i="1"/>
  <c r="O1008" i="98" s="1"/>
  <c r="P1052" i="1"/>
  <c r="P1008" i="98" s="1"/>
  <c r="A1051" i="1"/>
  <c r="A1007" i="98" s="1"/>
  <c r="C1051" i="1"/>
  <c r="C1007" i="98" s="1"/>
  <c r="D1051" i="1"/>
  <c r="D1007" i="98" s="1"/>
  <c r="K1051" i="1"/>
  <c r="K1007" i="98" s="1"/>
  <c r="M1051" i="1"/>
  <c r="M1007" i="98" s="1"/>
  <c r="N1051" i="1"/>
  <c r="N1007" i="98" s="1"/>
  <c r="O1051" i="1"/>
  <c r="O1007" i="98" s="1"/>
  <c r="P1051" i="1"/>
  <c r="P1007" i="98" s="1"/>
  <c r="A1050" i="1"/>
  <c r="A1006" i="98" s="1"/>
  <c r="C1050" i="1"/>
  <c r="C1006" i="98" s="1"/>
  <c r="D1050" i="1"/>
  <c r="D1006" i="98" s="1"/>
  <c r="K1050" i="1"/>
  <c r="K1006" i="98" s="1"/>
  <c r="M1050" i="1"/>
  <c r="M1006" i="98" s="1"/>
  <c r="N1050" i="1"/>
  <c r="N1006" i="98" s="1"/>
  <c r="O1050" i="1"/>
  <c r="O1006" i="98" s="1"/>
  <c r="P1050" i="1"/>
  <c r="P1006" i="98" s="1"/>
  <c r="A1049" i="1"/>
  <c r="A1005" i="98" s="1"/>
  <c r="C1049" i="1"/>
  <c r="C1005" i="98" s="1"/>
  <c r="D1049" i="1"/>
  <c r="D1005" i="98" s="1"/>
  <c r="K1049" i="1"/>
  <c r="K1005" i="98" s="1"/>
  <c r="M1049" i="1"/>
  <c r="M1005" i="98" s="1"/>
  <c r="N1049" i="1"/>
  <c r="N1005" i="98" s="1"/>
  <c r="O1049" i="1"/>
  <c r="O1005" i="98" s="1"/>
  <c r="P1049" i="1"/>
  <c r="P1005" i="98" s="1"/>
  <c r="E1051" i="1" l="1"/>
  <c r="E1007" i="98" s="1"/>
  <c r="E1049" i="1"/>
  <c r="E1005" i="98" s="1"/>
  <c r="E641" i="1"/>
  <c r="E607" i="98" s="1"/>
  <c r="E1052" i="1"/>
  <c r="E1008" i="98" s="1"/>
  <c r="E1050" i="1"/>
  <c r="E1006" i="98" s="1"/>
  <c r="A459" i="1"/>
  <c r="A431" i="98" s="1"/>
  <c r="C459" i="1"/>
  <c r="C431" i="98" s="1"/>
  <c r="D459" i="1"/>
  <c r="D431" i="98" s="1"/>
  <c r="K459" i="1"/>
  <c r="K431" i="98" s="1"/>
  <c r="M459" i="1"/>
  <c r="M431" i="98" s="1"/>
  <c r="N459" i="1"/>
  <c r="N431" i="98" s="1"/>
  <c r="O459" i="1"/>
  <c r="O431" i="98" s="1"/>
  <c r="P459" i="1"/>
  <c r="P431" i="98" s="1"/>
  <c r="A452" i="1"/>
  <c r="A424" i="98" s="1"/>
  <c r="C452" i="1"/>
  <c r="C424" i="98" s="1"/>
  <c r="D452" i="1"/>
  <c r="D424" i="98" s="1"/>
  <c r="K452" i="1"/>
  <c r="K424" i="98" s="1"/>
  <c r="M452" i="1"/>
  <c r="M424" i="98" s="1"/>
  <c r="N452" i="1"/>
  <c r="N424" i="98" s="1"/>
  <c r="O452" i="1"/>
  <c r="O424" i="98" s="1"/>
  <c r="P452" i="1"/>
  <c r="P424" i="98" s="1"/>
  <c r="E459" i="1" l="1"/>
  <c r="E431" i="98" s="1"/>
  <c r="E452" i="1"/>
  <c r="E424" i="98" s="1"/>
  <c r="A1258" i="1"/>
  <c r="A1208" i="98" s="1"/>
  <c r="C1258" i="1"/>
  <c r="C1208" i="98" s="1"/>
  <c r="D1258" i="1"/>
  <c r="D1208" i="98" s="1"/>
  <c r="K1258" i="1"/>
  <c r="K1208" i="98" s="1"/>
  <c r="M1258" i="1"/>
  <c r="M1208" i="98" s="1"/>
  <c r="N1258" i="1"/>
  <c r="N1208" i="98" s="1"/>
  <c r="O1258" i="1"/>
  <c r="O1208" i="98" s="1"/>
  <c r="P1258" i="1"/>
  <c r="P1208" i="98" s="1"/>
  <c r="E1258" i="1" l="1"/>
  <c r="E1208" i="98" s="1"/>
  <c r="H697" i="1"/>
  <c r="H663" i="98" s="1"/>
  <c r="A225" i="1"/>
  <c r="A204" i="98" s="1"/>
  <c r="C225" i="1"/>
  <c r="C204" i="98" s="1"/>
  <c r="D225" i="1"/>
  <c r="D204" i="98" s="1"/>
  <c r="K225" i="1"/>
  <c r="K204" i="98" s="1"/>
  <c r="M225" i="1"/>
  <c r="M204" i="98" s="1"/>
  <c r="N225" i="1"/>
  <c r="N204" i="98" s="1"/>
  <c r="O225" i="1"/>
  <c r="O204" i="98" s="1"/>
  <c r="P225" i="1"/>
  <c r="P204" i="98" s="1"/>
  <c r="E225" i="1" l="1"/>
  <c r="E204" i="98" s="1"/>
  <c r="A72" i="1"/>
  <c r="A66" i="98" s="1"/>
  <c r="C72" i="1"/>
  <c r="C66" i="98" s="1"/>
  <c r="D72" i="1"/>
  <c r="D66" i="98" s="1"/>
  <c r="K72" i="1"/>
  <c r="K66" i="98" s="1"/>
  <c r="M72" i="1"/>
  <c r="M66" i="98" s="1"/>
  <c r="N72" i="1"/>
  <c r="N66" i="98" s="1"/>
  <c r="O72" i="1"/>
  <c r="O66" i="98" s="1"/>
  <c r="P72" i="1"/>
  <c r="P66" i="98" s="1"/>
  <c r="E72" i="1" l="1"/>
  <c r="E66" i="98" s="1"/>
  <c r="A479" i="1"/>
  <c r="A450" i="98" s="1"/>
  <c r="C479" i="1"/>
  <c r="C450" i="98" s="1"/>
  <c r="D479" i="1"/>
  <c r="D450" i="98" s="1"/>
  <c r="K479" i="1"/>
  <c r="K450" i="98" s="1"/>
  <c r="M479" i="1"/>
  <c r="M450" i="98" s="1"/>
  <c r="N479" i="1"/>
  <c r="N450" i="98" s="1"/>
  <c r="O479" i="1"/>
  <c r="O450" i="98" s="1"/>
  <c r="P479" i="1"/>
  <c r="P450" i="98" s="1"/>
  <c r="A478" i="1"/>
  <c r="A449" i="98" s="1"/>
  <c r="C478" i="1"/>
  <c r="C449" i="98" s="1"/>
  <c r="D478" i="1"/>
  <c r="D449" i="98" s="1"/>
  <c r="K478" i="1"/>
  <c r="K449" i="98" s="1"/>
  <c r="M478" i="1"/>
  <c r="M449" i="98" s="1"/>
  <c r="N478" i="1"/>
  <c r="N449" i="98" s="1"/>
  <c r="O478" i="1"/>
  <c r="O449" i="98" s="1"/>
  <c r="P478" i="1"/>
  <c r="P449" i="98" s="1"/>
  <c r="A477" i="1"/>
  <c r="A448" i="98" s="1"/>
  <c r="C477" i="1"/>
  <c r="C448" i="98" s="1"/>
  <c r="D477" i="1"/>
  <c r="D448" i="98" s="1"/>
  <c r="K477" i="1"/>
  <c r="K448" i="98" s="1"/>
  <c r="M477" i="1"/>
  <c r="M448" i="98" s="1"/>
  <c r="N477" i="1"/>
  <c r="N448" i="98" s="1"/>
  <c r="O477" i="1"/>
  <c r="O448" i="98" s="1"/>
  <c r="P477" i="1"/>
  <c r="P448" i="98" s="1"/>
  <c r="A476" i="1"/>
  <c r="A447" i="98" s="1"/>
  <c r="C476" i="1"/>
  <c r="C447" i="98" s="1"/>
  <c r="D476" i="1"/>
  <c r="D447" i="98" s="1"/>
  <c r="K476" i="1"/>
  <c r="K447" i="98" s="1"/>
  <c r="M476" i="1"/>
  <c r="M447" i="98" s="1"/>
  <c r="N476" i="1"/>
  <c r="N447" i="98" s="1"/>
  <c r="O476" i="1"/>
  <c r="O447" i="98" s="1"/>
  <c r="P476" i="1"/>
  <c r="P447" i="98" s="1"/>
  <c r="E479" i="1" l="1"/>
  <c r="E450" i="98" s="1"/>
  <c r="E478" i="1"/>
  <c r="E449" i="98" s="1"/>
  <c r="E477" i="1"/>
  <c r="E448" i="98" s="1"/>
  <c r="E476" i="1"/>
  <c r="E447" i="98" s="1"/>
  <c r="A407" i="1"/>
  <c r="A379" i="98" s="1"/>
  <c r="C407" i="1"/>
  <c r="C379" i="98" s="1"/>
  <c r="D407" i="1"/>
  <c r="D379" i="98" s="1"/>
  <c r="K407" i="1"/>
  <c r="K379" i="98" s="1"/>
  <c r="M407" i="1"/>
  <c r="M379" i="98" s="1"/>
  <c r="N407" i="1"/>
  <c r="N379" i="98" s="1"/>
  <c r="O407" i="1"/>
  <c r="O379" i="98" s="1"/>
  <c r="P407" i="1"/>
  <c r="P379" i="98" s="1"/>
  <c r="A406" i="1"/>
  <c r="A378" i="98" s="1"/>
  <c r="C406" i="1"/>
  <c r="C378" i="98" s="1"/>
  <c r="D406" i="1"/>
  <c r="D378" i="98" s="1"/>
  <c r="K406" i="1"/>
  <c r="K378" i="98" s="1"/>
  <c r="M406" i="1"/>
  <c r="M378" i="98" s="1"/>
  <c r="N406" i="1"/>
  <c r="N378" i="98" s="1"/>
  <c r="O406" i="1"/>
  <c r="O378" i="98" s="1"/>
  <c r="P406" i="1"/>
  <c r="P378" i="98" s="1"/>
  <c r="E406" i="1" l="1"/>
  <c r="E378" i="98" s="1"/>
  <c r="E407" i="1"/>
  <c r="E379" i="98" s="1"/>
  <c r="A75" i="5"/>
  <c r="C75" i="5"/>
  <c r="E75" i="5" s="1"/>
  <c r="D75" i="5"/>
  <c r="A1178" i="1"/>
  <c r="A1131" i="98" s="1"/>
  <c r="C1178" i="1"/>
  <c r="C1131" i="98" s="1"/>
  <c r="D1178" i="1"/>
  <c r="D1131" i="98" s="1"/>
  <c r="K1178" i="1"/>
  <c r="K1131" i="98" s="1"/>
  <c r="M1178" i="1"/>
  <c r="M1131" i="98" s="1"/>
  <c r="N1178" i="1"/>
  <c r="N1131" i="98" s="1"/>
  <c r="O1178" i="1"/>
  <c r="O1131" i="98" s="1"/>
  <c r="P1178" i="1"/>
  <c r="P1131" i="98" s="1"/>
  <c r="A1177" i="1"/>
  <c r="A1130" i="98" s="1"/>
  <c r="C1177" i="1"/>
  <c r="C1130" i="98" s="1"/>
  <c r="D1177" i="1"/>
  <c r="D1130" i="98" s="1"/>
  <c r="K1177" i="1"/>
  <c r="K1130" i="98" s="1"/>
  <c r="M1177" i="1"/>
  <c r="M1130" i="98" s="1"/>
  <c r="N1177" i="1"/>
  <c r="N1130" i="98" s="1"/>
  <c r="O1177" i="1"/>
  <c r="O1130" i="98" s="1"/>
  <c r="P1177" i="1"/>
  <c r="P1130" i="98" s="1"/>
  <c r="A1176" i="1"/>
  <c r="A1129" i="98" s="1"/>
  <c r="C1176" i="1"/>
  <c r="C1129" i="98" s="1"/>
  <c r="D1176" i="1"/>
  <c r="D1129" i="98" s="1"/>
  <c r="K1176" i="1"/>
  <c r="K1129" i="98" s="1"/>
  <c r="M1176" i="1"/>
  <c r="M1129" i="98" s="1"/>
  <c r="N1176" i="1"/>
  <c r="N1129" i="98" s="1"/>
  <c r="O1176" i="1"/>
  <c r="O1129" i="98" s="1"/>
  <c r="P1176" i="1"/>
  <c r="P1129" i="98" s="1"/>
  <c r="A74" i="5"/>
  <c r="C74" i="5"/>
  <c r="E74" i="5" s="1"/>
  <c r="D74" i="5"/>
  <c r="A73" i="5"/>
  <c r="C73" i="5"/>
  <c r="E73" i="5" s="1"/>
  <c r="D73" i="5"/>
  <c r="E1176" i="1" l="1"/>
  <c r="E1129" i="98" s="1"/>
  <c r="E1177" i="1"/>
  <c r="E1130" i="98" s="1"/>
  <c r="E1178" i="1"/>
  <c r="E1131" i="98" s="1"/>
  <c r="D7" i="12"/>
  <c r="F7" i="12" s="1"/>
  <c r="D8" i="12"/>
  <c r="F8" i="12" s="1"/>
  <c r="D10" i="12"/>
  <c r="F10" i="12" s="1"/>
  <c r="D12" i="12"/>
  <c r="F12" i="12" s="1"/>
  <c r="D13" i="12"/>
  <c r="F13" i="12" s="1"/>
  <c r="D15" i="12"/>
  <c r="F15" i="12" s="1"/>
  <c r="D17" i="12"/>
  <c r="F17" i="12" s="1"/>
  <c r="D18" i="12"/>
  <c r="F18" i="12" s="1"/>
  <c r="D19" i="12"/>
  <c r="F19" i="12" s="1"/>
  <c r="D20" i="12"/>
  <c r="F20" i="12" s="1"/>
  <c r="D21" i="12"/>
  <c r="F21" i="12" s="1"/>
  <c r="D22" i="12"/>
  <c r="F22" i="12" s="1"/>
  <c r="D25" i="12"/>
  <c r="F25" i="12" s="1"/>
  <c r="D26" i="12"/>
  <c r="F26" i="12" s="1"/>
  <c r="D27" i="12"/>
  <c r="F27" i="12" s="1"/>
  <c r="D28" i="12"/>
  <c r="F28" i="12" s="1"/>
  <c r="D29" i="12"/>
  <c r="F29" i="12" s="1"/>
  <c r="F33" i="12"/>
  <c r="F34" i="12"/>
  <c r="F35" i="12"/>
  <c r="F36" i="12"/>
  <c r="D6" i="12"/>
  <c r="F6" i="12" s="1"/>
  <c r="A92" i="1" l="1"/>
  <c r="A80" i="98" s="1"/>
  <c r="C92" i="1"/>
  <c r="C80" i="98" s="1"/>
  <c r="D92" i="1"/>
  <c r="D80" i="98" s="1"/>
  <c r="K92" i="1"/>
  <c r="K80" i="98" s="1"/>
  <c r="M92" i="1"/>
  <c r="M80" i="98" s="1"/>
  <c r="N92" i="1"/>
  <c r="N80" i="98" s="1"/>
  <c r="O92" i="1"/>
  <c r="O80" i="98" s="1"/>
  <c r="P92" i="1"/>
  <c r="P80" i="98" s="1"/>
  <c r="H91" i="1"/>
  <c r="H79" i="98" s="1"/>
  <c r="A91" i="1"/>
  <c r="A79" i="98" s="1"/>
  <c r="C91" i="1"/>
  <c r="C79" i="98" s="1"/>
  <c r="D91" i="1"/>
  <c r="D79" i="98" s="1"/>
  <c r="K91" i="1"/>
  <c r="K79" i="98" s="1"/>
  <c r="M91" i="1"/>
  <c r="M79" i="98" s="1"/>
  <c r="N91" i="1"/>
  <c r="N79" i="98" s="1"/>
  <c r="O91" i="1"/>
  <c r="O79" i="98" s="1"/>
  <c r="P91" i="1"/>
  <c r="P79" i="98" s="1"/>
  <c r="A393" i="6"/>
  <c r="C393" i="6"/>
  <c r="E393" i="6" s="1"/>
  <c r="D393" i="6"/>
  <c r="K393" i="6"/>
  <c r="N393" i="6" s="1"/>
  <c r="O393" i="6" s="1"/>
  <c r="E91" i="1" l="1"/>
  <c r="E79" i="98" s="1"/>
  <c r="E92" i="1"/>
  <c r="E80" i="98" s="1"/>
  <c r="A38" i="9"/>
  <c r="C38" i="9"/>
  <c r="D38" i="9"/>
  <c r="E38" i="9"/>
  <c r="M38" i="9"/>
  <c r="P38" i="9"/>
  <c r="R38" i="9"/>
  <c r="S38" i="9"/>
  <c r="T38" i="9"/>
  <c r="U38" i="9"/>
  <c r="A37" i="9"/>
  <c r="C37" i="9"/>
  <c r="D37" i="9"/>
  <c r="E37" i="9"/>
  <c r="M37" i="9"/>
  <c r="P37" i="9"/>
  <c r="R37" i="9"/>
  <c r="S37" i="9"/>
  <c r="T37" i="9"/>
  <c r="U37" i="9"/>
  <c r="A36" i="9"/>
  <c r="C36" i="9"/>
  <c r="D36" i="9"/>
  <c r="E36" i="9"/>
  <c r="M36" i="9"/>
  <c r="P36" i="9"/>
  <c r="R36" i="9"/>
  <c r="S36" i="9"/>
  <c r="T36" i="9"/>
  <c r="U36" i="9"/>
  <c r="A35" i="9"/>
  <c r="C35" i="9"/>
  <c r="D35" i="9"/>
  <c r="E35" i="9"/>
  <c r="M35" i="9"/>
  <c r="P35" i="9"/>
  <c r="R35" i="9"/>
  <c r="S35" i="9"/>
  <c r="T35" i="9"/>
  <c r="U35" i="9"/>
  <c r="A34" i="9"/>
  <c r="C34" i="9"/>
  <c r="D34" i="9"/>
  <c r="E34" i="9"/>
  <c r="M34" i="9"/>
  <c r="P34" i="9"/>
  <c r="R34" i="9"/>
  <c r="S34" i="9"/>
  <c r="T34" i="9"/>
  <c r="U34" i="9"/>
  <c r="A33" i="9"/>
  <c r="C33" i="9"/>
  <c r="D33" i="9"/>
  <c r="E33" i="9"/>
  <c r="M33" i="9"/>
  <c r="P33" i="9"/>
  <c r="R33" i="9"/>
  <c r="S33" i="9"/>
  <c r="T33" i="9"/>
  <c r="U33" i="9"/>
  <c r="A32" i="9"/>
  <c r="C32" i="9"/>
  <c r="D32" i="9"/>
  <c r="E32" i="9"/>
  <c r="M32" i="9"/>
  <c r="P32" i="9"/>
  <c r="R32" i="9"/>
  <c r="S32" i="9"/>
  <c r="T32" i="9"/>
  <c r="U32" i="9"/>
  <c r="A31" i="9"/>
  <c r="C31" i="9"/>
  <c r="D31" i="9"/>
  <c r="E31" i="9"/>
  <c r="M31" i="9"/>
  <c r="P31" i="9"/>
  <c r="R31" i="9"/>
  <c r="S31" i="9"/>
  <c r="T31" i="9"/>
  <c r="U31" i="9"/>
  <c r="A29" i="9"/>
  <c r="C29" i="9"/>
  <c r="D29" i="9"/>
  <c r="E29" i="9"/>
  <c r="M29" i="9"/>
  <c r="P29" i="9"/>
  <c r="R29" i="9"/>
  <c r="S29" i="9"/>
  <c r="T29" i="9"/>
  <c r="U29" i="9"/>
  <c r="A28" i="9"/>
  <c r="C28" i="9"/>
  <c r="D28" i="9"/>
  <c r="E28" i="9"/>
  <c r="M28" i="9"/>
  <c r="P28" i="9"/>
  <c r="R28" i="9"/>
  <c r="S28" i="9"/>
  <c r="T28" i="9"/>
  <c r="U28" i="9"/>
  <c r="A30" i="9"/>
  <c r="C30" i="9"/>
  <c r="D30" i="9"/>
  <c r="E30" i="9"/>
  <c r="M30" i="9"/>
  <c r="P30" i="9"/>
  <c r="R30" i="9"/>
  <c r="S30" i="9"/>
  <c r="T30" i="9"/>
  <c r="U30" i="9"/>
  <c r="A125" i="1"/>
  <c r="A109" i="98" s="1"/>
  <c r="C125" i="1"/>
  <c r="C109" i="98" s="1"/>
  <c r="D125" i="1"/>
  <c r="D109" i="98" s="1"/>
  <c r="K125" i="1"/>
  <c r="K109" i="98" s="1"/>
  <c r="M125" i="1"/>
  <c r="M109" i="98" s="1"/>
  <c r="N125" i="1"/>
  <c r="N109" i="98" s="1"/>
  <c r="O125" i="1"/>
  <c r="O109" i="98" s="1"/>
  <c r="P125" i="1"/>
  <c r="P109" i="98" s="1"/>
  <c r="A124" i="1"/>
  <c r="A108" i="98" s="1"/>
  <c r="C124" i="1"/>
  <c r="C108" i="98" s="1"/>
  <c r="D124" i="1"/>
  <c r="D108" i="98" s="1"/>
  <c r="K124" i="1"/>
  <c r="K108" i="98" s="1"/>
  <c r="M124" i="1"/>
  <c r="M108" i="98" s="1"/>
  <c r="N124" i="1"/>
  <c r="N108" i="98" s="1"/>
  <c r="O124" i="1"/>
  <c r="O108" i="98" s="1"/>
  <c r="P124" i="1"/>
  <c r="P108" i="98" s="1"/>
  <c r="H123" i="1"/>
  <c r="H107" i="98" s="1"/>
  <c r="A123" i="1"/>
  <c r="A107" i="98" s="1"/>
  <c r="C123" i="1"/>
  <c r="C107" i="98" s="1"/>
  <c r="D123" i="1"/>
  <c r="D107" i="98" s="1"/>
  <c r="K123" i="1"/>
  <c r="K107" i="98" s="1"/>
  <c r="M123" i="1"/>
  <c r="M107" i="98" s="1"/>
  <c r="N123" i="1"/>
  <c r="N107" i="98" s="1"/>
  <c r="O123" i="1"/>
  <c r="O107" i="98" s="1"/>
  <c r="P123" i="1"/>
  <c r="P107" i="98" s="1"/>
  <c r="H122" i="1"/>
  <c r="H106" i="98" s="1"/>
  <c r="A122" i="1"/>
  <c r="A106" i="98" s="1"/>
  <c r="C122" i="1"/>
  <c r="C106" i="98" s="1"/>
  <c r="D122" i="1"/>
  <c r="D106" i="98" s="1"/>
  <c r="K122" i="1"/>
  <c r="K106" i="98" s="1"/>
  <c r="M122" i="1"/>
  <c r="M106" i="98" s="1"/>
  <c r="N122" i="1"/>
  <c r="N106" i="98" s="1"/>
  <c r="O122" i="1"/>
  <c r="O106" i="98" s="1"/>
  <c r="P122" i="1"/>
  <c r="P106" i="98" s="1"/>
  <c r="H116" i="1"/>
  <c r="H101" i="98" s="1"/>
  <c r="E122" i="1" l="1"/>
  <c r="E106" i="98" s="1"/>
  <c r="E125" i="1"/>
  <c r="E109" i="98" s="1"/>
  <c r="E124" i="1"/>
  <c r="E108" i="98" s="1"/>
  <c r="E123" i="1"/>
  <c r="E107" i="98" s="1"/>
  <c r="E135" i="8"/>
  <c r="E134" i="8"/>
  <c r="E133" i="8"/>
  <c r="E132" i="8"/>
  <c r="E131" i="8"/>
  <c r="E128" i="8"/>
  <c r="E127" i="8"/>
  <c r="E123" i="8"/>
  <c r="E120" i="8"/>
  <c r="E118" i="8"/>
  <c r="E116" i="8"/>
  <c r="E115" i="8"/>
  <c r="E114" i="8"/>
  <c r="E96" i="8"/>
  <c r="E95" i="8"/>
  <c r="E93" i="8"/>
  <c r="E76" i="8"/>
  <c r="E72" i="8"/>
  <c r="E70" i="8"/>
  <c r="E62" i="8"/>
  <c r="E61" i="8"/>
  <c r="E60" i="8"/>
  <c r="E58" i="8"/>
  <c r="E57" i="8"/>
  <c r="E55" i="8"/>
  <c r="E54" i="8"/>
  <c r="E53" i="8"/>
  <c r="E49" i="8"/>
  <c r="G49" i="8" s="1"/>
  <c r="E47" i="8"/>
  <c r="E46" i="8"/>
  <c r="E44" i="8"/>
  <c r="E42" i="8"/>
  <c r="A89" i="1"/>
  <c r="A77" i="98" s="1"/>
  <c r="C89" i="1"/>
  <c r="C77" i="98" s="1"/>
  <c r="D89" i="1"/>
  <c r="D77" i="98" s="1"/>
  <c r="K89" i="1"/>
  <c r="K77" i="98" s="1"/>
  <c r="M89" i="1"/>
  <c r="M77" i="98" s="1"/>
  <c r="N89" i="1"/>
  <c r="N77" i="98" s="1"/>
  <c r="O89" i="1"/>
  <c r="O77" i="98" s="1"/>
  <c r="P89" i="1"/>
  <c r="P77" i="98" s="1"/>
  <c r="G29" i="8"/>
  <c r="G23" i="8"/>
  <c r="G11" i="8"/>
  <c r="E136" i="8" l="1"/>
  <c r="E69" i="8"/>
  <c r="E97" i="8"/>
  <c r="E119" i="8"/>
  <c r="E89" i="1"/>
  <c r="E77" i="98" s="1"/>
  <c r="A504" i="1"/>
  <c r="A475" i="98" s="1"/>
  <c r="C504" i="1"/>
  <c r="C475" i="98" s="1"/>
  <c r="D504" i="1"/>
  <c r="D475" i="98" s="1"/>
  <c r="K504" i="1"/>
  <c r="K475" i="98" s="1"/>
  <c r="M504" i="1"/>
  <c r="M475" i="98" s="1"/>
  <c r="N504" i="1"/>
  <c r="N475" i="98" s="1"/>
  <c r="O504" i="1"/>
  <c r="O475" i="98" s="1"/>
  <c r="P504" i="1"/>
  <c r="P475" i="98" s="1"/>
  <c r="A503" i="1"/>
  <c r="A474" i="98" s="1"/>
  <c r="C503" i="1"/>
  <c r="C474" i="98" s="1"/>
  <c r="D503" i="1"/>
  <c r="D474" i="98" s="1"/>
  <c r="K503" i="1"/>
  <c r="K474" i="98" s="1"/>
  <c r="M503" i="1"/>
  <c r="M474" i="98" s="1"/>
  <c r="N503" i="1"/>
  <c r="N474" i="98" s="1"/>
  <c r="O503" i="1"/>
  <c r="O474" i="98" s="1"/>
  <c r="P503" i="1"/>
  <c r="P474" i="98" s="1"/>
  <c r="A499" i="1"/>
  <c r="A470" i="98" s="1"/>
  <c r="A500" i="1"/>
  <c r="A471" i="98" s="1"/>
  <c r="A501" i="1"/>
  <c r="A472" i="98" s="1"/>
  <c r="A502" i="1"/>
  <c r="A473" i="98" s="1"/>
  <c r="C499" i="1"/>
  <c r="C470" i="98" s="1"/>
  <c r="C500" i="1"/>
  <c r="C471" i="98" s="1"/>
  <c r="C501" i="1"/>
  <c r="C472" i="98" s="1"/>
  <c r="C502" i="1"/>
  <c r="C473" i="98" s="1"/>
  <c r="D499" i="1"/>
  <c r="D470" i="98" s="1"/>
  <c r="D500" i="1"/>
  <c r="D471" i="98" s="1"/>
  <c r="D501" i="1"/>
  <c r="D472" i="98" s="1"/>
  <c r="D502" i="1"/>
  <c r="D473" i="98" s="1"/>
  <c r="K499" i="1"/>
  <c r="K470" i="98" s="1"/>
  <c r="K500" i="1"/>
  <c r="K471" i="98" s="1"/>
  <c r="K501" i="1"/>
  <c r="K472" i="98" s="1"/>
  <c r="K502" i="1"/>
  <c r="K473" i="98" s="1"/>
  <c r="M499" i="1"/>
  <c r="M470" i="98" s="1"/>
  <c r="M500" i="1"/>
  <c r="M471" i="98" s="1"/>
  <c r="M501" i="1"/>
  <c r="M472" i="98" s="1"/>
  <c r="M502" i="1"/>
  <c r="M473" i="98" s="1"/>
  <c r="N499" i="1"/>
  <c r="N470" i="98" s="1"/>
  <c r="N500" i="1"/>
  <c r="N471" i="98" s="1"/>
  <c r="N501" i="1"/>
  <c r="N472" i="98" s="1"/>
  <c r="N502" i="1"/>
  <c r="N473" i="98" s="1"/>
  <c r="O499" i="1"/>
  <c r="O470" i="98" s="1"/>
  <c r="O500" i="1"/>
  <c r="O471" i="98" s="1"/>
  <c r="O501" i="1"/>
  <c r="O472" i="98" s="1"/>
  <c r="O502" i="1"/>
  <c r="O473" i="98" s="1"/>
  <c r="P499" i="1"/>
  <c r="P470" i="98" s="1"/>
  <c r="P500" i="1"/>
  <c r="P471" i="98" s="1"/>
  <c r="P501" i="1"/>
  <c r="P472" i="98" s="1"/>
  <c r="P502" i="1"/>
  <c r="P473" i="98" s="1"/>
  <c r="E499" i="1" l="1"/>
  <c r="E470" i="98" s="1"/>
  <c r="E503" i="1"/>
  <c r="E474" i="98" s="1"/>
  <c r="E504" i="1"/>
  <c r="E475" i="98" s="1"/>
  <c r="E502" i="1"/>
  <c r="E473" i="98" s="1"/>
  <c r="E500" i="1"/>
  <c r="E471" i="98" s="1"/>
  <c r="E501" i="1"/>
  <c r="E472" i="98" s="1"/>
  <c r="A1244" i="1"/>
  <c r="A1194" i="98" s="1"/>
  <c r="C1244" i="1"/>
  <c r="C1194" i="98" s="1"/>
  <c r="D1244" i="1"/>
  <c r="D1194" i="98" s="1"/>
  <c r="K1244" i="1"/>
  <c r="K1194" i="98" s="1"/>
  <c r="M1244" i="1"/>
  <c r="M1194" i="98" s="1"/>
  <c r="N1244" i="1"/>
  <c r="N1194" i="98" s="1"/>
  <c r="O1244" i="1"/>
  <c r="O1194" i="98" s="1"/>
  <c r="P1244" i="1"/>
  <c r="P1194" i="98" s="1"/>
  <c r="A71" i="1"/>
  <c r="C71" i="1"/>
  <c r="E71" i="1" s="1"/>
  <c r="D71" i="1"/>
  <c r="K71" i="1"/>
  <c r="M71" i="1"/>
  <c r="N71" i="1"/>
  <c r="O71" i="1"/>
  <c r="P71" i="1"/>
  <c r="A70" i="1"/>
  <c r="C70" i="1"/>
  <c r="E70" i="1" s="1"/>
  <c r="D70" i="1"/>
  <c r="K70" i="1"/>
  <c r="M70" i="1"/>
  <c r="N70" i="1"/>
  <c r="O70" i="1"/>
  <c r="P70" i="1"/>
  <c r="E1244" i="1" l="1"/>
  <c r="E1194" i="98" s="1"/>
  <c r="A358" i="1"/>
  <c r="A331" i="98" s="1"/>
  <c r="C358" i="1"/>
  <c r="C331" i="98" s="1"/>
  <c r="D358" i="1"/>
  <c r="D331" i="98" s="1"/>
  <c r="K358" i="1"/>
  <c r="K331" i="98" s="1"/>
  <c r="M358" i="1"/>
  <c r="M331" i="98" s="1"/>
  <c r="N358" i="1"/>
  <c r="N331" i="98" s="1"/>
  <c r="O358" i="1"/>
  <c r="O331" i="98" s="1"/>
  <c r="P358" i="1"/>
  <c r="P331" i="98" s="1"/>
  <c r="A342" i="1"/>
  <c r="A317" i="98" s="1"/>
  <c r="C342" i="1"/>
  <c r="C317" i="98" s="1"/>
  <c r="D342" i="1"/>
  <c r="D317" i="98" s="1"/>
  <c r="K342" i="1"/>
  <c r="K317" i="98" s="1"/>
  <c r="M342" i="1"/>
  <c r="M317" i="98" s="1"/>
  <c r="N342" i="1"/>
  <c r="N317" i="98" s="1"/>
  <c r="O342" i="1"/>
  <c r="O317" i="98" s="1"/>
  <c r="P342" i="1"/>
  <c r="P317" i="98" s="1"/>
  <c r="A1236" i="1"/>
  <c r="A1188" i="98" s="1"/>
  <c r="C1236" i="1"/>
  <c r="C1188" i="98" s="1"/>
  <c r="D1236" i="1"/>
  <c r="D1188" i="98" s="1"/>
  <c r="K1236" i="1"/>
  <c r="K1188" i="98" s="1"/>
  <c r="M1236" i="1"/>
  <c r="M1188" i="98" s="1"/>
  <c r="N1236" i="1"/>
  <c r="N1188" i="98" s="1"/>
  <c r="O1236" i="1"/>
  <c r="O1188" i="98" s="1"/>
  <c r="P1236" i="1"/>
  <c r="P1188" i="98" s="1"/>
  <c r="A1280" i="1"/>
  <c r="A1228" i="98" s="1"/>
  <c r="C1280" i="1"/>
  <c r="C1228" i="98" s="1"/>
  <c r="D1280" i="1"/>
  <c r="D1228" i="98" s="1"/>
  <c r="K1280" i="1"/>
  <c r="K1228" i="98" s="1"/>
  <c r="M1280" i="1"/>
  <c r="M1228" i="98" s="1"/>
  <c r="N1280" i="1"/>
  <c r="N1228" i="98" s="1"/>
  <c r="O1280" i="1"/>
  <c r="O1228" i="98" s="1"/>
  <c r="P1280" i="1"/>
  <c r="P1228" i="98" s="1"/>
  <c r="H1276" i="1"/>
  <c r="H1224" i="98" s="1"/>
  <c r="A1279" i="1"/>
  <c r="A1227" i="98" s="1"/>
  <c r="C1279" i="1"/>
  <c r="C1227" i="98" s="1"/>
  <c r="D1279" i="1"/>
  <c r="D1227" i="98" s="1"/>
  <c r="K1279" i="1"/>
  <c r="K1227" i="98" s="1"/>
  <c r="M1279" i="1"/>
  <c r="M1227" i="98" s="1"/>
  <c r="N1279" i="1"/>
  <c r="N1227" i="98" s="1"/>
  <c r="O1279" i="1"/>
  <c r="O1227" i="98" s="1"/>
  <c r="P1279" i="1"/>
  <c r="P1227" i="98" s="1"/>
  <c r="A469" i="1"/>
  <c r="A441" i="98" s="1"/>
  <c r="C469" i="1"/>
  <c r="C441" i="98" s="1"/>
  <c r="D469" i="1"/>
  <c r="D441" i="98" s="1"/>
  <c r="K469" i="1"/>
  <c r="K441" i="98" s="1"/>
  <c r="M469" i="1"/>
  <c r="M441" i="98" s="1"/>
  <c r="N469" i="1"/>
  <c r="N441" i="98" s="1"/>
  <c r="O469" i="1"/>
  <c r="O441" i="98" s="1"/>
  <c r="P469" i="1"/>
  <c r="P441" i="98" s="1"/>
  <c r="A468" i="1"/>
  <c r="A440" i="98" s="1"/>
  <c r="C468" i="1"/>
  <c r="C440" i="98" s="1"/>
  <c r="D468" i="1"/>
  <c r="D440" i="98" s="1"/>
  <c r="K468" i="1"/>
  <c r="K440" i="98" s="1"/>
  <c r="M468" i="1"/>
  <c r="M440" i="98" s="1"/>
  <c r="N468" i="1"/>
  <c r="N440" i="98" s="1"/>
  <c r="O468" i="1"/>
  <c r="O440" i="98" s="1"/>
  <c r="P468" i="1"/>
  <c r="P440" i="98" s="1"/>
  <c r="E469" i="1" l="1"/>
  <c r="E441" i="98" s="1"/>
  <c r="E1280" i="1"/>
  <c r="E1228" i="98" s="1"/>
  <c r="E342" i="1"/>
  <c r="E317" i="98" s="1"/>
  <c r="E358" i="1"/>
  <c r="E331" i="98" s="1"/>
  <c r="E468" i="1"/>
  <c r="E440" i="98" s="1"/>
  <c r="E1236" i="1"/>
  <c r="E1188" i="98" s="1"/>
  <c r="E1279" i="1"/>
  <c r="E1227" i="98" s="1"/>
  <c r="A475" i="1"/>
  <c r="A446" i="98" s="1"/>
  <c r="C475" i="1"/>
  <c r="C446" i="98" s="1"/>
  <c r="D475" i="1"/>
  <c r="D446" i="98" s="1"/>
  <c r="K475" i="1"/>
  <c r="K446" i="98" s="1"/>
  <c r="M475" i="1"/>
  <c r="M446" i="98" s="1"/>
  <c r="N475" i="1"/>
  <c r="N446" i="98" s="1"/>
  <c r="O475" i="1"/>
  <c r="O446" i="98" s="1"/>
  <c r="P475" i="1"/>
  <c r="P446" i="98" s="1"/>
  <c r="E475" i="1" l="1"/>
  <c r="E446" i="98" s="1"/>
  <c r="A352" i="1"/>
  <c r="A327" i="98" s="1"/>
  <c r="C352" i="1"/>
  <c r="C327" i="98" s="1"/>
  <c r="D352" i="1"/>
  <c r="D327" i="98" s="1"/>
  <c r="K352" i="1"/>
  <c r="K327" i="98" s="1"/>
  <c r="M352" i="1"/>
  <c r="M327" i="98" s="1"/>
  <c r="N352" i="1"/>
  <c r="N327" i="98" s="1"/>
  <c r="O352" i="1"/>
  <c r="O327" i="98" s="1"/>
  <c r="P352" i="1"/>
  <c r="P327" i="98" s="1"/>
  <c r="A351" i="1"/>
  <c r="A326" i="98" s="1"/>
  <c r="C351" i="1"/>
  <c r="C326" i="98" s="1"/>
  <c r="D351" i="1"/>
  <c r="D326" i="98" s="1"/>
  <c r="K351" i="1"/>
  <c r="K326" i="98" s="1"/>
  <c r="M351" i="1"/>
  <c r="M326" i="98" s="1"/>
  <c r="N351" i="1"/>
  <c r="N326" i="98" s="1"/>
  <c r="O351" i="1"/>
  <c r="O326" i="98" s="1"/>
  <c r="P351" i="1"/>
  <c r="P326" i="98" s="1"/>
  <c r="A88" i="1"/>
  <c r="A76" i="98" s="1"/>
  <c r="C88" i="1"/>
  <c r="C76" i="98" s="1"/>
  <c r="D88" i="1"/>
  <c r="D76" i="98" s="1"/>
  <c r="K88" i="1"/>
  <c r="K76" i="98" s="1"/>
  <c r="M88" i="1"/>
  <c r="M76" i="98" s="1"/>
  <c r="N88" i="1"/>
  <c r="N76" i="98" s="1"/>
  <c r="O88" i="1"/>
  <c r="O76" i="98" s="1"/>
  <c r="P88" i="1"/>
  <c r="P76" i="98" s="1"/>
  <c r="E352" i="1" l="1"/>
  <c r="E327" i="98" s="1"/>
  <c r="E351" i="1"/>
  <c r="E326" i="98" s="1"/>
  <c r="E88" i="1"/>
  <c r="E76" i="98" s="1"/>
  <c r="A576" i="1"/>
  <c r="A544" i="98" s="1"/>
  <c r="C576" i="1"/>
  <c r="C544" i="98" s="1"/>
  <c r="D576" i="1"/>
  <c r="D544" i="98" s="1"/>
  <c r="K576" i="1"/>
  <c r="K544" i="98" s="1"/>
  <c r="M576" i="1"/>
  <c r="M544" i="98" s="1"/>
  <c r="N576" i="1"/>
  <c r="N544" i="98" s="1"/>
  <c r="O576" i="1"/>
  <c r="O544" i="98" s="1"/>
  <c r="P576" i="1"/>
  <c r="P544" i="98" s="1"/>
  <c r="A575" i="1"/>
  <c r="A543" i="98" s="1"/>
  <c r="C575" i="1"/>
  <c r="C543" i="98" s="1"/>
  <c r="D575" i="1"/>
  <c r="D543" i="98" s="1"/>
  <c r="K575" i="1"/>
  <c r="K543" i="98" s="1"/>
  <c r="M575" i="1"/>
  <c r="M543" i="98" s="1"/>
  <c r="N575" i="1"/>
  <c r="N543" i="98" s="1"/>
  <c r="O575" i="1"/>
  <c r="O543" i="98" s="1"/>
  <c r="P575" i="1"/>
  <c r="P543" i="98" s="1"/>
  <c r="A574" i="1"/>
  <c r="A542" i="98" s="1"/>
  <c r="C574" i="1"/>
  <c r="C542" i="98" s="1"/>
  <c r="D574" i="1"/>
  <c r="D542" i="98" s="1"/>
  <c r="K574" i="1"/>
  <c r="K542" i="98" s="1"/>
  <c r="M574" i="1"/>
  <c r="M542" i="98" s="1"/>
  <c r="N574" i="1"/>
  <c r="N542" i="98" s="1"/>
  <c r="O574" i="1"/>
  <c r="O542" i="98" s="1"/>
  <c r="P574" i="1"/>
  <c r="P542" i="98" s="1"/>
  <c r="A573" i="1"/>
  <c r="A541" i="98" s="1"/>
  <c r="C573" i="1"/>
  <c r="C541" i="98" s="1"/>
  <c r="D573" i="1"/>
  <c r="D541" i="98" s="1"/>
  <c r="K573" i="1"/>
  <c r="K541" i="98" s="1"/>
  <c r="M573" i="1"/>
  <c r="M541" i="98" s="1"/>
  <c r="N573" i="1"/>
  <c r="N541" i="98" s="1"/>
  <c r="O573" i="1"/>
  <c r="O541" i="98" s="1"/>
  <c r="P573" i="1"/>
  <c r="P541" i="98" s="1"/>
  <c r="A572" i="1"/>
  <c r="A540" i="98" s="1"/>
  <c r="C572" i="1"/>
  <c r="C540" i="98" s="1"/>
  <c r="D572" i="1"/>
  <c r="D540" i="98" s="1"/>
  <c r="K572" i="1"/>
  <c r="K540" i="98" s="1"/>
  <c r="M572" i="1"/>
  <c r="M540" i="98" s="1"/>
  <c r="N572" i="1"/>
  <c r="N540" i="98" s="1"/>
  <c r="O572" i="1"/>
  <c r="O540" i="98" s="1"/>
  <c r="P572" i="1"/>
  <c r="P540" i="98" s="1"/>
  <c r="A571" i="1"/>
  <c r="A539" i="98" s="1"/>
  <c r="C571" i="1"/>
  <c r="C539" i="98" s="1"/>
  <c r="D571" i="1"/>
  <c r="D539" i="98" s="1"/>
  <c r="K571" i="1"/>
  <c r="K539" i="98" s="1"/>
  <c r="M571" i="1"/>
  <c r="M539" i="98" s="1"/>
  <c r="N571" i="1"/>
  <c r="N539" i="98" s="1"/>
  <c r="O571" i="1"/>
  <c r="O539" i="98" s="1"/>
  <c r="P571" i="1"/>
  <c r="P539" i="98" s="1"/>
  <c r="A570" i="1"/>
  <c r="A538" i="98" s="1"/>
  <c r="C570" i="1"/>
  <c r="C538" i="98" s="1"/>
  <c r="D570" i="1"/>
  <c r="D538" i="98" s="1"/>
  <c r="K570" i="1"/>
  <c r="K538" i="98" s="1"/>
  <c r="M570" i="1"/>
  <c r="M538" i="98" s="1"/>
  <c r="N570" i="1"/>
  <c r="N538" i="98" s="1"/>
  <c r="O570" i="1"/>
  <c r="O538" i="98" s="1"/>
  <c r="P570" i="1"/>
  <c r="P538" i="98" s="1"/>
  <c r="H569" i="1"/>
  <c r="H537" i="98" s="1"/>
  <c r="A569" i="1"/>
  <c r="A537" i="98" s="1"/>
  <c r="C569" i="1"/>
  <c r="C537" i="98" s="1"/>
  <c r="D569" i="1"/>
  <c r="D537" i="98" s="1"/>
  <c r="K569" i="1"/>
  <c r="K537" i="98" s="1"/>
  <c r="M569" i="1"/>
  <c r="M537" i="98" s="1"/>
  <c r="N569" i="1"/>
  <c r="N537" i="98" s="1"/>
  <c r="O569" i="1"/>
  <c r="O537" i="98" s="1"/>
  <c r="P569" i="1"/>
  <c r="P537" i="98" s="1"/>
  <c r="A392" i="6"/>
  <c r="C392" i="6"/>
  <c r="E392" i="6" s="1"/>
  <c r="D392" i="6"/>
  <c r="K392" i="6"/>
  <c r="N392" i="6" s="1"/>
  <c r="O392" i="6" s="1"/>
  <c r="A568" i="1"/>
  <c r="A536" i="98" s="1"/>
  <c r="C568" i="1"/>
  <c r="C536" i="98" s="1"/>
  <c r="D568" i="1"/>
  <c r="D536" i="98" s="1"/>
  <c r="K568" i="1"/>
  <c r="K536" i="98" s="1"/>
  <c r="M568" i="1"/>
  <c r="M536" i="98" s="1"/>
  <c r="N568" i="1"/>
  <c r="N536" i="98" s="1"/>
  <c r="O568" i="1"/>
  <c r="O536" i="98" s="1"/>
  <c r="P568" i="1"/>
  <c r="P536" i="98" s="1"/>
  <c r="A391" i="6"/>
  <c r="C391" i="6"/>
  <c r="E391" i="6" s="1"/>
  <c r="D391" i="6"/>
  <c r="K391" i="6"/>
  <c r="N391" i="6" s="1"/>
  <c r="O391" i="6" s="1"/>
  <c r="H567" i="1"/>
  <c r="H535" i="98" s="1"/>
  <c r="A567" i="1"/>
  <c r="A535" i="98" s="1"/>
  <c r="C567" i="1"/>
  <c r="C535" i="98" s="1"/>
  <c r="D567" i="1"/>
  <c r="D535" i="98" s="1"/>
  <c r="K567" i="1"/>
  <c r="K535" i="98" s="1"/>
  <c r="M567" i="1"/>
  <c r="M535" i="98" s="1"/>
  <c r="N567" i="1"/>
  <c r="N535" i="98" s="1"/>
  <c r="O567" i="1"/>
  <c r="O535" i="98" s="1"/>
  <c r="P567" i="1"/>
  <c r="P535" i="98" s="1"/>
  <c r="H565" i="1"/>
  <c r="H533" i="98" s="1"/>
  <c r="H566" i="1"/>
  <c r="H534" i="98" s="1"/>
  <c r="A566" i="1"/>
  <c r="A534" i="98" s="1"/>
  <c r="C566" i="1"/>
  <c r="C534" i="98" s="1"/>
  <c r="D566" i="1"/>
  <c r="D534" i="98" s="1"/>
  <c r="K566" i="1"/>
  <c r="K534" i="98" s="1"/>
  <c r="M566" i="1"/>
  <c r="M534" i="98" s="1"/>
  <c r="N566" i="1"/>
  <c r="N534" i="98" s="1"/>
  <c r="O566" i="1"/>
  <c r="O534" i="98" s="1"/>
  <c r="P566" i="1"/>
  <c r="P534" i="98" s="1"/>
  <c r="H564" i="1"/>
  <c r="H532" i="98" s="1"/>
  <c r="A565" i="1"/>
  <c r="A533" i="98" s="1"/>
  <c r="C565" i="1"/>
  <c r="C533" i="98" s="1"/>
  <c r="D565" i="1"/>
  <c r="D533" i="98" s="1"/>
  <c r="K565" i="1"/>
  <c r="K533" i="98" s="1"/>
  <c r="M565" i="1"/>
  <c r="M533" i="98" s="1"/>
  <c r="N565" i="1"/>
  <c r="N533" i="98" s="1"/>
  <c r="O565" i="1"/>
  <c r="O533" i="98" s="1"/>
  <c r="P565" i="1"/>
  <c r="P533" i="98" s="1"/>
  <c r="A564" i="1"/>
  <c r="A532" i="98" s="1"/>
  <c r="C564" i="1"/>
  <c r="C532" i="98" s="1"/>
  <c r="D564" i="1"/>
  <c r="D532" i="98" s="1"/>
  <c r="K564" i="1"/>
  <c r="K532" i="98" s="1"/>
  <c r="M564" i="1"/>
  <c r="M532" i="98" s="1"/>
  <c r="N564" i="1"/>
  <c r="N532" i="98" s="1"/>
  <c r="O564" i="1"/>
  <c r="O532" i="98" s="1"/>
  <c r="P564" i="1"/>
  <c r="P532" i="98" s="1"/>
  <c r="H1278" i="1"/>
  <c r="H1226" i="98" s="1"/>
  <c r="A1278" i="1"/>
  <c r="A1226" i="98" s="1"/>
  <c r="C1278" i="1"/>
  <c r="C1226" i="98" s="1"/>
  <c r="D1278" i="1"/>
  <c r="D1226" i="98" s="1"/>
  <c r="K1278" i="1"/>
  <c r="K1226" i="98" s="1"/>
  <c r="M1278" i="1"/>
  <c r="M1226" i="98" s="1"/>
  <c r="N1278" i="1"/>
  <c r="N1226" i="98" s="1"/>
  <c r="O1278" i="1"/>
  <c r="O1226" i="98" s="1"/>
  <c r="P1278" i="1"/>
  <c r="P1226" i="98" s="1"/>
  <c r="H1273" i="1"/>
  <c r="H1221" i="98" s="1"/>
  <c r="E571" i="1" l="1"/>
  <c r="E539" i="98" s="1"/>
  <c r="E572" i="1"/>
  <c r="E540" i="98" s="1"/>
  <c r="E573" i="1"/>
  <c r="E541" i="98" s="1"/>
  <c r="E574" i="1"/>
  <c r="E542" i="98" s="1"/>
  <c r="E575" i="1"/>
  <c r="E543" i="98" s="1"/>
  <c r="E576" i="1"/>
  <c r="E544" i="98" s="1"/>
  <c r="E565" i="1"/>
  <c r="E533" i="98" s="1"/>
  <c r="E566" i="1"/>
  <c r="E534" i="98" s="1"/>
  <c r="E570" i="1"/>
  <c r="E538" i="98" s="1"/>
  <c r="E569" i="1"/>
  <c r="E537" i="98" s="1"/>
  <c r="E568" i="1"/>
  <c r="E536" i="98" s="1"/>
  <c r="E567" i="1"/>
  <c r="E535" i="98" s="1"/>
  <c r="E1278" i="1"/>
  <c r="E1226" i="98" s="1"/>
  <c r="E564" i="1"/>
  <c r="E532" i="98" s="1"/>
  <c r="F93" i="8"/>
  <c r="F120" i="8" l="1"/>
  <c r="A1062" i="1" l="1"/>
  <c r="A1018" i="98" s="1"/>
  <c r="C1062" i="1"/>
  <c r="C1018" i="98" s="1"/>
  <c r="D1062" i="1"/>
  <c r="D1018" i="98" s="1"/>
  <c r="K1062" i="1"/>
  <c r="K1018" i="98" s="1"/>
  <c r="M1062" i="1"/>
  <c r="M1018" i="98" s="1"/>
  <c r="N1062" i="1"/>
  <c r="N1018" i="98" s="1"/>
  <c r="O1062" i="1"/>
  <c r="O1018" i="98" s="1"/>
  <c r="P1062" i="1"/>
  <c r="P1018" i="98" s="1"/>
  <c r="H87" i="1"/>
  <c r="H75" i="98" s="1"/>
  <c r="A87" i="1"/>
  <c r="A75" i="98" s="1"/>
  <c r="C87" i="1"/>
  <c r="C75" i="98" s="1"/>
  <c r="D87" i="1"/>
  <c r="D75" i="98" s="1"/>
  <c r="K87" i="1"/>
  <c r="K75" i="98" s="1"/>
  <c r="M87" i="1"/>
  <c r="M75" i="98" s="1"/>
  <c r="N87" i="1"/>
  <c r="N75" i="98" s="1"/>
  <c r="O87" i="1"/>
  <c r="O75" i="98" s="1"/>
  <c r="P87" i="1"/>
  <c r="P75" i="98" s="1"/>
  <c r="A86" i="1"/>
  <c r="A74" i="98" s="1"/>
  <c r="C86" i="1"/>
  <c r="C74" i="98" s="1"/>
  <c r="D86" i="1"/>
  <c r="D74" i="98" s="1"/>
  <c r="K86" i="1"/>
  <c r="K74" i="98" s="1"/>
  <c r="M86" i="1"/>
  <c r="M74" i="98" s="1"/>
  <c r="N86" i="1"/>
  <c r="N74" i="98" s="1"/>
  <c r="O86" i="1"/>
  <c r="O74" i="98" s="1"/>
  <c r="P86" i="1"/>
  <c r="P74" i="98" s="1"/>
  <c r="A85" i="1"/>
  <c r="A73" i="98" s="1"/>
  <c r="C85" i="1"/>
  <c r="C73" i="98" s="1"/>
  <c r="D85" i="1"/>
  <c r="D73" i="98" s="1"/>
  <c r="K85" i="1"/>
  <c r="K73" i="98" s="1"/>
  <c r="M85" i="1"/>
  <c r="M73" i="98" s="1"/>
  <c r="N85" i="1"/>
  <c r="N73" i="98" s="1"/>
  <c r="O85" i="1"/>
  <c r="O73" i="98" s="1"/>
  <c r="P85" i="1"/>
  <c r="P73" i="98" s="1"/>
  <c r="E85" i="1" l="1"/>
  <c r="E73" i="98" s="1"/>
  <c r="E87" i="1"/>
  <c r="E75" i="98" s="1"/>
  <c r="E86" i="1"/>
  <c r="E74" i="98" s="1"/>
  <c r="E1062" i="1"/>
  <c r="E1018" i="98" s="1"/>
  <c r="A82" i="1"/>
  <c r="C82" i="1"/>
  <c r="E82" i="1" s="1"/>
  <c r="D82" i="1"/>
  <c r="K82" i="1"/>
  <c r="M82" i="1"/>
  <c r="N82" i="1"/>
  <c r="O82" i="1"/>
  <c r="P82" i="1"/>
  <c r="A1271" i="1"/>
  <c r="A27" i="96" s="1"/>
  <c r="C1271" i="1"/>
  <c r="D1271" i="1"/>
  <c r="D27" i="96" s="1"/>
  <c r="K1271" i="1"/>
  <c r="K27" i="96" s="1"/>
  <c r="M1271" i="1"/>
  <c r="M27" i="96" s="1"/>
  <c r="N1271" i="1"/>
  <c r="N27" i="96" s="1"/>
  <c r="O1271" i="1"/>
  <c r="O27" i="96" s="1"/>
  <c r="P1271" i="1"/>
  <c r="P27" i="96" s="1"/>
  <c r="A1000" i="1"/>
  <c r="A24" i="96" s="1"/>
  <c r="C1000" i="1"/>
  <c r="D1000" i="1"/>
  <c r="D24" i="96" s="1"/>
  <c r="K1000" i="1"/>
  <c r="K24" i="96" s="1"/>
  <c r="M1000" i="1"/>
  <c r="M24" i="96" s="1"/>
  <c r="N1000" i="1"/>
  <c r="N24" i="96" s="1"/>
  <c r="O1000" i="1"/>
  <c r="O24" i="96" s="1"/>
  <c r="P1000" i="1"/>
  <c r="P24" i="96" s="1"/>
  <c r="A797" i="1"/>
  <c r="A21" i="96" s="1"/>
  <c r="C797" i="1"/>
  <c r="D797" i="1"/>
  <c r="D21" i="96" s="1"/>
  <c r="K797" i="1"/>
  <c r="K21" i="96" s="1"/>
  <c r="M797" i="1"/>
  <c r="M21" i="96" s="1"/>
  <c r="N797" i="1"/>
  <c r="N21" i="96" s="1"/>
  <c r="O797" i="1"/>
  <c r="O21" i="96" s="1"/>
  <c r="P797" i="1"/>
  <c r="P21" i="96" s="1"/>
  <c r="A900" i="1"/>
  <c r="A22" i="96" s="1"/>
  <c r="C900" i="1"/>
  <c r="D900" i="1"/>
  <c r="D22" i="96" s="1"/>
  <c r="K900" i="1"/>
  <c r="K22" i="96" s="1"/>
  <c r="M900" i="1"/>
  <c r="M22" i="96" s="1"/>
  <c r="N900" i="1"/>
  <c r="N22" i="96" s="1"/>
  <c r="O900" i="1"/>
  <c r="O22" i="96" s="1"/>
  <c r="P900" i="1"/>
  <c r="P22" i="96" s="1"/>
  <c r="A1048" i="1"/>
  <c r="A25" i="96" s="1"/>
  <c r="C1048" i="1"/>
  <c r="D1048" i="1"/>
  <c r="D25" i="96" s="1"/>
  <c r="K1048" i="1"/>
  <c r="K25" i="96" s="1"/>
  <c r="M1048" i="1"/>
  <c r="M25" i="96" s="1"/>
  <c r="N1048" i="1"/>
  <c r="N25" i="96" s="1"/>
  <c r="O1048" i="1"/>
  <c r="O25" i="96" s="1"/>
  <c r="P1048" i="1"/>
  <c r="P25" i="96" s="1"/>
  <c r="A640" i="1"/>
  <c r="A20" i="96" s="1"/>
  <c r="C640" i="1"/>
  <c r="D640" i="1"/>
  <c r="D20" i="96" s="1"/>
  <c r="K640" i="1"/>
  <c r="K20" i="96" s="1"/>
  <c r="M640" i="1"/>
  <c r="M20" i="96" s="1"/>
  <c r="N640" i="1"/>
  <c r="N20" i="96" s="1"/>
  <c r="O640" i="1"/>
  <c r="O20" i="96" s="1"/>
  <c r="P640" i="1"/>
  <c r="P20" i="96" s="1"/>
  <c r="A356" i="1"/>
  <c r="A13" i="96" s="1"/>
  <c r="C356" i="1"/>
  <c r="D356" i="1"/>
  <c r="D13" i="96" s="1"/>
  <c r="K356" i="1"/>
  <c r="K13" i="96" s="1"/>
  <c r="M356" i="1"/>
  <c r="M13" i="96" s="1"/>
  <c r="N356" i="1"/>
  <c r="N13" i="96" s="1"/>
  <c r="O356" i="1"/>
  <c r="O13" i="96" s="1"/>
  <c r="P356" i="1"/>
  <c r="P13" i="96" s="1"/>
  <c r="A355" i="1"/>
  <c r="A12" i="96" s="1"/>
  <c r="C355" i="1"/>
  <c r="D355" i="1"/>
  <c r="D12" i="96" s="1"/>
  <c r="K355" i="1"/>
  <c r="K12" i="96" s="1"/>
  <c r="M355" i="1"/>
  <c r="M12" i="96" s="1"/>
  <c r="N355" i="1"/>
  <c r="N12" i="96" s="1"/>
  <c r="O355" i="1"/>
  <c r="O12" i="96" s="1"/>
  <c r="P355" i="1"/>
  <c r="P12" i="96" s="1"/>
  <c r="A581" i="1"/>
  <c r="A19" i="96" s="1"/>
  <c r="C581" i="1"/>
  <c r="D581" i="1"/>
  <c r="D19" i="96" s="1"/>
  <c r="K581" i="1"/>
  <c r="K19" i="96" s="1"/>
  <c r="M581" i="1"/>
  <c r="M19" i="96" s="1"/>
  <c r="N581" i="1"/>
  <c r="N19" i="96" s="1"/>
  <c r="O581" i="1"/>
  <c r="O19" i="96" s="1"/>
  <c r="P581" i="1"/>
  <c r="P19" i="96" s="1"/>
  <c r="A524" i="1"/>
  <c r="A17" i="96" s="1"/>
  <c r="C524" i="1"/>
  <c r="D524" i="1"/>
  <c r="D17" i="96" s="1"/>
  <c r="K524" i="1"/>
  <c r="K17" i="96" s="1"/>
  <c r="M524" i="1"/>
  <c r="M17" i="96" s="1"/>
  <c r="N524" i="1"/>
  <c r="N17" i="96" s="1"/>
  <c r="O524" i="1"/>
  <c r="O17" i="96" s="1"/>
  <c r="P524" i="1"/>
  <c r="P17" i="96" s="1"/>
  <c r="G135" i="8"/>
  <c r="G134" i="8"/>
  <c r="G133" i="8"/>
  <c r="G132" i="8"/>
  <c r="G131" i="8"/>
  <c r="G130" i="8"/>
  <c r="G128" i="8"/>
  <c r="G127" i="8"/>
  <c r="G123" i="8"/>
  <c r="G122" i="8"/>
  <c r="G118" i="8"/>
  <c r="G116" i="8"/>
  <c r="G115" i="8"/>
  <c r="G114" i="8"/>
  <c r="G112" i="8"/>
  <c r="G106" i="8"/>
  <c r="G98" i="8"/>
  <c r="G96" i="8"/>
  <c r="G95" i="8"/>
  <c r="G85" i="8"/>
  <c r="G78" i="8"/>
  <c r="G77" i="8"/>
  <c r="G76" i="8"/>
  <c r="G72" i="8"/>
  <c r="G70" i="8"/>
  <c r="G62" i="8"/>
  <c r="G61" i="8"/>
  <c r="G58" i="8"/>
  <c r="G57" i="8"/>
  <c r="G55" i="8"/>
  <c r="A523" i="1"/>
  <c r="A16" i="96" s="1"/>
  <c r="C523" i="1"/>
  <c r="D523" i="1"/>
  <c r="D16" i="96" s="1"/>
  <c r="K523" i="1"/>
  <c r="K16" i="96" s="1"/>
  <c r="M523" i="1"/>
  <c r="M16" i="96" s="1"/>
  <c r="N523" i="1"/>
  <c r="N16" i="96" s="1"/>
  <c r="O523" i="1"/>
  <c r="O16" i="96" s="1"/>
  <c r="P523" i="1"/>
  <c r="P16" i="96" s="1"/>
  <c r="A474" i="1"/>
  <c r="A15" i="96" s="1"/>
  <c r="C474" i="1"/>
  <c r="D474" i="1"/>
  <c r="D15" i="96" s="1"/>
  <c r="K474" i="1"/>
  <c r="K15" i="96" s="1"/>
  <c r="M474" i="1"/>
  <c r="M15" i="96" s="1"/>
  <c r="N474" i="1"/>
  <c r="N15" i="96" s="1"/>
  <c r="O474" i="1"/>
  <c r="O15" i="96" s="1"/>
  <c r="P474" i="1"/>
  <c r="P15" i="96" s="1"/>
  <c r="A180" i="1"/>
  <c r="A11" i="96" s="1"/>
  <c r="C180" i="1"/>
  <c r="D180" i="1"/>
  <c r="D11" i="96" s="1"/>
  <c r="K180" i="1"/>
  <c r="K11" i="96" s="1"/>
  <c r="M180" i="1"/>
  <c r="M11" i="96" s="1"/>
  <c r="N180" i="1"/>
  <c r="N11" i="96" s="1"/>
  <c r="O180" i="1"/>
  <c r="O11" i="96" s="1"/>
  <c r="P180" i="1"/>
  <c r="P11" i="96" s="1"/>
  <c r="A131" i="1"/>
  <c r="A8" i="96" s="1"/>
  <c r="C131" i="1"/>
  <c r="D131" i="1"/>
  <c r="D8" i="96" s="1"/>
  <c r="K131" i="1"/>
  <c r="K8" i="96" s="1"/>
  <c r="M131" i="1"/>
  <c r="M8" i="96" s="1"/>
  <c r="N131" i="1"/>
  <c r="N8" i="96" s="1"/>
  <c r="O131" i="1"/>
  <c r="O8" i="96" s="1"/>
  <c r="P131" i="1"/>
  <c r="P8" i="96" s="1"/>
  <c r="G47" i="8"/>
  <c r="A84" i="1"/>
  <c r="A72" i="98" s="1"/>
  <c r="C84" i="1"/>
  <c r="C72" i="98" s="1"/>
  <c r="D84" i="1"/>
  <c r="D72" i="98" s="1"/>
  <c r="K84" i="1"/>
  <c r="K72" i="98" s="1"/>
  <c r="M84" i="1"/>
  <c r="M72" i="98" s="1"/>
  <c r="N84" i="1"/>
  <c r="N72" i="98" s="1"/>
  <c r="O84" i="1"/>
  <c r="O72" i="98" s="1"/>
  <c r="P84" i="1"/>
  <c r="P72" i="98" s="1"/>
  <c r="G54" i="8"/>
  <c r="G53" i="8"/>
  <c r="G46" i="8"/>
  <c r="G44" i="8"/>
  <c r="G43" i="8"/>
  <c r="G42" i="8"/>
  <c r="A130" i="1"/>
  <c r="A7" i="96" s="1"/>
  <c r="C130" i="1"/>
  <c r="D130" i="1"/>
  <c r="D7" i="96" s="1"/>
  <c r="K130" i="1"/>
  <c r="K7" i="96" s="1"/>
  <c r="M130" i="1"/>
  <c r="M7" i="96" s="1"/>
  <c r="N130" i="1"/>
  <c r="N7" i="96" s="1"/>
  <c r="O130" i="1"/>
  <c r="O7" i="96" s="1"/>
  <c r="P130" i="1"/>
  <c r="P7" i="96" s="1"/>
  <c r="M390" i="6"/>
  <c r="A390" i="6"/>
  <c r="C390" i="6"/>
  <c r="E390" i="6" s="1"/>
  <c r="D390" i="6"/>
  <c r="K390" i="6"/>
  <c r="N390" i="6" s="1"/>
  <c r="O390" i="6" s="1"/>
  <c r="A95" i="1"/>
  <c r="A6" i="96" s="1"/>
  <c r="C95" i="1"/>
  <c r="D95" i="1"/>
  <c r="D6" i="96" s="1"/>
  <c r="K95" i="1"/>
  <c r="K6" i="96" s="1"/>
  <c r="M95" i="1"/>
  <c r="M6" i="96" s="1"/>
  <c r="N95" i="1"/>
  <c r="N6" i="96" s="1"/>
  <c r="O95" i="1"/>
  <c r="O6" i="96" s="1"/>
  <c r="P95" i="1"/>
  <c r="P6" i="96" s="1"/>
  <c r="A69" i="1"/>
  <c r="A65" i="98" s="1"/>
  <c r="C69" i="1"/>
  <c r="C65" i="98" s="1"/>
  <c r="D69" i="1"/>
  <c r="D65" i="98" s="1"/>
  <c r="K69" i="1"/>
  <c r="K65" i="98" s="1"/>
  <c r="M69" i="1"/>
  <c r="M65" i="98" s="1"/>
  <c r="N69" i="1"/>
  <c r="N65" i="98" s="1"/>
  <c r="O69" i="1"/>
  <c r="O65" i="98" s="1"/>
  <c r="P69" i="1"/>
  <c r="P65" i="98" s="1"/>
  <c r="A68" i="1"/>
  <c r="A4" i="96" s="1"/>
  <c r="C68" i="1"/>
  <c r="D68" i="1"/>
  <c r="D4" i="96" s="1"/>
  <c r="K68" i="1"/>
  <c r="K4" i="96" s="1"/>
  <c r="M68" i="1"/>
  <c r="M4" i="96" s="1"/>
  <c r="N68" i="1"/>
  <c r="N4" i="96" s="1"/>
  <c r="O68" i="1"/>
  <c r="O4" i="96" s="1"/>
  <c r="P68" i="1"/>
  <c r="P4" i="96" s="1"/>
  <c r="A67" i="1"/>
  <c r="A3" i="96" s="1"/>
  <c r="C67" i="1"/>
  <c r="D67" i="1"/>
  <c r="D3" i="96" s="1"/>
  <c r="K67" i="1"/>
  <c r="K3" i="96" s="1"/>
  <c r="M67" i="1"/>
  <c r="M3" i="96" s="1"/>
  <c r="N67" i="1"/>
  <c r="N3" i="96" s="1"/>
  <c r="O67" i="1"/>
  <c r="O3" i="96" s="1"/>
  <c r="P67" i="1"/>
  <c r="P3" i="96" s="1"/>
  <c r="A66" i="1"/>
  <c r="A2" i="96" s="1"/>
  <c r="C66" i="1"/>
  <c r="D66" i="1"/>
  <c r="D2" i="96" s="1"/>
  <c r="K66" i="1"/>
  <c r="K2" i="96" s="1"/>
  <c r="M66" i="1"/>
  <c r="M2" i="96" s="1"/>
  <c r="N66" i="1"/>
  <c r="N2" i="96" s="1"/>
  <c r="O66" i="1"/>
  <c r="O2" i="96" s="1"/>
  <c r="P66" i="1"/>
  <c r="P2" i="96" s="1"/>
  <c r="E45" i="8"/>
  <c r="G45" i="8" s="1"/>
  <c r="E84" i="1" l="1"/>
  <c r="E72" i="98" s="1"/>
  <c r="E69" i="1"/>
  <c r="E65" i="98" s="1"/>
  <c r="E640" i="1"/>
  <c r="E20" i="96" s="1"/>
  <c r="C20" i="96"/>
  <c r="E130" i="1"/>
  <c r="E7" i="96" s="1"/>
  <c r="C7" i="96"/>
  <c r="E1048" i="1"/>
  <c r="E25" i="96" s="1"/>
  <c r="C25" i="96"/>
  <c r="E131" i="1"/>
  <c r="E8" i="96" s="1"/>
  <c r="C8" i="96"/>
  <c r="E524" i="1"/>
  <c r="E17" i="96" s="1"/>
  <c r="C17" i="96"/>
  <c r="E355" i="1"/>
  <c r="E12" i="96" s="1"/>
  <c r="C12" i="96"/>
  <c r="E66" i="1"/>
  <c r="E2" i="96" s="1"/>
  <c r="C2" i="96"/>
  <c r="E67" i="1"/>
  <c r="E3" i="96" s="1"/>
  <c r="C3" i="96"/>
  <c r="E68" i="1"/>
  <c r="E4" i="96" s="1"/>
  <c r="C4" i="96"/>
  <c r="E95" i="1"/>
  <c r="E6" i="96" s="1"/>
  <c r="C6" i="96"/>
  <c r="E581" i="1"/>
  <c r="E19" i="96" s="1"/>
  <c r="C19" i="96"/>
  <c r="E356" i="1"/>
  <c r="E13" i="96" s="1"/>
  <c r="C13" i="96"/>
  <c r="E180" i="1"/>
  <c r="E11" i="96" s="1"/>
  <c r="C11" i="96"/>
  <c r="E900" i="1"/>
  <c r="E22" i="96" s="1"/>
  <c r="C22" i="96"/>
  <c r="E797" i="1"/>
  <c r="E21" i="96" s="1"/>
  <c r="C21" i="96"/>
  <c r="E1000" i="1"/>
  <c r="E24" i="96" s="1"/>
  <c r="C24" i="96"/>
  <c r="E1271" i="1"/>
  <c r="E27" i="96" s="1"/>
  <c r="C27" i="96"/>
  <c r="E474" i="1"/>
  <c r="E15" i="96" s="1"/>
  <c r="C15" i="96"/>
  <c r="E523" i="1"/>
  <c r="E16" i="96" s="1"/>
  <c r="C16" i="96"/>
  <c r="E52" i="8"/>
  <c r="G51" i="8"/>
  <c r="G136" i="8"/>
  <c r="A9" i="9"/>
  <c r="C9" i="9"/>
  <c r="D9" i="9"/>
  <c r="E9" i="9"/>
  <c r="M9" i="9"/>
  <c r="P9" i="9"/>
  <c r="R9" i="9"/>
  <c r="S9" i="9"/>
  <c r="T9" i="9"/>
  <c r="U9" i="9"/>
  <c r="A1257" i="1" l="1"/>
  <c r="A1207" i="98" s="1"/>
  <c r="C1257" i="1"/>
  <c r="C1207" i="98" s="1"/>
  <c r="D1257" i="1"/>
  <c r="D1207" i="98" s="1"/>
  <c r="K1257" i="1"/>
  <c r="K1207" i="98" s="1"/>
  <c r="M1257" i="1"/>
  <c r="M1207" i="98" s="1"/>
  <c r="N1257" i="1"/>
  <c r="N1207" i="98" s="1"/>
  <c r="O1257" i="1"/>
  <c r="O1207" i="98" s="1"/>
  <c r="P1257" i="1"/>
  <c r="P1207" i="98" s="1"/>
  <c r="E1257" i="1" l="1"/>
  <c r="E1207" i="98" s="1"/>
  <c r="D71" i="8"/>
  <c r="E71" i="8"/>
  <c r="G71" i="8" s="1"/>
  <c r="E50" i="8"/>
  <c r="D50" i="8"/>
  <c r="D12" i="8"/>
  <c r="G50" i="8" l="1"/>
  <c r="F50" i="8"/>
  <c r="E8" i="8" l="1"/>
  <c r="E38" i="8"/>
  <c r="G6" i="8"/>
  <c r="A65" i="1"/>
  <c r="C65" i="1"/>
  <c r="E65" i="1" s="1"/>
  <c r="D65" i="1"/>
  <c r="K65" i="1"/>
  <c r="M65" i="1"/>
  <c r="N65" i="1"/>
  <c r="O65" i="1"/>
  <c r="P65" i="1"/>
  <c r="A81" i="1"/>
  <c r="C81" i="1"/>
  <c r="E81" i="1" s="1"/>
  <c r="D81" i="1"/>
  <c r="K81" i="1"/>
  <c r="M81" i="1"/>
  <c r="N81" i="1"/>
  <c r="O81" i="1"/>
  <c r="P81" i="1"/>
  <c r="A80" i="1"/>
  <c r="C80" i="1"/>
  <c r="E80" i="1" s="1"/>
  <c r="D80" i="1"/>
  <c r="K80" i="1"/>
  <c r="M80" i="1"/>
  <c r="N80" i="1"/>
  <c r="O80" i="1"/>
  <c r="P80" i="1"/>
  <c r="E34" i="8"/>
  <c r="F33" i="8"/>
  <c r="E32" i="8"/>
  <c r="E30" i="8"/>
  <c r="A72" i="5"/>
  <c r="C72" i="5"/>
  <c r="E72" i="5" s="1"/>
  <c r="D72" i="5"/>
  <c r="A105" i="1"/>
  <c r="A91" i="98" s="1"/>
  <c r="A106" i="1"/>
  <c r="A92" i="98" s="1"/>
  <c r="A107" i="1"/>
  <c r="A93" i="98" s="1"/>
  <c r="A108" i="1"/>
  <c r="A94" i="98" s="1"/>
  <c r="A109" i="1"/>
  <c r="A95" i="98" s="1"/>
  <c r="A110" i="1"/>
  <c r="A96" i="98" s="1"/>
  <c r="A111" i="1"/>
  <c r="A97" i="98" s="1"/>
  <c r="C105" i="1"/>
  <c r="C91" i="98" s="1"/>
  <c r="C106" i="1"/>
  <c r="C92" i="98" s="1"/>
  <c r="C107" i="1"/>
  <c r="C93" i="98" s="1"/>
  <c r="C108" i="1"/>
  <c r="C94" i="98" s="1"/>
  <c r="C109" i="1"/>
  <c r="C95" i="98" s="1"/>
  <c r="C110" i="1"/>
  <c r="C96" i="98" s="1"/>
  <c r="C111" i="1"/>
  <c r="C97" i="98" s="1"/>
  <c r="D105" i="1"/>
  <c r="D91" i="98" s="1"/>
  <c r="D106" i="1"/>
  <c r="D92" i="98" s="1"/>
  <c r="D107" i="1"/>
  <c r="D93" i="98" s="1"/>
  <c r="D108" i="1"/>
  <c r="D94" i="98" s="1"/>
  <c r="D109" i="1"/>
  <c r="D95" i="98" s="1"/>
  <c r="D110" i="1"/>
  <c r="D96" i="98" s="1"/>
  <c r="D111" i="1"/>
  <c r="D97" i="98" s="1"/>
  <c r="K105" i="1"/>
  <c r="K91" i="98" s="1"/>
  <c r="K106" i="1"/>
  <c r="K92" i="98" s="1"/>
  <c r="K107" i="1"/>
  <c r="K93" i="98" s="1"/>
  <c r="K108" i="1"/>
  <c r="K94" i="98" s="1"/>
  <c r="K109" i="1"/>
  <c r="K95" i="98" s="1"/>
  <c r="K110" i="1"/>
  <c r="K96" i="98" s="1"/>
  <c r="K111" i="1"/>
  <c r="K97" i="98" s="1"/>
  <c r="M105" i="1"/>
  <c r="M91" i="98" s="1"/>
  <c r="M106" i="1"/>
  <c r="M92" i="98" s="1"/>
  <c r="M107" i="1"/>
  <c r="M93" i="98" s="1"/>
  <c r="M108" i="1"/>
  <c r="M94" i="98" s="1"/>
  <c r="M109" i="1"/>
  <c r="M95" i="98" s="1"/>
  <c r="M110" i="1"/>
  <c r="M96" i="98" s="1"/>
  <c r="M111" i="1"/>
  <c r="M97" i="98" s="1"/>
  <c r="N105" i="1"/>
  <c r="N91" i="98" s="1"/>
  <c r="N106" i="1"/>
  <c r="N92" i="98" s="1"/>
  <c r="N107" i="1"/>
  <c r="N93" i="98" s="1"/>
  <c r="N108" i="1"/>
  <c r="N94" i="98" s="1"/>
  <c r="N109" i="1"/>
  <c r="N95" i="98" s="1"/>
  <c r="N110" i="1"/>
  <c r="N96" i="98" s="1"/>
  <c r="N111" i="1"/>
  <c r="N97" i="98" s="1"/>
  <c r="O105" i="1"/>
  <c r="O91" i="98" s="1"/>
  <c r="O106" i="1"/>
  <c r="O92" i="98" s="1"/>
  <c r="O107" i="1"/>
  <c r="O93" i="98" s="1"/>
  <c r="O108" i="1"/>
  <c r="O94" i="98" s="1"/>
  <c r="O109" i="1"/>
  <c r="O95" i="98" s="1"/>
  <c r="O110" i="1"/>
  <c r="O96" i="98" s="1"/>
  <c r="O111" i="1"/>
  <c r="O97" i="98" s="1"/>
  <c r="P105" i="1"/>
  <c r="P91" i="98" s="1"/>
  <c r="P106" i="1"/>
  <c r="P92" i="98" s="1"/>
  <c r="P107" i="1"/>
  <c r="P93" i="98" s="1"/>
  <c r="P108" i="1"/>
  <c r="P94" i="98" s="1"/>
  <c r="P109" i="1"/>
  <c r="P95" i="98" s="1"/>
  <c r="P110" i="1"/>
  <c r="P96" i="98" s="1"/>
  <c r="P111" i="1"/>
  <c r="P97" i="98" s="1"/>
  <c r="T2" i="9"/>
  <c r="T3" i="9"/>
  <c r="T4" i="9"/>
  <c r="T5" i="9"/>
  <c r="T6" i="9"/>
  <c r="T7" i="9"/>
  <c r="T8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E15" i="8"/>
  <c r="E14" i="8"/>
  <c r="G14" i="8" s="1"/>
  <c r="E13" i="8"/>
  <c r="G13" i="8" s="1"/>
  <c r="G10" i="8"/>
  <c r="G9" i="8"/>
  <c r="E25" i="8"/>
  <c r="E24" i="8"/>
  <c r="E21" i="8"/>
  <c r="E20" i="8"/>
  <c r="E19" i="8"/>
  <c r="G19" i="8" s="1"/>
  <c r="F135" i="8"/>
  <c r="F134" i="8"/>
  <c r="F133" i="8"/>
  <c r="F132" i="8"/>
  <c r="F131" i="8"/>
  <c r="F130" i="8"/>
  <c r="F128" i="8"/>
  <c r="F127" i="8"/>
  <c r="F123" i="8"/>
  <c r="F122" i="8"/>
  <c r="F118" i="8"/>
  <c r="F116" i="8"/>
  <c r="F115" i="8"/>
  <c r="F114" i="8"/>
  <c r="F112" i="8"/>
  <c r="F106" i="8"/>
  <c r="F98" i="8"/>
  <c r="F96" i="8"/>
  <c r="F95" i="8"/>
  <c r="F85" i="8"/>
  <c r="F78" i="8"/>
  <c r="F77" i="8"/>
  <c r="F76" i="8"/>
  <c r="F72" i="8"/>
  <c r="F71" i="8"/>
  <c r="F70" i="8"/>
  <c r="F62" i="8"/>
  <c r="F61" i="8"/>
  <c r="F60" i="8"/>
  <c r="F58" i="8"/>
  <c r="F57" i="8"/>
  <c r="F55" i="8"/>
  <c r="F54" i="8"/>
  <c r="F53" i="8"/>
  <c r="F51" i="8"/>
  <c r="F49" i="8"/>
  <c r="F47" i="8"/>
  <c r="F46" i="8"/>
  <c r="F45" i="8"/>
  <c r="F44" i="8"/>
  <c r="F43" i="8"/>
  <c r="F42" i="8"/>
  <c r="F41" i="8"/>
  <c r="F29" i="8"/>
  <c r="F23" i="8"/>
  <c r="F16" i="8"/>
  <c r="E59" i="8"/>
  <c r="E56" i="8"/>
  <c r="E48" i="8"/>
  <c r="M1237" i="1"/>
  <c r="O2" i="1"/>
  <c r="O2" i="98" s="1"/>
  <c r="O3" i="1"/>
  <c r="O3" i="98" s="1"/>
  <c r="O4" i="1"/>
  <c r="O4" i="98" s="1"/>
  <c r="O5" i="1"/>
  <c r="O5" i="98" s="1"/>
  <c r="O6" i="1"/>
  <c r="O6" i="98" s="1"/>
  <c r="O7" i="1"/>
  <c r="O7" i="98" s="1"/>
  <c r="O8" i="1"/>
  <c r="O8" i="98" s="1"/>
  <c r="O9" i="1"/>
  <c r="O9" i="98" s="1"/>
  <c r="O10" i="1"/>
  <c r="O10" i="98" s="1"/>
  <c r="O11" i="1"/>
  <c r="O11" i="98" s="1"/>
  <c r="O12" i="1"/>
  <c r="O12" i="98" s="1"/>
  <c r="O13" i="1"/>
  <c r="O13" i="98" s="1"/>
  <c r="O14" i="1"/>
  <c r="O14" i="98" s="1"/>
  <c r="O15" i="1"/>
  <c r="O15" i="98" s="1"/>
  <c r="O16" i="1"/>
  <c r="O16" i="98" s="1"/>
  <c r="O17" i="1"/>
  <c r="O17" i="98" s="1"/>
  <c r="O18" i="1"/>
  <c r="O18" i="98" s="1"/>
  <c r="O387" i="1"/>
  <c r="O14" i="96" s="1"/>
  <c r="O906" i="1"/>
  <c r="O23" i="96" s="1"/>
  <c r="O19" i="1"/>
  <c r="O19" i="98" s="1"/>
  <c r="O20" i="1"/>
  <c r="O20" i="98" s="1"/>
  <c r="O21" i="1"/>
  <c r="O21" i="98" s="1"/>
  <c r="O22" i="1"/>
  <c r="O22" i="98" s="1"/>
  <c r="O23" i="1"/>
  <c r="O23" i="98" s="1"/>
  <c r="O24" i="1"/>
  <c r="O24" i="98" s="1"/>
  <c r="O25" i="1"/>
  <c r="O25" i="98" s="1"/>
  <c r="O26" i="1"/>
  <c r="O26" i="98" s="1"/>
  <c r="O27" i="1"/>
  <c r="O27" i="98" s="1"/>
  <c r="O28" i="1"/>
  <c r="O28" i="98" s="1"/>
  <c r="O29" i="1"/>
  <c r="O29" i="98" s="1"/>
  <c r="O30" i="1"/>
  <c r="O30" i="98" s="1"/>
  <c r="O31" i="1"/>
  <c r="O31" i="98" s="1"/>
  <c r="O32" i="1"/>
  <c r="O32" i="98" s="1"/>
  <c r="O33" i="1"/>
  <c r="O33" i="98" s="1"/>
  <c r="O34" i="1"/>
  <c r="O34" i="98" s="1"/>
  <c r="O35" i="1"/>
  <c r="O35" i="98" s="1"/>
  <c r="O36" i="1"/>
  <c r="O36" i="98" s="1"/>
  <c r="O37" i="1"/>
  <c r="O37" i="98" s="1"/>
  <c r="O38" i="1"/>
  <c r="O38" i="98" s="1"/>
  <c r="O39" i="1"/>
  <c r="O39" i="98" s="1"/>
  <c r="O40" i="1"/>
  <c r="O40" i="98" s="1"/>
  <c r="O41" i="1"/>
  <c r="O41" i="98" s="1"/>
  <c r="O42" i="1"/>
  <c r="O42" i="98" s="1"/>
  <c r="O43" i="1"/>
  <c r="O43" i="98" s="1"/>
  <c r="O44" i="1"/>
  <c r="O44" i="98" s="1"/>
  <c r="O45" i="1"/>
  <c r="O45" i="98" s="1"/>
  <c r="O46" i="1"/>
  <c r="O46" i="98" s="1"/>
  <c r="O47" i="1"/>
  <c r="O47" i="98" s="1"/>
  <c r="O48" i="1"/>
  <c r="O48" i="98" s="1"/>
  <c r="O49" i="1"/>
  <c r="O49" i="98" s="1"/>
  <c r="O50" i="1"/>
  <c r="O50" i="98" s="1"/>
  <c r="O51" i="1"/>
  <c r="O51" i="98" s="1"/>
  <c r="O52" i="1"/>
  <c r="O52" i="98" s="1"/>
  <c r="O53" i="1"/>
  <c r="O53" i="98" s="1"/>
  <c r="O54" i="1"/>
  <c r="O54" i="98" s="1"/>
  <c r="O55" i="1"/>
  <c r="O55" i="98" s="1"/>
  <c r="O97" i="1"/>
  <c r="O83" i="98" s="1"/>
  <c r="O98" i="1"/>
  <c r="O84" i="98" s="1"/>
  <c r="O56" i="1"/>
  <c r="O56" i="98" s="1"/>
  <c r="O57" i="1"/>
  <c r="O57" i="98" s="1"/>
  <c r="O99" i="1"/>
  <c r="O85" i="98" s="1"/>
  <c r="O58" i="1"/>
  <c r="O58" i="98" s="1"/>
  <c r="O59" i="1"/>
  <c r="O59" i="98" s="1"/>
  <c r="O60" i="1"/>
  <c r="O60" i="98" s="1"/>
  <c r="O61" i="1"/>
  <c r="O61" i="98" s="1"/>
  <c r="O62" i="1"/>
  <c r="O62" i="98" s="1"/>
  <c r="O63" i="1"/>
  <c r="O63" i="98" s="1"/>
  <c r="O64" i="1"/>
  <c r="O64" i="98" s="1"/>
  <c r="O76" i="1"/>
  <c r="O70" i="98" s="1"/>
  <c r="O77" i="1"/>
  <c r="O5" i="96" s="1"/>
  <c r="O78" i="1"/>
  <c r="O79" i="1"/>
  <c r="O83" i="1"/>
  <c r="O71" i="98" s="1"/>
  <c r="O90" i="1"/>
  <c r="O78" i="98" s="1"/>
  <c r="O93" i="1"/>
  <c r="O81" i="98" s="1"/>
  <c r="O94" i="1"/>
  <c r="O100" i="1"/>
  <c r="O86" i="98" s="1"/>
  <c r="O101" i="1"/>
  <c r="O87" i="98" s="1"/>
  <c r="O102" i="1"/>
  <c r="O88" i="98" s="1"/>
  <c r="O103" i="1"/>
  <c r="O89" i="98" s="1"/>
  <c r="O104" i="1"/>
  <c r="O90" i="98" s="1"/>
  <c r="O112" i="1"/>
  <c r="O98" i="98" s="1"/>
  <c r="O113" i="1"/>
  <c r="O114" i="1"/>
  <c r="O99" i="98" s="1"/>
  <c r="O115" i="1"/>
  <c r="O100" i="98" s="1"/>
  <c r="O116" i="1"/>
  <c r="O101" i="98" s="1"/>
  <c r="O117" i="1"/>
  <c r="O102" i="98" s="1"/>
  <c r="O118" i="1"/>
  <c r="O119" i="1"/>
  <c r="O103" i="98" s="1"/>
  <c r="O120" i="1"/>
  <c r="O104" i="98" s="1"/>
  <c r="O121" i="1"/>
  <c r="O105" i="98" s="1"/>
  <c r="O126" i="1"/>
  <c r="O110" i="98" s="1"/>
  <c r="O127" i="1"/>
  <c r="O111" i="98" s="1"/>
  <c r="O128" i="1"/>
  <c r="O112" i="98" s="1"/>
  <c r="O129" i="1"/>
  <c r="O113" i="98" s="1"/>
  <c r="O132" i="1"/>
  <c r="O114" i="98" s="1"/>
  <c r="O133" i="1"/>
  <c r="O9" i="96" s="1"/>
  <c r="O134" i="1"/>
  <c r="O10" i="96" s="1"/>
  <c r="O135" i="1"/>
  <c r="O115" i="98" s="1"/>
  <c r="O136" i="1"/>
  <c r="O116" i="98" s="1"/>
  <c r="O137" i="1"/>
  <c r="O117" i="98" s="1"/>
  <c r="O138" i="1"/>
  <c r="O118" i="98" s="1"/>
  <c r="O139" i="1"/>
  <c r="O119" i="98" s="1"/>
  <c r="O140" i="1"/>
  <c r="O120" i="98" s="1"/>
  <c r="O141" i="1"/>
  <c r="O121" i="98" s="1"/>
  <c r="O142" i="1"/>
  <c r="O122" i="98" s="1"/>
  <c r="O143" i="1"/>
  <c r="O123" i="98" s="1"/>
  <c r="O144" i="1"/>
  <c r="O124" i="98" s="1"/>
  <c r="O145" i="1"/>
  <c r="O125" i="98" s="1"/>
  <c r="O146" i="1"/>
  <c r="O126" i="98" s="1"/>
  <c r="O147" i="1"/>
  <c r="O127" i="98" s="1"/>
  <c r="O148" i="1"/>
  <c r="O128" i="98" s="1"/>
  <c r="O149" i="1"/>
  <c r="O129" i="98" s="1"/>
  <c r="O150" i="1"/>
  <c r="O130" i="98" s="1"/>
  <c r="O151" i="1"/>
  <c r="O131" i="98" s="1"/>
  <c r="O152" i="1"/>
  <c r="O132" i="98" s="1"/>
  <c r="O153" i="1"/>
  <c r="O133" i="98" s="1"/>
  <c r="O154" i="1"/>
  <c r="O134" i="98" s="1"/>
  <c r="O155" i="1"/>
  <c r="O135" i="98" s="1"/>
  <c r="O156" i="1"/>
  <c r="O136" i="98" s="1"/>
  <c r="O157" i="1"/>
  <c r="O137" i="98" s="1"/>
  <c r="O158" i="1"/>
  <c r="O138" i="98" s="1"/>
  <c r="O159" i="1"/>
  <c r="O139" i="98" s="1"/>
  <c r="O160" i="1"/>
  <c r="O140" i="98" s="1"/>
  <c r="O161" i="1"/>
  <c r="O141" i="98" s="1"/>
  <c r="O162" i="1"/>
  <c r="O142" i="98" s="1"/>
  <c r="O163" i="1"/>
  <c r="O143" i="98" s="1"/>
  <c r="O164" i="1"/>
  <c r="O144" i="98" s="1"/>
  <c r="O165" i="1"/>
  <c r="O145" i="98" s="1"/>
  <c r="O166" i="1"/>
  <c r="O146" i="98" s="1"/>
  <c r="O167" i="1"/>
  <c r="O147" i="98" s="1"/>
  <c r="O178" i="1"/>
  <c r="O158" i="98" s="1"/>
  <c r="O179" i="1"/>
  <c r="O159" i="98" s="1"/>
  <c r="O168" i="1"/>
  <c r="O148" i="98" s="1"/>
  <c r="O169" i="1"/>
  <c r="O149" i="98" s="1"/>
  <c r="O170" i="1"/>
  <c r="O150" i="98" s="1"/>
  <c r="O171" i="1"/>
  <c r="O151" i="98" s="1"/>
  <c r="O172" i="1"/>
  <c r="O152" i="98" s="1"/>
  <c r="O173" i="1"/>
  <c r="O153" i="98" s="1"/>
  <c r="O174" i="1"/>
  <c r="O154" i="98" s="1"/>
  <c r="O175" i="1"/>
  <c r="O155" i="98" s="1"/>
  <c r="O176" i="1"/>
  <c r="O156" i="98" s="1"/>
  <c r="O177" i="1"/>
  <c r="O157" i="98" s="1"/>
  <c r="O181" i="1"/>
  <c r="O160" i="98" s="1"/>
  <c r="O182" i="1"/>
  <c r="O161" i="98" s="1"/>
  <c r="O183" i="1"/>
  <c r="O162" i="98" s="1"/>
  <c r="O184" i="1"/>
  <c r="O163" i="98" s="1"/>
  <c r="O185" i="1"/>
  <c r="O164" i="98" s="1"/>
  <c r="O186" i="1"/>
  <c r="O165" i="98" s="1"/>
  <c r="O187" i="1"/>
  <c r="O166" i="98" s="1"/>
  <c r="O188" i="1"/>
  <c r="O167" i="98" s="1"/>
  <c r="O189" i="1"/>
  <c r="O168" i="98" s="1"/>
  <c r="O190" i="1"/>
  <c r="O169" i="98" s="1"/>
  <c r="O191" i="1"/>
  <c r="O170" i="98" s="1"/>
  <c r="O192" i="1"/>
  <c r="O171" i="98" s="1"/>
  <c r="O193" i="1"/>
  <c r="O172" i="98" s="1"/>
  <c r="O194" i="1"/>
  <c r="O173" i="98" s="1"/>
  <c r="O195" i="1"/>
  <c r="O174" i="98" s="1"/>
  <c r="O196" i="1"/>
  <c r="O175" i="98" s="1"/>
  <c r="O197" i="1"/>
  <c r="O176" i="98" s="1"/>
  <c r="O198" i="1"/>
  <c r="O177" i="98" s="1"/>
  <c r="O199" i="1"/>
  <c r="O178" i="98" s="1"/>
  <c r="O200" i="1"/>
  <c r="O179" i="98" s="1"/>
  <c r="O203" i="1"/>
  <c r="O182" i="98" s="1"/>
  <c r="O201" i="1"/>
  <c r="O180" i="98" s="1"/>
  <c r="O202" i="1"/>
  <c r="O181" i="98" s="1"/>
  <c r="O204" i="1"/>
  <c r="O183" i="98" s="1"/>
  <c r="O205" i="1"/>
  <c r="O184" i="98" s="1"/>
  <c r="O206" i="1"/>
  <c r="O185" i="98" s="1"/>
  <c r="O207" i="1"/>
  <c r="O186" i="98" s="1"/>
  <c r="O208" i="1"/>
  <c r="O187" i="98" s="1"/>
  <c r="O209" i="1"/>
  <c r="O188" i="98" s="1"/>
  <c r="O210" i="1"/>
  <c r="O189" i="98" s="1"/>
  <c r="O211" i="1"/>
  <c r="O190" i="98" s="1"/>
  <c r="O212" i="1"/>
  <c r="O191" i="98" s="1"/>
  <c r="O213" i="1"/>
  <c r="O192" i="98" s="1"/>
  <c r="O214" i="1"/>
  <c r="O193" i="98" s="1"/>
  <c r="O215" i="1"/>
  <c r="O194" i="98" s="1"/>
  <c r="O216" i="1"/>
  <c r="O195" i="98" s="1"/>
  <c r="O217" i="1"/>
  <c r="O196" i="98" s="1"/>
  <c r="O218" i="1"/>
  <c r="O197" i="98" s="1"/>
  <c r="O219" i="1"/>
  <c r="O198" i="98" s="1"/>
  <c r="O220" i="1"/>
  <c r="O199" i="98" s="1"/>
  <c r="O221" i="1"/>
  <c r="O200" i="98" s="1"/>
  <c r="O222" i="1"/>
  <c r="O201" i="98" s="1"/>
  <c r="O223" i="1"/>
  <c r="O202" i="98" s="1"/>
  <c r="O224" i="1"/>
  <c r="O203" i="98" s="1"/>
  <c r="O226" i="1"/>
  <c r="O205" i="98" s="1"/>
  <c r="O227" i="1"/>
  <c r="O206" i="98" s="1"/>
  <c r="O228" i="1"/>
  <c r="O207" i="98" s="1"/>
  <c r="O229" i="1"/>
  <c r="O208" i="98" s="1"/>
  <c r="O230" i="1"/>
  <c r="O209" i="98" s="1"/>
  <c r="O231" i="1"/>
  <c r="O210" i="98" s="1"/>
  <c r="O232" i="1"/>
  <c r="O211" i="98" s="1"/>
  <c r="O233" i="1"/>
  <c r="O212" i="98" s="1"/>
  <c r="O234" i="1"/>
  <c r="O213" i="98" s="1"/>
  <c r="O235" i="1"/>
  <c r="O214" i="98" s="1"/>
  <c r="O236" i="1"/>
  <c r="O215" i="98" s="1"/>
  <c r="O237" i="1"/>
  <c r="O216" i="98" s="1"/>
  <c r="O238" i="1"/>
  <c r="O217" i="98" s="1"/>
  <c r="O239" i="1"/>
  <c r="O218" i="98" s="1"/>
  <c r="O240" i="1"/>
  <c r="O219" i="98" s="1"/>
  <c r="O241" i="1"/>
  <c r="O220" i="98" s="1"/>
  <c r="O242" i="1"/>
  <c r="O221" i="98" s="1"/>
  <c r="O243" i="1"/>
  <c r="O222" i="98" s="1"/>
  <c r="O244" i="1"/>
  <c r="O223" i="98" s="1"/>
  <c r="O245" i="1"/>
  <c r="O224" i="98" s="1"/>
  <c r="O246" i="1"/>
  <c r="O225" i="98" s="1"/>
  <c r="O247" i="1"/>
  <c r="O226" i="98" s="1"/>
  <c r="O248" i="1"/>
  <c r="O227" i="98" s="1"/>
  <c r="O249" i="1"/>
  <c r="O228" i="98" s="1"/>
  <c r="O250" i="1"/>
  <c r="O229" i="98" s="1"/>
  <c r="O251" i="1"/>
  <c r="O230" i="98" s="1"/>
  <c r="O252" i="1"/>
  <c r="O231" i="98" s="1"/>
  <c r="O253" i="1"/>
  <c r="O232" i="98" s="1"/>
  <c r="O255" i="1"/>
  <c r="O234" i="98" s="1"/>
  <c r="O256" i="1"/>
  <c r="O235" i="98" s="1"/>
  <c r="O257" i="1"/>
  <c r="O236" i="98" s="1"/>
  <c r="O258" i="1"/>
  <c r="O237" i="98" s="1"/>
  <c r="O259" i="1"/>
  <c r="O238" i="98" s="1"/>
  <c r="O260" i="1"/>
  <c r="O239" i="98" s="1"/>
  <c r="O261" i="1"/>
  <c r="O240" i="98" s="1"/>
  <c r="O262" i="1"/>
  <c r="O241" i="98" s="1"/>
  <c r="O263" i="1"/>
  <c r="O242" i="98" s="1"/>
  <c r="O264" i="1"/>
  <c r="O243" i="98" s="1"/>
  <c r="O265" i="1"/>
  <c r="O244" i="98" s="1"/>
  <c r="O266" i="1"/>
  <c r="O245" i="98" s="1"/>
  <c r="O267" i="1"/>
  <c r="O246" i="98" s="1"/>
  <c r="O268" i="1"/>
  <c r="O247" i="98" s="1"/>
  <c r="O269" i="1"/>
  <c r="O248" i="98" s="1"/>
  <c r="O270" i="1"/>
  <c r="O249" i="98" s="1"/>
  <c r="O271" i="1"/>
  <c r="O250" i="98" s="1"/>
  <c r="O272" i="1"/>
  <c r="O251" i="98" s="1"/>
  <c r="O273" i="1"/>
  <c r="O252" i="98" s="1"/>
  <c r="O274" i="1"/>
  <c r="O253" i="98" s="1"/>
  <c r="O275" i="1"/>
  <c r="O254" i="98" s="1"/>
  <c r="O276" i="1"/>
  <c r="O255" i="98" s="1"/>
  <c r="O277" i="1"/>
  <c r="O256" i="98" s="1"/>
  <c r="O278" i="1"/>
  <c r="O257" i="98" s="1"/>
  <c r="O279" i="1"/>
  <c r="O258" i="98" s="1"/>
  <c r="O280" i="1"/>
  <c r="O259" i="98" s="1"/>
  <c r="O281" i="1"/>
  <c r="O260" i="98" s="1"/>
  <c r="O282" i="1"/>
  <c r="O261" i="98" s="1"/>
  <c r="O283" i="1"/>
  <c r="O262" i="98" s="1"/>
  <c r="O284" i="1"/>
  <c r="O263" i="98" s="1"/>
  <c r="O285" i="1"/>
  <c r="O264" i="98" s="1"/>
  <c r="O286" i="1"/>
  <c r="O265" i="98" s="1"/>
  <c r="O287" i="1"/>
  <c r="O266" i="98" s="1"/>
  <c r="O288" i="1"/>
  <c r="O267" i="98" s="1"/>
  <c r="O289" i="1"/>
  <c r="O268" i="98" s="1"/>
  <c r="O290" i="1"/>
  <c r="O269" i="98" s="1"/>
  <c r="O291" i="1"/>
  <c r="O270" i="98" s="1"/>
  <c r="O292" i="1"/>
  <c r="O271" i="98" s="1"/>
  <c r="O295" i="1"/>
  <c r="O274" i="98" s="1"/>
  <c r="O296" i="1"/>
  <c r="O275" i="98" s="1"/>
  <c r="O297" i="1"/>
  <c r="O276" i="98" s="1"/>
  <c r="O298" i="1"/>
  <c r="O299" i="1"/>
  <c r="O277" i="98" s="1"/>
  <c r="O300" i="1"/>
  <c r="O278" i="98" s="1"/>
  <c r="O301" i="1"/>
  <c r="O279" i="98" s="1"/>
  <c r="O302" i="1"/>
  <c r="O280" i="98" s="1"/>
  <c r="O303" i="1"/>
  <c r="O281" i="98" s="1"/>
  <c r="O304" i="1"/>
  <c r="O305" i="1"/>
  <c r="O306" i="1"/>
  <c r="O307" i="1"/>
  <c r="O282" i="98" s="1"/>
  <c r="O308" i="1"/>
  <c r="O283" i="98" s="1"/>
  <c r="O309" i="1"/>
  <c r="O284" i="98" s="1"/>
  <c r="O310" i="1"/>
  <c r="O285" i="98" s="1"/>
  <c r="O325" i="1"/>
  <c r="O300" i="98" s="1"/>
  <c r="O311" i="1"/>
  <c r="O286" i="98" s="1"/>
  <c r="O312" i="1"/>
  <c r="O287" i="98" s="1"/>
  <c r="O313" i="1"/>
  <c r="O288" i="98" s="1"/>
  <c r="O314" i="1"/>
  <c r="O289" i="98" s="1"/>
  <c r="O315" i="1"/>
  <c r="O290" i="98" s="1"/>
  <c r="O316" i="1"/>
  <c r="O291" i="98" s="1"/>
  <c r="O317" i="1"/>
  <c r="O292" i="98" s="1"/>
  <c r="O318" i="1"/>
  <c r="O293" i="98" s="1"/>
  <c r="O319" i="1"/>
  <c r="O294" i="98" s="1"/>
  <c r="O320" i="1"/>
  <c r="O295" i="98" s="1"/>
  <c r="O321" i="1"/>
  <c r="O296" i="98" s="1"/>
  <c r="O322" i="1"/>
  <c r="O297" i="98" s="1"/>
  <c r="O323" i="1"/>
  <c r="O298" i="98" s="1"/>
  <c r="O324" i="1"/>
  <c r="O299" i="98" s="1"/>
  <c r="O326" i="1"/>
  <c r="O301" i="98" s="1"/>
  <c r="O327" i="1"/>
  <c r="O302" i="98" s="1"/>
  <c r="O328" i="1"/>
  <c r="O303" i="98" s="1"/>
  <c r="O329" i="1"/>
  <c r="O304" i="98" s="1"/>
  <c r="O330" i="1"/>
  <c r="O305" i="98" s="1"/>
  <c r="O331" i="1"/>
  <c r="O306" i="98" s="1"/>
  <c r="O332" i="1"/>
  <c r="O307" i="98" s="1"/>
  <c r="O333" i="1"/>
  <c r="O308" i="98" s="1"/>
  <c r="O334" i="1"/>
  <c r="O309" i="98" s="1"/>
  <c r="O335" i="1"/>
  <c r="O310" i="98" s="1"/>
  <c r="O336" i="1"/>
  <c r="O311" i="98" s="1"/>
  <c r="O337" i="1"/>
  <c r="O312" i="98" s="1"/>
  <c r="O338" i="1"/>
  <c r="O313" i="98" s="1"/>
  <c r="O339" i="1"/>
  <c r="O314" i="98" s="1"/>
  <c r="O340" i="1"/>
  <c r="O315" i="98" s="1"/>
  <c r="O341" i="1"/>
  <c r="O316" i="98" s="1"/>
  <c r="O343" i="1"/>
  <c r="O318" i="98" s="1"/>
  <c r="O344" i="1"/>
  <c r="O319" i="98" s="1"/>
  <c r="O345" i="1"/>
  <c r="O320" i="98" s="1"/>
  <c r="O346" i="1"/>
  <c r="O321" i="98" s="1"/>
  <c r="O347" i="1"/>
  <c r="O322" i="98" s="1"/>
  <c r="O348" i="1"/>
  <c r="O323" i="98" s="1"/>
  <c r="O353" i="1"/>
  <c r="O328" i="98" s="1"/>
  <c r="O354" i="1"/>
  <c r="O329" i="98" s="1"/>
  <c r="O357" i="1"/>
  <c r="O330" i="98" s="1"/>
  <c r="O359" i="1"/>
  <c r="O332" i="98" s="1"/>
  <c r="O360" i="1"/>
  <c r="O333" i="98" s="1"/>
  <c r="O361" i="1"/>
  <c r="O334" i="98" s="1"/>
  <c r="O362" i="1"/>
  <c r="O335" i="98" s="1"/>
  <c r="O363" i="1"/>
  <c r="O336" i="98" s="1"/>
  <c r="O364" i="1"/>
  <c r="O337" i="98" s="1"/>
  <c r="O365" i="1"/>
  <c r="O338" i="98" s="1"/>
  <c r="O366" i="1"/>
  <c r="O339" i="98" s="1"/>
  <c r="O367" i="1"/>
  <c r="O340" i="98" s="1"/>
  <c r="O368" i="1"/>
  <c r="O341" i="98" s="1"/>
  <c r="O369" i="1"/>
  <c r="O342" i="98" s="1"/>
  <c r="O370" i="1"/>
  <c r="O343" i="98" s="1"/>
  <c r="O371" i="1"/>
  <c r="O344" i="98" s="1"/>
  <c r="O372" i="1"/>
  <c r="O345" i="98" s="1"/>
  <c r="O373" i="1"/>
  <c r="O346" i="98" s="1"/>
  <c r="O374" i="1"/>
  <c r="O347" i="98" s="1"/>
  <c r="O375" i="1"/>
  <c r="O348" i="98" s="1"/>
  <c r="O376" i="1"/>
  <c r="O349" i="98" s="1"/>
  <c r="O377" i="1"/>
  <c r="O350" i="98" s="1"/>
  <c r="O383" i="1"/>
  <c r="O356" i="98" s="1"/>
  <c r="O384" i="1"/>
  <c r="O357" i="98" s="1"/>
  <c r="O378" i="1"/>
  <c r="O351" i="98" s="1"/>
  <c r="O379" i="1"/>
  <c r="O352" i="98" s="1"/>
  <c r="O380" i="1"/>
  <c r="O353" i="98" s="1"/>
  <c r="O381" i="1"/>
  <c r="O354" i="98" s="1"/>
  <c r="O382" i="1"/>
  <c r="O355" i="98" s="1"/>
  <c r="O388" i="1"/>
  <c r="O360" i="98" s="1"/>
  <c r="O389" i="1"/>
  <c r="O361" i="98" s="1"/>
  <c r="O390" i="1"/>
  <c r="O362" i="98" s="1"/>
  <c r="O394" i="1"/>
  <c r="O366" i="98" s="1"/>
  <c r="O391" i="1"/>
  <c r="O363" i="98" s="1"/>
  <c r="O392" i="1"/>
  <c r="O364" i="98" s="1"/>
  <c r="O393" i="1"/>
  <c r="O365" i="98" s="1"/>
  <c r="O396" i="1"/>
  <c r="O368" i="98" s="1"/>
  <c r="O397" i="1"/>
  <c r="O369" i="98" s="1"/>
  <c r="O404" i="1"/>
  <c r="O376" i="98" s="1"/>
  <c r="O405" i="1"/>
  <c r="O377" i="98" s="1"/>
  <c r="O398" i="1"/>
  <c r="O370" i="98" s="1"/>
  <c r="O399" i="1"/>
  <c r="O371" i="98" s="1"/>
  <c r="O400" i="1"/>
  <c r="O372" i="98" s="1"/>
  <c r="O401" i="1"/>
  <c r="O373" i="98" s="1"/>
  <c r="O402" i="1"/>
  <c r="O374" i="98" s="1"/>
  <c r="O403" i="1"/>
  <c r="O375" i="98" s="1"/>
  <c r="O408" i="1"/>
  <c r="O380" i="98" s="1"/>
  <c r="O409" i="1"/>
  <c r="O381" i="98" s="1"/>
  <c r="O410" i="1"/>
  <c r="O382" i="98" s="1"/>
  <c r="O411" i="1"/>
  <c r="O383" i="98" s="1"/>
  <c r="O412" i="1"/>
  <c r="O384" i="98" s="1"/>
  <c r="O413" i="1"/>
  <c r="O385" i="98" s="1"/>
  <c r="O417" i="1"/>
  <c r="O389" i="98" s="1"/>
  <c r="O418" i="1"/>
  <c r="O390" i="98" s="1"/>
  <c r="O419" i="1"/>
  <c r="O391" i="98" s="1"/>
  <c r="O420" i="1"/>
  <c r="O392" i="98" s="1"/>
  <c r="O421" i="1"/>
  <c r="O393" i="98" s="1"/>
  <c r="O422" i="1"/>
  <c r="O394" i="98" s="1"/>
  <c r="O426" i="1"/>
  <c r="O398" i="98" s="1"/>
  <c r="O427" i="1"/>
  <c r="O399" i="98" s="1"/>
  <c r="O423" i="1"/>
  <c r="O395" i="98" s="1"/>
  <c r="O424" i="1"/>
  <c r="O396" i="98" s="1"/>
  <c r="O425" i="1"/>
  <c r="O397" i="98" s="1"/>
  <c r="O428" i="1"/>
  <c r="O400" i="98" s="1"/>
  <c r="O429" i="1"/>
  <c r="O401" i="98" s="1"/>
  <c r="O430" i="1"/>
  <c r="O402" i="98" s="1"/>
  <c r="O431" i="1"/>
  <c r="O403" i="98" s="1"/>
  <c r="O441" i="1"/>
  <c r="O413" i="98" s="1"/>
  <c r="O442" i="1"/>
  <c r="O414" i="98" s="1"/>
  <c r="O432" i="1"/>
  <c r="O404" i="98" s="1"/>
  <c r="O433" i="1"/>
  <c r="O405" i="98" s="1"/>
  <c r="O434" i="1"/>
  <c r="O406" i="98" s="1"/>
  <c r="O435" i="1"/>
  <c r="O407" i="98" s="1"/>
  <c r="O436" i="1"/>
  <c r="O408" i="98" s="1"/>
  <c r="O437" i="1"/>
  <c r="O409" i="98" s="1"/>
  <c r="O438" i="1"/>
  <c r="O410" i="98" s="1"/>
  <c r="O439" i="1"/>
  <c r="O411" i="98" s="1"/>
  <c r="O440" i="1"/>
  <c r="O412" i="98" s="1"/>
  <c r="O443" i="1"/>
  <c r="O415" i="98" s="1"/>
  <c r="O450" i="1"/>
  <c r="O422" i="98" s="1"/>
  <c r="O451" i="1"/>
  <c r="O423" i="98" s="1"/>
  <c r="O444" i="1"/>
  <c r="O416" i="98" s="1"/>
  <c r="O445" i="1"/>
  <c r="O417" i="98" s="1"/>
  <c r="O446" i="1"/>
  <c r="O418" i="98" s="1"/>
  <c r="O447" i="1"/>
  <c r="O419" i="98" s="1"/>
  <c r="O448" i="1"/>
  <c r="O420" i="98" s="1"/>
  <c r="O449" i="1"/>
  <c r="O421" i="98" s="1"/>
  <c r="O453" i="1"/>
  <c r="O425" i="98" s="1"/>
  <c r="O458" i="1"/>
  <c r="O430" i="98" s="1"/>
  <c r="O454" i="1"/>
  <c r="O426" i="98" s="1"/>
  <c r="O455" i="1"/>
  <c r="O427" i="98" s="1"/>
  <c r="O456" i="1"/>
  <c r="O428" i="98" s="1"/>
  <c r="O457" i="1"/>
  <c r="O429" i="98" s="1"/>
  <c r="O460" i="1"/>
  <c r="O432" i="98" s="1"/>
  <c r="O461" i="1"/>
  <c r="O433" i="98" s="1"/>
  <c r="O462" i="1"/>
  <c r="O434" i="98" s="1"/>
  <c r="O463" i="1"/>
  <c r="O435" i="98" s="1"/>
  <c r="O464" i="1"/>
  <c r="O436" i="98" s="1"/>
  <c r="O465" i="1"/>
  <c r="O437" i="98" s="1"/>
  <c r="O466" i="1"/>
  <c r="O438" i="98" s="1"/>
  <c r="O467" i="1"/>
  <c r="O439" i="98" s="1"/>
  <c r="O470" i="1"/>
  <c r="O442" i="98" s="1"/>
  <c r="O471" i="1"/>
  <c r="O443" i="98" s="1"/>
  <c r="O472" i="1"/>
  <c r="O444" i="98" s="1"/>
  <c r="O473" i="1"/>
  <c r="O445" i="98" s="1"/>
  <c r="O480" i="1"/>
  <c r="O451" i="98" s="1"/>
  <c r="O481" i="1"/>
  <c r="O452" i="98" s="1"/>
  <c r="O482" i="1"/>
  <c r="O453" i="98" s="1"/>
  <c r="O483" i="1"/>
  <c r="O454" i="98" s="1"/>
  <c r="O484" i="1"/>
  <c r="O455" i="98" s="1"/>
  <c r="O485" i="1"/>
  <c r="O456" i="98" s="1"/>
  <c r="O486" i="1"/>
  <c r="O457" i="98" s="1"/>
  <c r="O487" i="1"/>
  <c r="O458" i="98" s="1"/>
  <c r="O488" i="1"/>
  <c r="O459" i="98" s="1"/>
  <c r="O489" i="1"/>
  <c r="O460" i="98" s="1"/>
  <c r="O490" i="1"/>
  <c r="O461" i="98" s="1"/>
  <c r="O491" i="1"/>
  <c r="O462" i="98" s="1"/>
  <c r="O492" i="1"/>
  <c r="O463" i="98" s="1"/>
  <c r="O493" i="1"/>
  <c r="O464" i="98" s="1"/>
  <c r="O494" i="1"/>
  <c r="O465" i="98" s="1"/>
  <c r="O498" i="1"/>
  <c r="O469" i="98" s="1"/>
  <c r="O495" i="1"/>
  <c r="O466" i="98" s="1"/>
  <c r="O496" i="1"/>
  <c r="O467" i="98" s="1"/>
  <c r="O497" i="1"/>
  <c r="O468" i="98" s="1"/>
  <c r="O505" i="1"/>
  <c r="O476" i="98" s="1"/>
  <c r="O506" i="1"/>
  <c r="O477" i="98" s="1"/>
  <c r="O507" i="1"/>
  <c r="O478" i="98" s="1"/>
  <c r="O508" i="1"/>
  <c r="O479" i="98" s="1"/>
  <c r="O509" i="1"/>
  <c r="O480" i="98" s="1"/>
  <c r="O510" i="1"/>
  <c r="O481" i="98" s="1"/>
  <c r="O511" i="1"/>
  <c r="O482" i="98" s="1"/>
  <c r="O512" i="1"/>
  <c r="O483" i="98" s="1"/>
  <c r="O513" i="1"/>
  <c r="O484" i="98" s="1"/>
  <c r="O514" i="1"/>
  <c r="O485" i="98" s="1"/>
  <c r="O515" i="1"/>
  <c r="O486" i="98" s="1"/>
  <c r="O516" i="1"/>
  <c r="O487" i="98" s="1"/>
  <c r="O517" i="1"/>
  <c r="O488" i="98" s="1"/>
  <c r="O518" i="1"/>
  <c r="O489" i="98" s="1"/>
  <c r="O519" i="1"/>
  <c r="O490" i="98" s="1"/>
  <c r="O520" i="1"/>
  <c r="O491" i="98" s="1"/>
  <c r="O521" i="1"/>
  <c r="O492" i="98" s="1"/>
  <c r="O522" i="1"/>
  <c r="O493" i="98" s="1"/>
  <c r="O527" i="1"/>
  <c r="O495" i="98" s="1"/>
  <c r="O528" i="1"/>
  <c r="O496" i="98" s="1"/>
  <c r="O529" i="1"/>
  <c r="O497" i="98" s="1"/>
  <c r="O530" i="1"/>
  <c r="O498" i="98" s="1"/>
  <c r="O533" i="1"/>
  <c r="O501" i="98" s="1"/>
  <c r="O531" i="1"/>
  <c r="O499" i="98" s="1"/>
  <c r="O532" i="1"/>
  <c r="O500" i="98" s="1"/>
  <c r="O534" i="1"/>
  <c r="O502" i="98" s="1"/>
  <c r="O535" i="1"/>
  <c r="O503" i="98" s="1"/>
  <c r="O536" i="1"/>
  <c r="O504" i="98" s="1"/>
  <c r="O537" i="1"/>
  <c r="O505" i="98" s="1"/>
  <c r="O538" i="1"/>
  <c r="O506" i="98" s="1"/>
  <c r="O563" i="1"/>
  <c r="O531" i="98" s="1"/>
  <c r="O539" i="1"/>
  <c r="O507" i="98" s="1"/>
  <c r="O540" i="1"/>
  <c r="O508" i="98" s="1"/>
  <c r="O541" i="1"/>
  <c r="O509" i="98" s="1"/>
  <c r="O542" i="1"/>
  <c r="O510" i="98" s="1"/>
  <c r="O543" i="1"/>
  <c r="O511" i="98" s="1"/>
  <c r="O544" i="1"/>
  <c r="O512" i="98" s="1"/>
  <c r="O545" i="1"/>
  <c r="O513" i="98" s="1"/>
  <c r="O546" i="1"/>
  <c r="O514" i="98" s="1"/>
  <c r="O547" i="1"/>
  <c r="O515" i="98" s="1"/>
  <c r="O548" i="1"/>
  <c r="O516" i="98" s="1"/>
  <c r="O549" i="1"/>
  <c r="O517" i="98" s="1"/>
  <c r="O550" i="1"/>
  <c r="O518" i="98" s="1"/>
  <c r="O551" i="1"/>
  <c r="O519" i="98" s="1"/>
  <c r="O552" i="1"/>
  <c r="O520" i="98" s="1"/>
  <c r="O553" i="1"/>
  <c r="O521" i="98" s="1"/>
  <c r="O554" i="1"/>
  <c r="O522" i="98" s="1"/>
  <c r="O555" i="1"/>
  <c r="O523" i="98" s="1"/>
  <c r="O556" i="1"/>
  <c r="O524" i="98" s="1"/>
  <c r="O557" i="1"/>
  <c r="O525" i="98" s="1"/>
  <c r="O558" i="1"/>
  <c r="O526" i="98" s="1"/>
  <c r="O559" i="1"/>
  <c r="O527" i="98" s="1"/>
  <c r="O560" i="1"/>
  <c r="O528" i="98" s="1"/>
  <c r="O561" i="1"/>
  <c r="O529" i="98" s="1"/>
  <c r="O562" i="1"/>
  <c r="O530" i="98" s="1"/>
  <c r="O577" i="1"/>
  <c r="O545" i="98" s="1"/>
  <c r="O578" i="1"/>
  <c r="O546" i="98" s="1"/>
  <c r="O579" i="1"/>
  <c r="O547" i="98" s="1"/>
  <c r="O580" i="1"/>
  <c r="O548" i="98" s="1"/>
  <c r="O582" i="1"/>
  <c r="O549" i="98" s="1"/>
  <c r="O583" i="1"/>
  <c r="O550" i="98" s="1"/>
  <c r="O584" i="1"/>
  <c r="O551" i="98" s="1"/>
  <c r="O585" i="1"/>
  <c r="O552" i="98" s="1"/>
  <c r="O586" i="1"/>
  <c r="O553" i="98" s="1"/>
  <c r="O587" i="1"/>
  <c r="O554" i="98" s="1"/>
  <c r="O588" i="1"/>
  <c r="O555" i="98" s="1"/>
  <c r="O589" i="1"/>
  <c r="O556" i="98" s="1"/>
  <c r="O612" i="1"/>
  <c r="O579" i="98" s="1"/>
  <c r="O613" i="1"/>
  <c r="O580" i="98" s="1"/>
  <c r="O614" i="1"/>
  <c r="O581" i="98" s="1"/>
  <c r="O590" i="1"/>
  <c r="O557" i="98" s="1"/>
  <c r="O591" i="1"/>
  <c r="O558" i="98" s="1"/>
  <c r="O592" i="1"/>
  <c r="O559" i="98" s="1"/>
  <c r="O593" i="1"/>
  <c r="O560" i="98" s="1"/>
  <c r="O594" i="1"/>
  <c r="O561" i="98" s="1"/>
  <c r="O595" i="1"/>
  <c r="O562" i="98" s="1"/>
  <c r="O596" i="1"/>
  <c r="O563" i="98" s="1"/>
  <c r="O597" i="1"/>
  <c r="O564" i="98" s="1"/>
  <c r="O598" i="1"/>
  <c r="O565" i="98" s="1"/>
  <c r="O599" i="1"/>
  <c r="O566" i="98" s="1"/>
  <c r="O600" i="1"/>
  <c r="O567" i="98" s="1"/>
  <c r="O601" i="1"/>
  <c r="O568" i="98" s="1"/>
  <c r="O602" i="1"/>
  <c r="O569" i="98" s="1"/>
  <c r="O603" i="1"/>
  <c r="O570" i="98" s="1"/>
  <c r="O604" i="1"/>
  <c r="O571" i="98" s="1"/>
  <c r="O605" i="1"/>
  <c r="O572" i="98" s="1"/>
  <c r="O606" i="1"/>
  <c r="O573" i="98" s="1"/>
  <c r="O607" i="1"/>
  <c r="O574" i="98" s="1"/>
  <c r="O608" i="1"/>
  <c r="O575" i="98" s="1"/>
  <c r="O609" i="1"/>
  <c r="O576" i="98" s="1"/>
  <c r="O610" i="1"/>
  <c r="O577" i="98" s="1"/>
  <c r="O611" i="1"/>
  <c r="O578" i="98" s="1"/>
  <c r="O617" i="1"/>
  <c r="O584" i="98" s="1"/>
  <c r="O618" i="1"/>
  <c r="O585" i="98" s="1"/>
  <c r="O619" i="1"/>
  <c r="O586" i="98" s="1"/>
  <c r="O638" i="1"/>
  <c r="O605" i="98" s="1"/>
  <c r="O620" i="1"/>
  <c r="O587" i="98" s="1"/>
  <c r="O621" i="1"/>
  <c r="O588" i="98" s="1"/>
  <c r="O622" i="1"/>
  <c r="O589" i="98" s="1"/>
  <c r="O639" i="1"/>
  <c r="O606" i="98" s="1"/>
  <c r="O623" i="1"/>
  <c r="O590" i="98" s="1"/>
  <c r="O624" i="1"/>
  <c r="O591" i="98" s="1"/>
  <c r="O625" i="1"/>
  <c r="O592" i="98" s="1"/>
  <c r="O626" i="1"/>
  <c r="O593" i="98" s="1"/>
  <c r="O627" i="1"/>
  <c r="O594" i="98" s="1"/>
  <c r="O628" i="1"/>
  <c r="O595" i="98" s="1"/>
  <c r="O629" i="1"/>
  <c r="O596" i="98" s="1"/>
  <c r="O630" i="1"/>
  <c r="O597" i="98" s="1"/>
  <c r="O631" i="1"/>
  <c r="O598" i="98" s="1"/>
  <c r="O632" i="1"/>
  <c r="O599" i="98" s="1"/>
  <c r="O633" i="1"/>
  <c r="O600" i="98" s="1"/>
  <c r="O634" i="1"/>
  <c r="O601" i="98" s="1"/>
  <c r="O635" i="1"/>
  <c r="O602" i="98" s="1"/>
  <c r="O636" i="1"/>
  <c r="O603" i="98" s="1"/>
  <c r="O637" i="1"/>
  <c r="O604" i="98" s="1"/>
  <c r="O643" i="1"/>
  <c r="O609" i="98" s="1"/>
  <c r="O644" i="1"/>
  <c r="O610" i="98" s="1"/>
  <c r="O645" i="1"/>
  <c r="O611" i="98" s="1"/>
  <c r="O646" i="1"/>
  <c r="O612" i="98" s="1"/>
  <c r="O647" i="1"/>
  <c r="O613" i="98" s="1"/>
  <c r="O648" i="1"/>
  <c r="O614" i="98" s="1"/>
  <c r="O649" i="1"/>
  <c r="O615" i="98" s="1"/>
  <c r="O650" i="1"/>
  <c r="O616" i="98" s="1"/>
  <c r="O651" i="1"/>
  <c r="O617" i="98" s="1"/>
  <c r="O652" i="1"/>
  <c r="O618" i="98" s="1"/>
  <c r="O653" i="1"/>
  <c r="O619" i="98" s="1"/>
  <c r="O676" i="1"/>
  <c r="O642" i="98" s="1"/>
  <c r="O654" i="1"/>
  <c r="O620" i="98" s="1"/>
  <c r="O655" i="1"/>
  <c r="O621" i="98" s="1"/>
  <c r="O656" i="1"/>
  <c r="O622" i="98" s="1"/>
  <c r="O657" i="1"/>
  <c r="O623" i="98" s="1"/>
  <c r="O658" i="1"/>
  <c r="O624" i="98" s="1"/>
  <c r="O659" i="1"/>
  <c r="O625" i="98" s="1"/>
  <c r="O660" i="1"/>
  <c r="O626" i="98" s="1"/>
  <c r="O661" i="1"/>
  <c r="O627" i="98" s="1"/>
  <c r="O662" i="1"/>
  <c r="O628" i="98" s="1"/>
  <c r="O663" i="1"/>
  <c r="O629" i="98" s="1"/>
  <c r="O664" i="1"/>
  <c r="O630" i="98" s="1"/>
  <c r="O665" i="1"/>
  <c r="O631" i="98" s="1"/>
  <c r="O666" i="1"/>
  <c r="O632" i="98" s="1"/>
  <c r="O667" i="1"/>
  <c r="O633" i="98" s="1"/>
  <c r="O668" i="1"/>
  <c r="O634" i="98" s="1"/>
  <c r="O669" i="1"/>
  <c r="O635" i="98" s="1"/>
  <c r="O670" i="1"/>
  <c r="O636" i="98" s="1"/>
  <c r="O671" i="1"/>
  <c r="O637" i="98" s="1"/>
  <c r="O672" i="1"/>
  <c r="O638" i="98" s="1"/>
  <c r="O673" i="1"/>
  <c r="O639" i="98" s="1"/>
  <c r="O674" i="1"/>
  <c r="O640" i="98" s="1"/>
  <c r="O675" i="1"/>
  <c r="O641" i="98" s="1"/>
  <c r="O677" i="1"/>
  <c r="O643" i="98" s="1"/>
  <c r="O678" i="1"/>
  <c r="O644" i="98" s="1"/>
  <c r="O679" i="1"/>
  <c r="O645" i="98" s="1"/>
  <c r="O680" i="1"/>
  <c r="O646" i="98" s="1"/>
  <c r="O681" i="1"/>
  <c r="O647" i="98" s="1"/>
  <c r="O682" i="1"/>
  <c r="O648" i="98" s="1"/>
  <c r="O683" i="1"/>
  <c r="O649" i="98" s="1"/>
  <c r="O705" i="1"/>
  <c r="O671" i="98" s="1"/>
  <c r="O684" i="1"/>
  <c r="O650" i="98" s="1"/>
  <c r="O685" i="1"/>
  <c r="O651" i="98" s="1"/>
  <c r="O686" i="1"/>
  <c r="O652" i="98" s="1"/>
  <c r="O687" i="1"/>
  <c r="O653" i="98" s="1"/>
  <c r="O688" i="1"/>
  <c r="O654" i="98" s="1"/>
  <c r="O689" i="1"/>
  <c r="O655" i="98" s="1"/>
  <c r="O690" i="1"/>
  <c r="O656" i="98" s="1"/>
  <c r="O691" i="1"/>
  <c r="O657" i="98" s="1"/>
  <c r="O692" i="1"/>
  <c r="O658" i="98" s="1"/>
  <c r="O693" i="1"/>
  <c r="O659" i="98" s="1"/>
  <c r="O694" i="1"/>
  <c r="O660" i="98" s="1"/>
  <c r="O695" i="1"/>
  <c r="O661" i="98" s="1"/>
  <c r="O696" i="1"/>
  <c r="O662" i="98" s="1"/>
  <c r="O697" i="1"/>
  <c r="O663" i="98" s="1"/>
  <c r="O698" i="1"/>
  <c r="O664" i="98" s="1"/>
  <c r="O699" i="1"/>
  <c r="O665" i="98" s="1"/>
  <c r="O700" i="1"/>
  <c r="O666" i="98" s="1"/>
  <c r="O701" i="1"/>
  <c r="O667" i="98" s="1"/>
  <c r="O702" i="1"/>
  <c r="O668" i="98" s="1"/>
  <c r="O703" i="1"/>
  <c r="O669" i="98" s="1"/>
  <c r="O704" i="1"/>
  <c r="O670" i="98" s="1"/>
  <c r="O706" i="1"/>
  <c r="O672" i="98" s="1"/>
  <c r="O707" i="1"/>
  <c r="O673" i="98" s="1"/>
  <c r="O708" i="1"/>
  <c r="O674" i="98" s="1"/>
  <c r="O709" i="1"/>
  <c r="O675" i="98" s="1"/>
  <c r="O710" i="1"/>
  <c r="O676" i="98" s="1"/>
  <c r="O711" i="1"/>
  <c r="O677" i="98" s="1"/>
  <c r="O712" i="1"/>
  <c r="O678" i="98" s="1"/>
  <c r="O713" i="1"/>
  <c r="O679" i="98" s="1"/>
  <c r="O714" i="1"/>
  <c r="O680" i="98" s="1"/>
  <c r="O715" i="1"/>
  <c r="O681" i="98" s="1"/>
  <c r="O716" i="1"/>
  <c r="O682" i="98" s="1"/>
  <c r="O717" i="1"/>
  <c r="O683" i="98" s="1"/>
  <c r="O718" i="1"/>
  <c r="O684" i="98" s="1"/>
  <c r="O719" i="1"/>
  <c r="O685" i="98" s="1"/>
  <c r="O720" i="1"/>
  <c r="O686" i="98" s="1"/>
  <c r="O721" i="1"/>
  <c r="O687" i="98" s="1"/>
  <c r="O722" i="1"/>
  <c r="O688" i="98" s="1"/>
  <c r="O723" i="1"/>
  <c r="O689" i="98" s="1"/>
  <c r="O724" i="1"/>
  <c r="O690" i="98" s="1"/>
  <c r="O725" i="1"/>
  <c r="O691" i="98" s="1"/>
  <c r="O726" i="1"/>
  <c r="O692" i="98" s="1"/>
  <c r="O727" i="1"/>
  <c r="O693" i="98" s="1"/>
  <c r="O728" i="1"/>
  <c r="O694" i="98" s="1"/>
  <c r="O729" i="1"/>
  <c r="O695" i="98" s="1"/>
  <c r="O744" i="1"/>
  <c r="O710" i="98" s="1"/>
  <c r="O745" i="1"/>
  <c r="O711" i="98" s="1"/>
  <c r="O746" i="1"/>
  <c r="O712" i="98" s="1"/>
  <c r="O747" i="1"/>
  <c r="O713" i="98" s="1"/>
  <c r="O730" i="1"/>
  <c r="O696" i="98" s="1"/>
  <c r="O731" i="1"/>
  <c r="O697" i="98" s="1"/>
  <c r="O732" i="1"/>
  <c r="O698" i="98" s="1"/>
  <c r="O733" i="1"/>
  <c r="O699" i="98" s="1"/>
  <c r="O734" i="1"/>
  <c r="O700" i="98" s="1"/>
  <c r="O735" i="1"/>
  <c r="O701" i="98" s="1"/>
  <c r="O736" i="1"/>
  <c r="O702" i="98" s="1"/>
  <c r="O737" i="1"/>
  <c r="O703" i="98" s="1"/>
  <c r="O738" i="1"/>
  <c r="O704" i="98" s="1"/>
  <c r="O739" i="1"/>
  <c r="O705" i="98" s="1"/>
  <c r="O740" i="1"/>
  <c r="O706" i="98" s="1"/>
  <c r="O741" i="1"/>
  <c r="O707" i="98" s="1"/>
  <c r="O742" i="1"/>
  <c r="O708" i="98" s="1"/>
  <c r="O743" i="1"/>
  <c r="O709" i="98" s="1"/>
  <c r="O748" i="1"/>
  <c r="O714" i="98" s="1"/>
  <c r="O751" i="1"/>
  <c r="O717" i="98" s="1"/>
  <c r="O752" i="1"/>
  <c r="O753" i="1"/>
  <c r="O718" i="98" s="1"/>
  <c r="O754" i="1"/>
  <c r="O719" i="98" s="1"/>
  <c r="O755" i="1"/>
  <c r="O720" i="98" s="1"/>
  <c r="O756" i="1"/>
  <c r="O721" i="98" s="1"/>
  <c r="O757" i="1"/>
  <c r="O722" i="98" s="1"/>
  <c r="O758" i="1"/>
  <c r="O723" i="98" s="1"/>
  <c r="O759" i="1"/>
  <c r="O724" i="98" s="1"/>
  <c r="O760" i="1"/>
  <c r="O725" i="98" s="1"/>
  <c r="O761" i="1"/>
  <c r="O726" i="98" s="1"/>
  <c r="O762" i="1"/>
  <c r="O727" i="98" s="1"/>
  <c r="O763" i="1"/>
  <c r="O728" i="98" s="1"/>
  <c r="O764" i="1"/>
  <c r="O729" i="98" s="1"/>
  <c r="O765" i="1"/>
  <c r="O730" i="98" s="1"/>
  <c r="O766" i="1"/>
  <c r="O731" i="98" s="1"/>
  <c r="O767" i="1"/>
  <c r="O732" i="98" s="1"/>
  <c r="O768" i="1"/>
  <c r="O733" i="98" s="1"/>
  <c r="O769" i="1"/>
  <c r="O734" i="98" s="1"/>
  <c r="O770" i="1"/>
  <c r="O735" i="98" s="1"/>
  <c r="O771" i="1"/>
  <c r="O736" i="98" s="1"/>
  <c r="O772" i="1"/>
  <c r="O737" i="98" s="1"/>
  <c r="O773" i="1"/>
  <c r="O738" i="98" s="1"/>
  <c r="O774" i="1"/>
  <c r="O739" i="98" s="1"/>
  <c r="O775" i="1"/>
  <c r="O740" i="98" s="1"/>
  <c r="O793" i="1"/>
  <c r="O758" i="98" s="1"/>
  <c r="O794" i="1"/>
  <c r="O759" i="98" s="1"/>
  <c r="O795" i="1"/>
  <c r="O760" i="98" s="1"/>
  <c r="O796" i="1"/>
  <c r="O761" i="98" s="1"/>
  <c r="O776" i="1"/>
  <c r="O741" i="98" s="1"/>
  <c r="O777" i="1"/>
  <c r="O742" i="98" s="1"/>
  <c r="O778" i="1"/>
  <c r="O743" i="98" s="1"/>
  <c r="O779" i="1"/>
  <c r="O744" i="98" s="1"/>
  <c r="O780" i="1"/>
  <c r="O745" i="98" s="1"/>
  <c r="O781" i="1"/>
  <c r="O746" i="98" s="1"/>
  <c r="O782" i="1"/>
  <c r="O747" i="98" s="1"/>
  <c r="O783" i="1"/>
  <c r="O748" i="98" s="1"/>
  <c r="O784" i="1"/>
  <c r="O749" i="98" s="1"/>
  <c r="O785" i="1"/>
  <c r="O750" i="98" s="1"/>
  <c r="O786" i="1"/>
  <c r="O751" i="98" s="1"/>
  <c r="O787" i="1"/>
  <c r="O752" i="98" s="1"/>
  <c r="O788" i="1"/>
  <c r="O753" i="98" s="1"/>
  <c r="O789" i="1"/>
  <c r="O754" i="98" s="1"/>
  <c r="O790" i="1"/>
  <c r="O755" i="98" s="1"/>
  <c r="O791" i="1"/>
  <c r="O756" i="98" s="1"/>
  <c r="O792" i="1"/>
  <c r="O757" i="98" s="1"/>
  <c r="O800" i="1"/>
  <c r="O764" i="98" s="1"/>
  <c r="O801" i="1"/>
  <c r="O765" i="98" s="1"/>
  <c r="O802" i="1"/>
  <c r="O766" i="98" s="1"/>
  <c r="O803" i="1"/>
  <c r="O767" i="98" s="1"/>
  <c r="O804" i="1"/>
  <c r="O768" i="98" s="1"/>
  <c r="O805" i="1"/>
  <c r="O769" i="98" s="1"/>
  <c r="O806" i="1"/>
  <c r="O770" i="98" s="1"/>
  <c r="O807" i="1"/>
  <c r="O771" i="98" s="1"/>
  <c r="O808" i="1"/>
  <c r="O772" i="98" s="1"/>
  <c r="O809" i="1"/>
  <c r="O773" i="98" s="1"/>
  <c r="O810" i="1"/>
  <c r="O774" i="98" s="1"/>
  <c r="O811" i="1"/>
  <c r="O775" i="98" s="1"/>
  <c r="O812" i="1"/>
  <c r="O776" i="98" s="1"/>
  <c r="O813" i="1"/>
  <c r="O777" i="98" s="1"/>
  <c r="O814" i="1"/>
  <c r="O778" i="98" s="1"/>
  <c r="O815" i="1"/>
  <c r="O779" i="98" s="1"/>
  <c r="O816" i="1"/>
  <c r="O780" i="98" s="1"/>
  <c r="O817" i="1"/>
  <c r="O781" i="98" s="1"/>
  <c r="O818" i="1"/>
  <c r="O782" i="98" s="1"/>
  <c r="O819" i="1"/>
  <c r="O783" i="98" s="1"/>
  <c r="O820" i="1"/>
  <c r="O784" i="98" s="1"/>
  <c r="O821" i="1"/>
  <c r="O785" i="98" s="1"/>
  <c r="O822" i="1"/>
  <c r="O786" i="98" s="1"/>
  <c r="O823" i="1"/>
  <c r="O787" i="98" s="1"/>
  <c r="O840" i="1"/>
  <c r="O804" i="98" s="1"/>
  <c r="O841" i="1"/>
  <c r="O805" i="98" s="1"/>
  <c r="O842" i="1"/>
  <c r="O806" i="98" s="1"/>
  <c r="O843" i="1"/>
  <c r="O807" i="98" s="1"/>
  <c r="O844" i="1"/>
  <c r="O808" i="98" s="1"/>
  <c r="O824" i="1"/>
  <c r="O788" i="98" s="1"/>
  <c r="O825" i="1"/>
  <c r="O789" i="98" s="1"/>
  <c r="O826" i="1"/>
  <c r="O790" i="98" s="1"/>
  <c r="O827" i="1"/>
  <c r="O791" i="98" s="1"/>
  <c r="O828" i="1"/>
  <c r="O792" i="98" s="1"/>
  <c r="O829" i="1"/>
  <c r="O793" i="98" s="1"/>
  <c r="O830" i="1"/>
  <c r="O794" i="98" s="1"/>
  <c r="O831" i="1"/>
  <c r="O795" i="98" s="1"/>
  <c r="O832" i="1"/>
  <c r="O796" i="98" s="1"/>
  <c r="O833" i="1"/>
  <c r="O797" i="98" s="1"/>
  <c r="O834" i="1"/>
  <c r="O798" i="98" s="1"/>
  <c r="O835" i="1"/>
  <c r="O799" i="98" s="1"/>
  <c r="O836" i="1"/>
  <c r="O800" i="98" s="1"/>
  <c r="O837" i="1"/>
  <c r="O801" i="98" s="1"/>
  <c r="O838" i="1"/>
  <c r="O802" i="98" s="1"/>
  <c r="O839" i="1"/>
  <c r="O803" i="98" s="1"/>
  <c r="O847" i="1"/>
  <c r="O811" i="98" s="1"/>
  <c r="O896" i="1"/>
  <c r="O860" i="98" s="1"/>
  <c r="O848" i="1"/>
  <c r="O812" i="98" s="1"/>
  <c r="O849" i="1"/>
  <c r="O813" i="98" s="1"/>
  <c r="O850" i="1"/>
  <c r="O814" i="98" s="1"/>
  <c r="O851" i="1"/>
  <c r="O815" i="98" s="1"/>
  <c r="O852" i="1"/>
  <c r="O816" i="98" s="1"/>
  <c r="O853" i="1"/>
  <c r="O817" i="98" s="1"/>
  <c r="O854" i="1"/>
  <c r="O818" i="98" s="1"/>
  <c r="O855" i="1"/>
  <c r="O819" i="98" s="1"/>
  <c r="O856" i="1"/>
  <c r="O820" i="98" s="1"/>
  <c r="O857" i="1"/>
  <c r="O821" i="98" s="1"/>
  <c r="O858" i="1"/>
  <c r="O822" i="98" s="1"/>
  <c r="O859" i="1"/>
  <c r="O823" i="98" s="1"/>
  <c r="O860" i="1"/>
  <c r="O824" i="98" s="1"/>
  <c r="O861" i="1"/>
  <c r="O825" i="98" s="1"/>
  <c r="O862" i="1"/>
  <c r="O826" i="98" s="1"/>
  <c r="O897" i="1"/>
  <c r="O861" i="98" s="1"/>
  <c r="O898" i="1"/>
  <c r="O862" i="98" s="1"/>
  <c r="O863" i="1"/>
  <c r="O827" i="98" s="1"/>
  <c r="O864" i="1"/>
  <c r="O828" i="98" s="1"/>
  <c r="O899" i="1"/>
  <c r="O863" i="98" s="1"/>
  <c r="O865" i="1"/>
  <c r="O829" i="98" s="1"/>
  <c r="O866" i="1"/>
  <c r="O830" i="98" s="1"/>
  <c r="O867" i="1"/>
  <c r="O831" i="98" s="1"/>
  <c r="O868" i="1"/>
  <c r="O832" i="98" s="1"/>
  <c r="O869" i="1"/>
  <c r="O833" i="98" s="1"/>
  <c r="O870" i="1"/>
  <c r="O834" i="98" s="1"/>
  <c r="O871" i="1"/>
  <c r="O835" i="98" s="1"/>
  <c r="O872" i="1"/>
  <c r="O836" i="98" s="1"/>
  <c r="O873" i="1"/>
  <c r="O837" i="98" s="1"/>
  <c r="O874" i="1"/>
  <c r="O838" i="98" s="1"/>
  <c r="O875" i="1"/>
  <c r="O839" i="98" s="1"/>
  <c r="O876" i="1"/>
  <c r="O840" i="98" s="1"/>
  <c r="O877" i="1"/>
  <c r="O841" i="98" s="1"/>
  <c r="O878" i="1"/>
  <c r="O842" i="98" s="1"/>
  <c r="O879" i="1"/>
  <c r="O843" i="98" s="1"/>
  <c r="O880" i="1"/>
  <c r="O844" i="98" s="1"/>
  <c r="O881" i="1"/>
  <c r="O845" i="98" s="1"/>
  <c r="O882" i="1"/>
  <c r="O846" i="98" s="1"/>
  <c r="O883" i="1"/>
  <c r="O847" i="98" s="1"/>
  <c r="O884" i="1"/>
  <c r="O848" i="98" s="1"/>
  <c r="O885" i="1"/>
  <c r="O849" i="98" s="1"/>
  <c r="O886" i="1"/>
  <c r="O850" i="98" s="1"/>
  <c r="O887" i="1"/>
  <c r="O851" i="98" s="1"/>
  <c r="O888" i="1"/>
  <c r="O852" i="98" s="1"/>
  <c r="O889" i="1"/>
  <c r="O853" i="98" s="1"/>
  <c r="O890" i="1"/>
  <c r="O854" i="98" s="1"/>
  <c r="O891" i="1"/>
  <c r="O855" i="98" s="1"/>
  <c r="O892" i="1"/>
  <c r="O856" i="98" s="1"/>
  <c r="O893" i="1"/>
  <c r="O857" i="98" s="1"/>
  <c r="O894" i="1"/>
  <c r="O858" i="98" s="1"/>
  <c r="O895" i="1"/>
  <c r="O859" i="98" s="1"/>
  <c r="O907" i="1"/>
  <c r="O869" i="98" s="1"/>
  <c r="O908" i="1"/>
  <c r="O870" i="98" s="1"/>
  <c r="O909" i="1"/>
  <c r="O871" i="98" s="1"/>
  <c r="O910" i="1"/>
  <c r="O872" i="98" s="1"/>
  <c r="O911" i="1"/>
  <c r="O873" i="98" s="1"/>
  <c r="O912" i="1"/>
  <c r="O874" i="98" s="1"/>
  <c r="O913" i="1"/>
  <c r="O875" i="98" s="1"/>
  <c r="O914" i="1"/>
  <c r="O876" i="98" s="1"/>
  <c r="O915" i="1"/>
  <c r="O877" i="98" s="1"/>
  <c r="O916" i="1"/>
  <c r="O878" i="98" s="1"/>
  <c r="O917" i="1"/>
  <c r="O879" i="98" s="1"/>
  <c r="O918" i="1"/>
  <c r="O880" i="98" s="1"/>
  <c r="O919" i="1"/>
  <c r="O881" i="98" s="1"/>
  <c r="O920" i="1"/>
  <c r="O882" i="98" s="1"/>
  <c r="O921" i="1"/>
  <c r="O883" i="98" s="1"/>
  <c r="O957" i="1"/>
  <c r="O919" i="98" s="1"/>
  <c r="O958" i="1"/>
  <c r="O920" i="98" s="1"/>
  <c r="O922" i="1"/>
  <c r="O884" i="98" s="1"/>
  <c r="O923" i="1"/>
  <c r="O885" i="98" s="1"/>
  <c r="O924" i="1"/>
  <c r="O886" i="98" s="1"/>
  <c r="O925" i="1"/>
  <c r="O887" i="98" s="1"/>
  <c r="O959" i="1"/>
  <c r="O921" i="98" s="1"/>
  <c r="O926" i="1"/>
  <c r="O888" i="98" s="1"/>
  <c r="O927" i="1"/>
  <c r="O889" i="98" s="1"/>
  <c r="O928" i="1"/>
  <c r="O890" i="98" s="1"/>
  <c r="O929" i="1"/>
  <c r="O891" i="98" s="1"/>
  <c r="O930" i="1"/>
  <c r="O892" i="98" s="1"/>
  <c r="O931" i="1"/>
  <c r="O893" i="98" s="1"/>
  <c r="O932" i="1"/>
  <c r="O894" i="98" s="1"/>
  <c r="O933" i="1"/>
  <c r="O895" i="98" s="1"/>
  <c r="O934" i="1"/>
  <c r="O896" i="98" s="1"/>
  <c r="O935" i="1"/>
  <c r="O897" i="98" s="1"/>
  <c r="O936" i="1"/>
  <c r="O898" i="98" s="1"/>
  <c r="O937" i="1"/>
  <c r="O899" i="98" s="1"/>
  <c r="O938" i="1"/>
  <c r="O900" i="98" s="1"/>
  <c r="O939" i="1"/>
  <c r="O901" i="98" s="1"/>
  <c r="O940" i="1"/>
  <c r="O902" i="98" s="1"/>
  <c r="O941" i="1"/>
  <c r="O903" i="98" s="1"/>
  <c r="O942" i="1"/>
  <c r="O904" i="98" s="1"/>
  <c r="O943" i="1"/>
  <c r="O905" i="98" s="1"/>
  <c r="O944" i="1"/>
  <c r="O906" i="98" s="1"/>
  <c r="O945" i="1"/>
  <c r="O907" i="98" s="1"/>
  <c r="O946" i="1"/>
  <c r="O908" i="98" s="1"/>
  <c r="O947" i="1"/>
  <c r="O909" i="98" s="1"/>
  <c r="O948" i="1"/>
  <c r="O910" i="98" s="1"/>
  <c r="O949" i="1"/>
  <c r="O911" i="98" s="1"/>
  <c r="O950" i="1"/>
  <c r="O912" i="98" s="1"/>
  <c r="O951" i="1"/>
  <c r="O913" i="98" s="1"/>
  <c r="O952" i="1"/>
  <c r="O914" i="98" s="1"/>
  <c r="O953" i="1"/>
  <c r="O915" i="98" s="1"/>
  <c r="O954" i="1"/>
  <c r="O916" i="98" s="1"/>
  <c r="O955" i="1"/>
  <c r="O917" i="98" s="1"/>
  <c r="O956" i="1"/>
  <c r="O918" i="98" s="1"/>
  <c r="O962" i="1"/>
  <c r="O924" i="98" s="1"/>
  <c r="O963" i="1"/>
  <c r="O925" i="98" s="1"/>
  <c r="O964" i="1"/>
  <c r="O926" i="98" s="1"/>
  <c r="O965" i="1"/>
  <c r="O927" i="98" s="1"/>
  <c r="O966" i="1"/>
  <c r="O928" i="98" s="1"/>
  <c r="O967" i="1"/>
  <c r="O929" i="98" s="1"/>
  <c r="O968" i="1"/>
  <c r="O930" i="98" s="1"/>
  <c r="O969" i="1"/>
  <c r="O931" i="98" s="1"/>
  <c r="O970" i="1"/>
  <c r="O932" i="98" s="1"/>
  <c r="O971" i="1"/>
  <c r="O933" i="98" s="1"/>
  <c r="O972" i="1"/>
  <c r="O934" i="98" s="1"/>
  <c r="O973" i="1"/>
  <c r="O935" i="98" s="1"/>
  <c r="O974" i="1"/>
  <c r="O936" i="98" s="1"/>
  <c r="O975" i="1"/>
  <c r="O937" i="98" s="1"/>
  <c r="O976" i="1"/>
  <c r="O938" i="98" s="1"/>
  <c r="O977" i="1"/>
  <c r="O939" i="98" s="1"/>
  <c r="O998" i="1"/>
  <c r="O960" i="98" s="1"/>
  <c r="O999" i="1"/>
  <c r="O961" i="98" s="1"/>
  <c r="O978" i="1"/>
  <c r="O940" i="98" s="1"/>
  <c r="O979" i="1"/>
  <c r="O941" i="98" s="1"/>
  <c r="O980" i="1"/>
  <c r="O942" i="98" s="1"/>
  <c r="O981" i="1"/>
  <c r="O943" i="98" s="1"/>
  <c r="O982" i="1"/>
  <c r="O944" i="98" s="1"/>
  <c r="O983" i="1"/>
  <c r="O945" i="98" s="1"/>
  <c r="O984" i="1"/>
  <c r="O946" i="98" s="1"/>
  <c r="O985" i="1"/>
  <c r="O947" i="98" s="1"/>
  <c r="O986" i="1"/>
  <c r="O948" i="98" s="1"/>
  <c r="O987" i="1"/>
  <c r="O949" i="98" s="1"/>
  <c r="O988" i="1"/>
  <c r="O950" i="98" s="1"/>
  <c r="O989" i="1"/>
  <c r="O951" i="98" s="1"/>
  <c r="O990" i="1"/>
  <c r="O952" i="98" s="1"/>
  <c r="O991" i="1"/>
  <c r="O953" i="98" s="1"/>
  <c r="O992" i="1"/>
  <c r="O954" i="98" s="1"/>
  <c r="O993" i="1"/>
  <c r="O955" i="98" s="1"/>
  <c r="O994" i="1"/>
  <c r="O956" i="98" s="1"/>
  <c r="O995" i="1"/>
  <c r="O957" i="98" s="1"/>
  <c r="O996" i="1"/>
  <c r="O958" i="98" s="1"/>
  <c r="O997" i="1"/>
  <c r="O959" i="98" s="1"/>
  <c r="O1011" i="1"/>
  <c r="O972" i="98" s="1"/>
  <c r="O1012" i="1"/>
  <c r="O1013" i="1"/>
  <c r="O1014" i="1"/>
  <c r="O973" i="98" s="1"/>
  <c r="O1015" i="1"/>
  <c r="O974" i="98" s="1"/>
  <c r="O1017" i="1"/>
  <c r="O976" i="98" s="1"/>
  <c r="O1018" i="1"/>
  <c r="O977" i="98" s="1"/>
  <c r="O1040" i="1"/>
  <c r="O999" i="98" s="1"/>
  <c r="O1019" i="1"/>
  <c r="O978" i="98" s="1"/>
  <c r="O1020" i="1"/>
  <c r="O979" i="98" s="1"/>
  <c r="O1021" i="1"/>
  <c r="O980" i="98" s="1"/>
  <c r="O1022" i="1"/>
  <c r="O981" i="98" s="1"/>
  <c r="O1023" i="1"/>
  <c r="O982" i="98" s="1"/>
  <c r="O1025" i="1"/>
  <c r="O984" i="98" s="1"/>
  <c r="O1026" i="1"/>
  <c r="O985" i="98" s="1"/>
  <c r="O1027" i="1"/>
  <c r="O986" i="98" s="1"/>
  <c r="O1028" i="1"/>
  <c r="O987" i="98" s="1"/>
  <c r="O1029" i="1"/>
  <c r="O988" i="98" s="1"/>
  <c r="O1030" i="1"/>
  <c r="O989" i="98" s="1"/>
  <c r="O1031" i="1"/>
  <c r="O990" i="98" s="1"/>
  <c r="O1032" i="1"/>
  <c r="O991" i="98" s="1"/>
  <c r="O1033" i="1"/>
  <c r="O992" i="98" s="1"/>
  <c r="O1034" i="1"/>
  <c r="O993" i="98" s="1"/>
  <c r="O1035" i="1"/>
  <c r="O994" i="98" s="1"/>
  <c r="O1036" i="1"/>
  <c r="O995" i="98" s="1"/>
  <c r="O1037" i="1"/>
  <c r="O996" i="98" s="1"/>
  <c r="O1038" i="1"/>
  <c r="O997" i="98" s="1"/>
  <c r="O1039" i="1"/>
  <c r="O998" i="98" s="1"/>
  <c r="O1042" i="1"/>
  <c r="O1001" i="98" s="1"/>
  <c r="O1043" i="1"/>
  <c r="O1044" i="1"/>
  <c r="O1002" i="98" s="1"/>
  <c r="O1045" i="1"/>
  <c r="O1003" i="98" s="1"/>
  <c r="O1046" i="1"/>
  <c r="O1004" i="98" s="1"/>
  <c r="O1047" i="1"/>
  <c r="O1053" i="1"/>
  <c r="O1009" i="98" s="1"/>
  <c r="O1054" i="1"/>
  <c r="O1010" i="98" s="1"/>
  <c r="O1055" i="1"/>
  <c r="O1011" i="98" s="1"/>
  <c r="O1056" i="1"/>
  <c r="O1012" i="98" s="1"/>
  <c r="O1057" i="1"/>
  <c r="O1013" i="98" s="1"/>
  <c r="O1058" i="1"/>
  <c r="O1014" i="98" s="1"/>
  <c r="O1059" i="1"/>
  <c r="O1015" i="98" s="1"/>
  <c r="O1060" i="1"/>
  <c r="O1016" i="98" s="1"/>
  <c r="O1061" i="1"/>
  <c r="O1017" i="98" s="1"/>
  <c r="O1063" i="1"/>
  <c r="O1019" i="98" s="1"/>
  <c r="O1064" i="1"/>
  <c r="O1020" i="98" s="1"/>
  <c r="O1065" i="1"/>
  <c r="O1021" i="98" s="1"/>
  <c r="O1066" i="1"/>
  <c r="O1022" i="98" s="1"/>
  <c r="O1067" i="1"/>
  <c r="O1023" i="98" s="1"/>
  <c r="O1068" i="1"/>
  <c r="O1024" i="98" s="1"/>
  <c r="O1069" i="1"/>
  <c r="O1025" i="98" s="1"/>
  <c r="O1070" i="1"/>
  <c r="O1026" i="98" s="1"/>
  <c r="O1071" i="1"/>
  <c r="O1027" i="98" s="1"/>
  <c r="O1072" i="1"/>
  <c r="O1028" i="98" s="1"/>
  <c r="O1073" i="1"/>
  <c r="O1029" i="98" s="1"/>
  <c r="O1074" i="1"/>
  <c r="O1030" i="98" s="1"/>
  <c r="O1075" i="1"/>
  <c r="O1031" i="98" s="1"/>
  <c r="O1076" i="1"/>
  <c r="O1032" i="98" s="1"/>
  <c r="O1077" i="1"/>
  <c r="O1033" i="98" s="1"/>
  <c r="O1078" i="1"/>
  <c r="O1034" i="98" s="1"/>
  <c r="O1079" i="1"/>
  <c r="O1035" i="98" s="1"/>
  <c r="O1080" i="1"/>
  <c r="O1036" i="98" s="1"/>
  <c r="O1081" i="1"/>
  <c r="O1037" i="98" s="1"/>
  <c r="O1082" i="1"/>
  <c r="O1038" i="98" s="1"/>
  <c r="O1083" i="1"/>
  <c r="O1039" i="98" s="1"/>
  <c r="O1084" i="1"/>
  <c r="O1040" i="98" s="1"/>
  <c r="O1085" i="1"/>
  <c r="O1041" i="98" s="1"/>
  <c r="O1086" i="1"/>
  <c r="O1042" i="98" s="1"/>
  <c r="O1087" i="1"/>
  <c r="O1043" i="98" s="1"/>
  <c r="O1088" i="1"/>
  <c r="O1044" i="98" s="1"/>
  <c r="O1089" i="1"/>
  <c r="O1045" i="98" s="1"/>
  <c r="O1090" i="1"/>
  <c r="O1046" i="98" s="1"/>
  <c r="O1091" i="1"/>
  <c r="O1047" i="98" s="1"/>
  <c r="O1092" i="1"/>
  <c r="O1048" i="98" s="1"/>
  <c r="O1093" i="1"/>
  <c r="O1049" i="98" s="1"/>
  <c r="O1094" i="1"/>
  <c r="O1050" i="98" s="1"/>
  <c r="O1095" i="1"/>
  <c r="O1051" i="98" s="1"/>
  <c r="O1096" i="1"/>
  <c r="O1052" i="98" s="1"/>
  <c r="O1097" i="1"/>
  <c r="O1053" i="98" s="1"/>
  <c r="O1098" i="1"/>
  <c r="O1054" i="98" s="1"/>
  <c r="O1099" i="1"/>
  <c r="O1055" i="98" s="1"/>
  <c r="O1116" i="1"/>
  <c r="O1071" i="98" s="1"/>
  <c r="O1100" i="1"/>
  <c r="O1056" i="98" s="1"/>
  <c r="O1101" i="1"/>
  <c r="O1102" i="1"/>
  <c r="O1057" i="98" s="1"/>
  <c r="O1103" i="1"/>
  <c r="O1058" i="98" s="1"/>
  <c r="O1104" i="1"/>
  <c r="O1059" i="98" s="1"/>
  <c r="O1105" i="1"/>
  <c r="O1060" i="98" s="1"/>
  <c r="O1106" i="1"/>
  <c r="O1061" i="98" s="1"/>
  <c r="O1107" i="1"/>
  <c r="O1062" i="98" s="1"/>
  <c r="O1108" i="1"/>
  <c r="O1063" i="98" s="1"/>
  <c r="O1109" i="1"/>
  <c r="O1064" i="98" s="1"/>
  <c r="O1110" i="1"/>
  <c r="O1065" i="98" s="1"/>
  <c r="O1111" i="1"/>
  <c r="O1066" i="98" s="1"/>
  <c r="O1112" i="1"/>
  <c r="O1067" i="98" s="1"/>
  <c r="O1113" i="1"/>
  <c r="O1068" i="98" s="1"/>
  <c r="O1114" i="1"/>
  <c r="O1069" i="98" s="1"/>
  <c r="O1115" i="1"/>
  <c r="O1070" i="98" s="1"/>
  <c r="O1117" i="1"/>
  <c r="O1072" i="98" s="1"/>
  <c r="O1118" i="1"/>
  <c r="O1119" i="1"/>
  <c r="O1073" i="98" s="1"/>
  <c r="O1120" i="1"/>
  <c r="O1074" i="98" s="1"/>
  <c r="O1121" i="1"/>
  <c r="O1075" i="98" s="1"/>
  <c r="O1122" i="1"/>
  <c r="O1076" i="98" s="1"/>
  <c r="O1123" i="1"/>
  <c r="O1077" i="98" s="1"/>
  <c r="O1124" i="1"/>
  <c r="O1078" i="98" s="1"/>
  <c r="O1125" i="1"/>
  <c r="O1079" i="98" s="1"/>
  <c r="O1126" i="1"/>
  <c r="O1080" i="98" s="1"/>
  <c r="O1145" i="1"/>
  <c r="O1099" i="98" s="1"/>
  <c r="O1127" i="1"/>
  <c r="O1081" i="98" s="1"/>
  <c r="O1128" i="1"/>
  <c r="O1082" i="98" s="1"/>
  <c r="O1129" i="1"/>
  <c r="O1083" i="98" s="1"/>
  <c r="O1130" i="1"/>
  <c r="O1084" i="98" s="1"/>
  <c r="O1131" i="1"/>
  <c r="O1085" i="98" s="1"/>
  <c r="O1132" i="1"/>
  <c r="O1086" i="98" s="1"/>
  <c r="O1133" i="1"/>
  <c r="O1087" i="98" s="1"/>
  <c r="O1134" i="1"/>
  <c r="O1088" i="98" s="1"/>
  <c r="O1135" i="1"/>
  <c r="O1089" i="98" s="1"/>
  <c r="O1136" i="1"/>
  <c r="O1090" i="98" s="1"/>
  <c r="O1137" i="1"/>
  <c r="O1091" i="98" s="1"/>
  <c r="O1138" i="1"/>
  <c r="O1092" i="98" s="1"/>
  <c r="O1139" i="1"/>
  <c r="O1093" i="98" s="1"/>
  <c r="O1140" i="1"/>
  <c r="O1094" i="98" s="1"/>
  <c r="O1141" i="1"/>
  <c r="O1095" i="98" s="1"/>
  <c r="O1142" i="1"/>
  <c r="O1096" i="98" s="1"/>
  <c r="O1143" i="1"/>
  <c r="O1097" i="98" s="1"/>
  <c r="O1144" i="1"/>
  <c r="O1098" i="98" s="1"/>
  <c r="O1146" i="1"/>
  <c r="O26" i="96" s="1"/>
  <c r="O1147" i="1"/>
  <c r="O1100" i="98" s="1"/>
  <c r="O1148" i="1"/>
  <c r="O1101" i="98" s="1"/>
  <c r="O1149" i="1"/>
  <c r="O1102" i="98" s="1"/>
  <c r="O1150" i="1"/>
  <c r="O1103" i="98" s="1"/>
  <c r="O1151" i="1"/>
  <c r="O1104" i="98" s="1"/>
  <c r="O1174" i="1"/>
  <c r="O1127" i="98" s="1"/>
  <c r="O1175" i="1"/>
  <c r="O1128" i="98" s="1"/>
  <c r="O1152" i="1"/>
  <c r="O1105" i="98" s="1"/>
  <c r="O1153" i="1"/>
  <c r="O1106" i="98" s="1"/>
  <c r="O1154" i="1"/>
  <c r="O1107" i="98" s="1"/>
  <c r="O1155" i="1"/>
  <c r="O1108" i="98" s="1"/>
  <c r="O1156" i="1"/>
  <c r="O1109" i="98" s="1"/>
  <c r="O1157" i="1"/>
  <c r="O1110" i="98" s="1"/>
  <c r="O1158" i="1"/>
  <c r="O1111" i="98" s="1"/>
  <c r="O1159" i="1"/>
  <c r="O1112" i="98" s="1"/>
  <c r="O1160" i="1"/>
  <c r="O1113" i="98" s="1"/>
  <c r="O1161" i="1"/>
  <c r="O1114" i="98" s="1"/>
  <c r="O1162" i="1"/>
  <c r="O1115" i="98" s="1"/>
  <c r="O1163" i="1"/>
  <c r="O1116" i="98" s="1"/>
  <c r="O1164" i="1"/>
  <c r="O1117" i="98" s="1"/>
  <c r="O1165" i="1"/>
  <c r="O1118" i="98" s="1"/>
  <c r="O1166" i="1"/>
  <c r="O1119" i="98" s="1"/>
  <c r="O1167" i="1"/>
  <c r="O1120" i="98" s="1"/>
  <c r="O1168" i="1"/>
  <c r="O1121" i="98" s="1"/>
  <c r="O1169" i="1"/>
  <c r="O1122" i="98" s="1"/>
  <c r="O1170" i="1"/>
  <c r="O1123" i="98" s="1"/>
  <c r="O1171" i="1"/>
  <c r="O1124" i="98" s="1"/>
  <c r="O1172" i="1"/>
  <c r="O1125" i="98" s="1"/>
  <c r="O1173" i="1"/>
  <c r="O1126" i="98" s="1"/>
  <c r="O1179" i="1"/>
  <c r="O1132" i="98" s="1"/>
  <c r="O1180" i="1"/>
  <c r="O1133" i="98" s="1"/>
  <c r="O1181" i="1"/>
  <c r="O1134" i="98" s="1"/>
  <c r="O1182" i="1"/>
  <c r="O1135" i="98" s="1"/>
  <c r="O1183" i="1"/>
  <c r="O1136" i="98" s="1"/>
  <c r="O1184" i="1"/>
  <c r="O1137" i="98" s="1"/>
  <c r="O1185" i="1"/>
  <c r="O1138" i="98" s="1"/>
  <c r="O1186" i="1"/>
  <c r="O1139" i="98" s="1"/>
  <c r="O1187" i="1"/>
  <c r="O1140" i="98" s="1"/>
  <c r="O1188" i="1"/>
  <c r="O1141" i="98" s="1"/>
  <c r="O1189" i="1"/>
  <c r="O1142" i="98" s="1"/>
  <c r="O1190" i="1"/>
  <c r="O1143" i="98" s="1"/>
  <c r="O1191" i="1"/>
  <c r="O1144" i="98" s="1"/>
  <c r="O1192" i="1"/>
  <c r="O1145" i="98" s="1"/>
  <c r="O1193" i="1"/>
  <c r="O1146" i="98" s="1"/>
  <c r="O1194" i="1"/>
  <c r="O1147" i="98" s="1"/>
  <c r="O1195" i="1"/>
  <c r="O1148" i="98" s="1"/>
  <c r="O1196" i="1"/>
  <c r="O1149" i="98" s="1"/>
  <c r="O1197" i="1"/>
  <c r="O1150" i="98" s="1"/>
  <c r="O1198" i="1"/>
  <c r="O1151" i="98" s="1"/>
  <c r="O1199" i="1"/>
  <c r="O1152" i="98" s="1"/>
  <c r="O1200" i="1"/>
  <c r="O1153" i="98" s="1"/>
  <c r="O1201" i="1"/>
  <c r="O1154" i="98" s="1"/>
  <c r="O1202" i="1"/>
  <c r="O1155" i="98" s="1"/>
  <c r="O1203" i="1"/>
  <c r="O1156" i="98" s="1"/>
  <c r="O1204" i="1"/>
  <c r="O1157" i="98" s="1"/>
  <c r="O1205" i="1"/>
  <c r="O1158" i="98" s="1"/>
  <c r="O1206" i="1"/>
  <c r="O1159" i="98" s="1"/>
  <c r="O1207" i="1"/>
  <c r="O1160" i="98" s="1"/>
  <c r="O1208" i="1"/>
  <c r="O1161" i="98" s="1"/>
  <c r="O1209" i="1"/>
  <c r="O1162" i="98" s="1"/>
  <c r="O1210" i="1"/>
  <c r="O1163" i="98" s="1"/>
  <c r="O1211" i="1"/>
  <c r="O1164" i="98" s="1"/>
  <c r="O1212" i="1"/>
  <c r="O1165" i="98" s="1"/>
  <c r="O1213" i="1"/>
  <c r="O1166" i="98" s="1"/>
  <c r="O1214" i="1"/>
  <c r="O1167" i="98" s="1"/>
  <c r="O1215" i="1"/>
  <c r="O1168" i="98" s="1"/>
  <c r="O1216" i="1"/>
  <c r="O1169" i="98" s="1"/>
  <c r="O1217" i="1"/>
  <c r="O1170" i="98" s="1"/>
  <c r="O1218" i="1"/>
  <c r="O1219" i="1"/>
  <c r="O1171" i="98" s="1"/>
  <c r="O1220" i="1"/>
  <c r="O1172" i="98" s="1"/>
  <c r="O1221" i="1"/>
  <c r="O1173" i="98" s="1"/>
  <c r="O1222" i="1"/>
  <c r="O1174" i="98" s="1"/>
  <c r="O1223" i="1"/>
  <c r="O1175" i="98" s="1"/>
  <c r="O1224" i="1"/>
  <c r="O1176" i="98" s="1"/>
  <c r="O1225" i="1"/>
  <c r="O1177" i="98" s="1"/>
  <c r="O1226" i="1"/>
  <c r="O1178" i="98" s="1"/>
  <c r="O1227" i="1"/>
  <c r="O1179" i="98" s="1"/>
  <c r="O1228" i="1"/>
  <c r="O1180" i="98" s="1"/>
  <c r="O1229" i="1"/>
  <c r="O1181" i="98" s="1"/>
  <c r="O1230" i="1"/>
  <c r="O1182" i="98" s="1"/>
  <c r="O1231" i="1"/>
  <c r="O1183" i="98" s="1"/>
  <c r="O1232" i="1"/>
  <c r="O1184" i="98" s="1"/>
  <c r="O1233" i="1"/>
  <c r="O1185" i="98" s="1"/>
  <c r="O1234" i="1"/>
  <c r="O1186" i="98" s="1"/>
  <c r="O1235" i="1"/>
  <c r="O1187" i="98" s="1"/>
  <c r="O1237" i="1"/>
  <c r="O1238" i="1"/>
  <c r="O1189" i="98" s="1"/>
  <c r="O1239" i="1"/>
  <c r="O1190" i="98" s="1"/>
  <c r="O1240" i="1"/>
  <c r="O1241" i="1"/>
  <c r="O1191" i="98" s="1"/>
  <c r="O1242" i="1"/>
  <c r="O1192" i="98" s="1"/>
  <c r="O1243" i="1"/>
  <c r="O1193" i="98" s="1"/>
  <c r="O1245" i="1"/>
  <c r="O1195" i="98" s="1"/>
  <c r="O1246" i="1"/>
  <c r="O1196" i="98" s="1"/>
  <c r="O1247" i="1"/>
  <c r="O1197" i="98" s="1"/>
  <c r="O1248" i="1"/>
  <c r="O1198" i="98" s="1"/>
  <c r="O1249" i="1"/>
  <c r="O1199" i="98" s="1"/>
  <c r="O1250" i="1"/>
  <c r="O1200" i="98" s="1"/>
  <c r="O1251" i="1"/>
  <c r="O1201" i="98" s="1"/>
  <c r="O1252" i="1"/>
  <c r="O1202" i="98" s="1"/>
  <c r="O1253" i="1"/>
  <c r="O1203" i="98" s="1"/>
  <c r="O1254" i="1"/>
  <c r="O1204" i="98" s="1"/>
  <c r="O1255" i="1"/>
  <c r="O1205" i="98" s="1"/>
  <c r="O1256" i="1"/>
  <c r="O1206" i="98" s="1"/>
  <c r="O1259" i="1"/>
  <c r="O1209" i="98" s="1"/>
  <c r="O1260" i="1"/>
  <c r="O1210" i="98" s="1"/>
  <c r="O1261" i="1"/>
  <c r="O1211" i="98" s="1"/>
  <c r="O1262" i="1"/>
  <c r="O1212" i="98" s="1"/>
  <c r="O1263" i="1"/>
  <c r="O1213" i="98" s="1"/>
  <c r="O1264" i="1"/>
  <c r="O1214" i="98" s="1"/>
  <c r="O1265" i="1"/>
  <c r="O1266" i="1"/>
  <c r="O1215" i="98" s="1"/>
  <c r="O1267" i="1"/>
  <c r="O1216" i="98" s="1"/>
  <c r="O1268" i="1"/>
  <c r="O1217" i="98" s="1"/>
  <c r="O1269" i="1"/>
  <c r="O1218" i="98" s="1"/>
  <c r="O1270" i="1"/>
  <c r="O1219" i="98" s="1"/>
  <c r="O1272" i="1"/>
  <c r="O1220" i="98" s="1"/>
  <c r="O1273" i="1"/>
  <c r="O1221" i="98" s="1"/>
  <c r="O1274" i="1"/>
  <c r="O1222" i="98" s="1"/>
  <c r="O1275" i="1"/>
  <c r="O1223" i="98" s="1"/>
  <c r="O1276" i="1"/>
  <c r="O1224" i="98" s="1"/>
  <c r="O1277" i="1"/>
  <c r="O1225" i="98" s="1"/>
  <c r="E35" i="8" l="1"/>
  <c r="E109" i="1"/>
  <c r="E95" i="98" s="1"/>
  <c r="E108" i="1"/>
  <c r="E94" i="98" s="1"/>
  <c r="E110" i="1"/>
  <c r="E96" i="98" s="1"/>
  <c r="E107" i="1"/>
  <c r="E93" i="98" s="1"/>
  <c r="E106" i="1"/>
  <c r="E92" i="98" s="1"/>
  <c r="E105" i="1"/>
  <c r="E91" i="98" s="1"/>
  <c r="E111" i="1"/>
  <c r="E97" i="98" s="1"/>
  <c r="E26" i="8"/>
  <c r="F5" i="8"/>
  <c r="G5" i="8"/>
  <c r="F31" i="8"/>
  <c r="G31" i="8"/>
  <c r="G24" i="8"/>
  <c r="F37" i="8"/>
  <c r="G37" i="8"/>
  <c r="F25" i="8"/>
  <c r="G25" i="8"/>
  <c r="F38" i="8"/>
  <c r="G38" i="8"/>
  <c r="F21" i="8"/>
  <c r="G21" i="8"/>
  <c r="F32" i="8"/>
  <c r="G32" i="8"/>
  <c r="F20" i="8"/>
  <c r="G20" i="8"/>
  <c r="F30" i="8"/>
  <c r="G30" i="8"/>
  <c r="F34" i="8"/>
  <c r="G34" i="8"/>
  <c r="F8" i="8"/>
  <c r="G8" i="8"/>
  <c r="F24" i="8"/>
  <c r="E12" i="8"/>
  <c r="E137" i="8"/>
  <c r="E39" i="8"/>
  <c r="E140" i="8" s="1"/>
  <c r="F6" i="8"/>
  <c r="F9" i="8"/>
  <c r="F10" i="8"/>
  <c r="E22" i="8"/>
  <c r="F19" i="8"/>
  <c r="F15" i="8"/>
  <c r="F14" i="8"/>
  <c r="F13" i="8"/>
  <c r="E17" i="8"/>
  <c r="F11" i="8"/>
  <c r="E7" i="8"/>
  <c r="E18" i="8" l="1"/>
  <c r="F12" i="8"/>
  <c r="G12" i="8"/>
  <c r="E27" i="8"/>
  <c r="H76" i="1" l="1"/>
  <c r="H70" i="98" s="1"/>
  <c r="E28" i="8"/>
  <c r="E36" i="8" l="1"/>
  <c r="E40" i="8" s="1"/>
  <c r="E141" i="8" s="1"/>
  <c r="A389" i="6"/>
  <c r="C389" i="6"/>
  <c r="E389" i="6" s="1"/>
  <c r="D389" i="6"/>
  <c r="K389" i="6"/>
  <c r="N389" i="6" s="1"/>
  <c r="O389" i="6" s="1"/>
  <c r="A388" i="6"/>
  <c r="C388" i="6"/>
  <c r="E388" i="6" s="1"/>
  <c r="D388" i="6"/>
  <c r="K388" i="6"/>
  <c r="N388" i="6" s="1"/>
  <c r="O388" i="6" s="1"/>
  <c r="A63" i="1"/>
  <c r="A63" i="98" s="1"/>
  <c r="A64" i="1"/>
  <c r="A64" i="98" s="1"/>
  <c r="C63" i="1"/>
  <c r="C63" i="98" s="1"/>
  <c r="C64" i="1"/>
  <c r="C64" i="98" s="1"/>
  <c r="D63" i="1"/>
  <c r="D63" i="98" s="1"/>
  <c r="D64" i="1"/>
  <c r="D64" i="98" s="1"/>
  <c r="K63" i="1"/>
  <c r="K63" i="98" s="1"/>
  <c r="K64" i="1"/>
  <c r="K64" i="98" s="1"/>
  <c r="M63" i="1"/>
  <c r="M63" i="98" s="1"/>
  <c r="M64" i="1"/>
  <c r="M64" i="98" s="1"/>
  <c r="N63" i="1"/>
  <c r="N63" i="98" s="1"/>
  <c r="N64" i="1"/>
  <c r="N64" i="98" s="1"/>
  <c r="P63" i="1"/>
  <c r="P63" i="98" s="1"/>
  <c r="P64" i="1"/>
  <c r="P64" i="98" s="1"/>
  <c r="A348" i="1"/>
  <c r="A323" i="98" s="1"/>
  <c r="C348" i="1"/>
  <c r="C323" i="98" s="1"/>
  <c r="D348" i="1"/>
  <c r="D323" i="98" s="1"/>
  <c r="K348" i="1"/>
  <c r="K323" i="98" s="1"/>
  <c r="M348" i="1"/>
  <c r="M323" i="98" s="1"/>
  <c r="N348" i="1"/>
  <c r="N323" i="98" s="1"/>
  <c r="P348" i="1"/>
  <c r="P323" i="98" s="1"/>
  <c r="A347" i="1"/>
  <c r="A322" i="98" s="1"/>
  <c r="C347" i="1"/>
  <c r="C322" i="98" s="1"/>
  <c r="D347" i="1"/>
  <c r="D322" i="98" s="1"/>
  <c r="K347" i="1"/>
  <c r="K322" i="98" s="1"/>
  <c r="M347" i="1"/>
  <c r="M322" i="98" s="1"/>
  <c r="N347" i="1"/>
  <c r="N322" i="98" s="1"/>
  <c r="P347" i="1"/>
  <c r="P322" i="98" s="1"/>
  <c r="A62" i="1"/>
  <c r="A62" i="98" s="1"/>
  <c r="C62" i="1"/>
  <c r="C62" i="98" s="1"/>
  <c r="D62" i="1"/>
  <c r="D62" i="98" s="1"/>
  <c r="K62" i="1"/>
  <c r="K62" i="98" s="1"/>
  <c r="M62" i="1"/>
  <c r="M62" i="98" s="1"/>
  <c r="N62" i="1"/>
  <c r="N62" i="98" s="1"/>
  <c r="P62" i="1"/>
  <c r="P62" i="98" s="1"/>
  <c r="A60" i="1"/>
  <c r="A60" i="98" s="1"/>
  <c r="A61" i="1"/>
  <c r="A61" i="98" s="1"/>
  <c r="C60" i="1"/>
  <c r="C60" i="98" s="1"/>
  <c r="C61" i="1"/>
  <c r="C61" i="98" s="1"/>
  <c r="D60" i="1"/>
  <c r="D60" i="98" s="1"/>
  <c r="D61" i="1"/>
  <c r="D61" i="98" s="1"/>
  <c r="K60" i="1"/>
  <c r="K60" i="98" s="1"/>
  <c r="K61" i="1"/>
  <c r="K61" i="98" s="1"/>
  <c r="M60" i="1"/>
  <c r="M60" i="98" s="1"/>
  <c r="M61" i="1"/>
  <c r="M61" i="98" s="1"/>
  <c r="N60" i="1"/>
  <c r="N60" i="98" s="1"/>
  <c r="N61" i="1"/>
  <c r="N61" i="98" s="1"/>
  <c r="P60" i="1"/>
  <c r="P60" i="98" s="1"/>
  <c r="P61" i="1"/>
  <c r="P61" i="98" s="1"/>
  <c r="A58" i="1"/>
  <c r="A58" i="98" s="1"/>
  <c r="A59" i="1"/>
  <c r="A59" i="98" s="1"/>
  <c r="C58" i="1"/>
  <c r="C58" i="98" s="1"/>
  <c r="C59" i="1"/>
  <c r="C59" i="98" s="1"/>
  <c r="D58" i="1"/>
  <c r="D58" i="98" s="1"/>
  <c r="D59" i="1"/>
  <c r="D59" i="98" s="1"/>
  <c r="K58" i="1"/>
  <c r="K58" i="98" s="1"/>
  <c r="K59" i="1"/>
  <c r="K59" i="98" s="1"/>
  <c r="M58" i="1"/>
  <c r="M58" i="98" s="1"/>
  <c r="M59" i="1"/>
  <c r="M59" i="98" s="1"/>
  <c r="N58" i="1"/>
  <c r="N58" i="98" s="1"/>
  <c r="N59" i="1"/>
  <c r="N59" i="98" s="1"/>
  <c r="P58" i="1"/>
  <c r="P58" i="98" s="1"/>
  <c r="P59" i="1"/>
  <c r="P59" i="98" s="1"/>
  <c r="A97" i="1"/>
  <c r="A83" i="98" s="1"/>
  <c r="A98" i="1"/>
  <c r="A84" i="98" s="1"/>
  <c r="A56" i="1"/>
  <c r="A56" i="98" s="1"/>
  <c r="A57" i="1"/>
  <c r="A57" i="98" s="1"/>
  <c r="A99" i="1"/>
  <c r="A85" i="98" s="1"/>
  <c r="C97" i="1"/>
  <c r="C83" i="98" s="1"/>
  <c r="C98" i="1"/>
  <c r="C84" i="98" s="1"/>
  <c r="C56" i="1"/>
  <c r="C56" i="98" s="1"/>
  <c r="C57" i="1"/>
  <c r="C57" i="98" s="1"/>
  <c r="C99" i="1"/>
  <c r="C85" i="98" s="1"/>
  <c r="D97" i="1"/>
  <c r="D83" i="98" s="1"/>
  <c r="D98" i="1"/>
  <c r="D84" i="98" s="1"/>
  <c r="D56" i="1"/>
  <c r="D56" i="98" s="1"/>
  <c r="D57" i="1"/>
  <c r="D57" i="98" s="1"/>
  <c r="D99" i="1"/>
  <c r="D85" i="98" s="1"/>
  <c r="K97" i="1"/>
  <c r="K83" i="98" s="1"/>
  <c r="K98" i="1"/>
  <c r="K84" i="98" s="1"/>
  <c r="K56" i="1"/>
  <c r="K56" i="98" s="1"/>
  <c r="K57" i="1"/>
  <c r="K57" i="98" s="1"/>
  <c r="K99" i="1"/>
  <c r="K85" i="98" s="1"/>
  <c r="M97" i="1"/>
  <c r="M83" i="98" s="1"/>
  <c r="M98" i="1"/>
  <c r="M84" i="98" s="1"/>
  <c r="M56" i="1"/>
  <c r="M56" i="98" s="1"/>
  <c r="M57" i="1"/>
  <c r="M57" i="98" s="1"/>
  <c r="M99" i="1"/>
  <c r="M85" i="98" s="1"/>
  <c r="N97" i="1"/>
  <c r="N83" i="98" s="1"/>
  <c r="N98" i="1"/>
  <c r="N84" i="98" s="1"/>
  <c r="N56" i="1"/>
  <c r="N56" i="98" s="1"/>
  <c r="N57" i="1"/>
  <c r="N57" i="98" s="1"/>
  <c r="N99" i="1"/>
  <c r="N85" i="98" s="1"/>
  <c r="P97" i="1"/>
  <c r="P83" i="98" s="1"/>
  <c r="P98" i="1"/>
  <c r="P84" i="98" s="1"/>
  <c r="P56" i="1"/>
  <c r="P56" i="98" s="1"/>
  <c r="P57" i="1"/>
  <c r="P57" i="98" s="1"/>
  <c r="P99" i="1"/>
  <c r="P85" i="98" s="1"/>
  <c r="A49" i="1"/>
  <c r="A49" i="98" s="1"/>
  <c r="A50" i="1"/>
  <c r="A50" i="98" s="1"/>
  <c r="A51" i="1"/>
  <c r="A51" i="98" s="1"/>
  <c r="A52" i="1"/>
  <c r="A52" i="98" s="1"/>
  <c r="A53" i="1"/>
  <c r="A53" i="98" s="1"/>
  <c r="A54" i="1"/>
  <c r="A54" i="98" s="1"/>
  <c r="A55" i="1"/>
  <c r="A55" i="98" s="1"/>
  <c r="C49" i="1"/>
  <c r="C49" i="98" s="1"/>
  <c r="C50" i="1"/>
  <c r="C50" i="98" s="1"/>
  <c r="C51" i="1"/>
  <c r="C51" i="98" s="1"/>
  <c r="C52" i="1"/>
  <c r="C52" i="98" s="1"/>
  <c r="C53" i="1"/>
  <c r="C53" i="98" s="1"/>
  <c r="C54" i="1"/>
  <c r="C54" i="98" s="1"/>
  <c r="C55" i="1"/>
  <c r="C55" i="98" s="1"/>
  <c r="D49" i="1"/>
  <c r="D49" i="98" s="1"/>
  <c r="D50" i="1"/>
  <c r="D50" i="98" s="1"/>
  <c r="D51" i="1"/>
  <c r="D51" i="98" s="1"/>
  <c r="D52" i="1"/>
  <c r="D52" i="98" s="1"/>
  <c r="D53" i="1"/>
  <c r="D53" i="98" s="1"/>
  <c r="D54" i="1"/>
  <c r="D54" i="98" s="1"/>
  <c r="D55" i="1"/>
  <c r="D55" i="98" s="1"/>
  <c r="K49" i="1"/>
  <c r="K49" i="98" s="1"/>
  <c r="K50" i="1"/>
  <c r="K50" i="98" s="1"/>
  <c r="K51" i="1"/>
  <c r="K51" i="98" s="1"/>
  <c r="K52" i="1"/>
  <c r="K52" i="98" s="1"/>
  <c r="K53" i="1"/>
  <c r="K53" i="98" s="1"/>
  <c r="K54" i="1"/>
  <c r="K54" i="98" s="1"/>
  <c r="K55" i="1"/>
  <c r="K55" i="98" s="1"/>
  <c r="M49" i="1"/>
  <c r="M49" i="98" s="1"/>
  <c r="M50" i="1"/>
  <c r="M50" i="98" s="1"/>
  <c r="M51" i="1"/>
  <c r="M51" i="98" s="1"/>
  <c r="M52" i="1"/>
  <c r="M52" i="98" s="1"/>
  <c r="M53" i="1"/>
  <c r="M53" i="98" s="1"/>
  <c r="M54" i="1"/>
  <c r="M54" i="98" s="1"/>
  <c r="M55" i="1"/>
  <c r="M55" i="98" s="1"/>
  <c r="N49" i="1"/>
  <c r="N49" i="98" s="1"/>
  <c r="N50" i="1"/>
  <c r="N50" i="98" s="1"/>
  <c r="N51" i="1"/>
  <c r="N51" i="98" s="1"/>
  <c r="N52" i="1"/>
  <c r="N52" i="98" s="1"/>
  <c r="N53" i="1"/>
  <c r="N53" i="98" s="1"/>
  <c r="N54" i="1"/>
  <c r="N54" i="98" s="1"/>
  <c r="N55" i="1"/>
  <c r="N55" i="98" s="1"/>
  <c r="P49" i="1"/>
  <c r="P49" i="98" s="1"/>
  <c r="P50" i="1"/>
  <c r="P50" i="98" s="1"/>
  <c r="P51" i="1"/>
  <c r="P51" i="98" s="1"/>
  <c r="P52" i="1"/>
  <c r="P52" i="98" s="1"/>
  <c r="P53" i="1"/>
  <c r="P53" i="98" s="1"/>
  <c r="P54" i="1"/>
  <c r="P54" i="98" s="1"/>
  <c r="P55" i="1"/>
  <c r="P55" i="98" s="1"/>
  <c r="A40" i="1"/>
  <c r="A40" i="98" s="1"/>
  <c r="A41" i="1"/>
  <c r="A41" i="98" s="1"/>
  <c r="A42" i="1"/>
  <c r="A42" i="98" s="1"/>
  <c r="A43" i="1"/>
  <c r="A43" i="98" s="1"/>
  <c r="A44" i="1"/>
  <c r="A44" i="98" s="1"/>
  <c r="A45" i="1"/>
  <c r="A45" i="98" s="1"/>
  <c r="A46" i="1"/>
  <c r="A46" i="98" s="1"/>
  <c r="A47" i="1"/>
  <c r="A47" i="98" s="1"/>
  <c r="A48" i="1"/>
  <c r="A48" i="98" s="1"/>
  <c r="C40" i="1"/>
  <c r="C40" i="98" s="1"/>
  <c r="C41" i="1"/>
  <c r="C41" i="98" s="1"/>
  <c r="C42" i="1"/>
  <c r="C42" i="98" s="1"/>
  <c r="C43" i="1"/>
  <c r="C43" i="98" s="1"/>
  <c r="C44" i="1"/>
  <c r="C44" i="98" s="1"/>
  <c r="C45" i="1"/>
  <c r="C45" i="98" s="1"/>
  <c r="C46" i="1"/>
  <c r="C46" i="98" s="1"/>
  <c r="C47" i="1"/>
  <c r="C47" i="98" s="1"/>
  <c r="C48" i="1"/>
  <c r="C48" i="98" s="1"/>
  <c r="D40" i="1"/>
  <c r="D40" i="98" s="1"/>
  <c r="D41" i="1"/>
  <c r="D41" i="98" s="1"/>
  <c r="D42" i="1"/>
  <c r="D42" i="98" s="1"/>
  <c r="D43" i="1"/>
  <c r="D43" i="98" s="1"/>
  <c r="D44" i="1"/>
  <c r="D44" i="98" s="1"/>
  <c r="D45" i="1"/>
  <c r="D45" i="98" s="1"/>
  <c r="D46" i="1"/>
  <c r="D46" i="98" s="1"/>
  <c r="D47" i="1"/>
  <c r="D47" i="98" s="1"/>
  <c r="D48" i="1"/>
  <c r="D48" i="98" s="1"/>
  <c r="K40" i="1"/>
  <c r="K40" i="98" s="1"/>
  <c r="K41" i="1"/>
  <c r="K41" i="98" s="1"/>
  <c r="K42" i="1"/>
  <c r="K42" i="98" s="1"/>
  <c r="K43" i="1"/>
  <c r="K43" i="98" s="1"/>
  <c r="K44" i="1"/>
  <c r="K44" i="98" s="1"/>
  <c r="K45" i="1"/>
  <c r="K45" i="98" s="1"/>
  <c r="K46" i="1"/>
  <c r="K46" i="98" s="1"/>
  <c r="K47" i="1"/>
  <c r="K47" i="98" s="1"/>
  <c r="K48" i="1"/>
  <c r="K48" i="98" s="1"/>
  <c r="M40" i="1"/>
  <c r="M40" i="98" s="1"/>
  <c r="M41" i="1"/>
  <c r="M41" i="98" s="1"/>
  <c r="M42" i="1"/>
  <c r="M42" i="98" s="1"/>
  <c r="M43" i="1"/>
  <c r="M43" i="98" s="1"/>
  <c r="M44" i="1"/>
  <c r="M44" i="98" s="1"/>
  <c r="M45" i="1"/>
  <c r="M45" i="98" s="1"/>
  <c r="M46" i="1"/>
  <c r="M46" i="98" s="1"/>
  <c r="M47" i="1"/>
  <c r="M47" i="98" s="1"/>
  <c r="M48" i="1"/>
  <c r="M48" i="98" s="1"/>
  <c r="N40" i="1"/>
  <c r="N40" i="98" s="1"/>
  <c r="N41" i="1"/>
  <c r="N41" i="98" s="1"/>
  <c r="N42" i="1"/>
  <c r="N42" i="98" s="1"/>
  <c r="N43" i="1"/>
  <c r="N43" i="98" s="1"/>
  <c r="N44" i="1"/>
  <c r="N44" i="98" s="1"/>
  <c r="N45" i="1"/>
  <c r="N45" i="98" s="1"/>
  <c r="N46" i="1"/>
  <c r="N46" i="98" s="1"/>
  <c r="N47" i="1"/>
  <c r="N47" i="98" s="1"/>
  <c r="N48" i="1"/>
  <c r="N48" i="98" s="1"/>
  <c r="P40" i="1"/>
  <c r="P40" i="98" s="1"/>
  <c r="P41" i="1"/>
  <c r="P41" i="98" s="1"/>
  <c r="P42" i="1"/>
  <c r="P42" i="98" s="1"/>
  <c r="P43" i="1"/>
  <c r="P43" i="98" s="1"/>
  <c r="P44" i="1"/>
  <c r="P44" i="98" s="1"/>
  <c r="P45" i="1"/>
  <c r="P45" i="98" s="1"/>
  <c r="P46" i="1"/>
  <c r="P46" i="98" s="1"/>
  <c r="P47" i="1"/>
  <c r="P47" i="98" s="1"/>
  <c r="P48" i="1"/>
  <c r="P48" i="98" s="1"/>
  <c r="A37" i="1"/>
  <c r="A37" i="98" s="1"/>
  <c r="A38" i="1"/>
  <c r="A38" i="98" s="1"/>
  <c r="A39" i="1"/>
  <c r="A39" i="98" s="1"/>
  <c r="C37" i="1"/>
  <c r="C37" i="98" s="1"/>
  <c r="C38" i="1"/>
  <c r="C38" i="98" s="1"/>
  <c r="C39" i="1"/>
  <c r="C39" i="98" s="1"/>
  <c r="D37" i="1"/>
  <c r="D37" i="98" s="1"/>
  <c r="D38" i="1"/>
  <c r="D38" i="98" s="1"/>
  <c r="D39" i="1"/>
  <c r="D39" i="98" s="1"/>
  <c r="K37" i="1"/>
  <c r="K37" i="98" s="1"/>
  <c r="K38" i="1"/>
  <c r="K38" i="98" s="1"/>
  <c r="K39" i="1"/>
  <c r="K39" i="98" s="1"/>
  <c r="M37" i="1"/>
  <c r="M37" i="98" s="1"/>
  <c r="M38" i="1"/>
  <c r="M38" i="98" s="1"/>
  <c r="M39" i="1"/>
  <c r="M39" i="98" s="1"/>
  <c r="N37" i="1"/>
  <c r="N37" i="98" s="1"/>
  <c r="N38" i="1"/>
  <c r="N38" i="98" s="1"/>
  <c r="N39" i="1"/>
  <c r="N39" i="98" s="1"/>
  <c r="P37" i="1"/>
  <c r="P37" i="98" s="1"/>
  <c r="P38" i="1"/>
  <c r="P38" i="98" s="1"/>
  <c r="P39" i="1"/>
  <c r="P39" i="98" s="1"/>
  <c r="A36" i="1"/>
  <c r="A36" i="98" s="1"/>
  <c r="C36" i="1"/>
  <c r="C36" i="98" s="1"/>
  <c r="D36" i="1"/>
  <c r="D36" i="98" s="1"/>
  <c r="K36" i="1"/>
  <c r="K36" i="98" s="1"/>
  <c r="M36" i="1"/>
  <c r="M36" i="98" s="1"/>
  <c r="N36" i="1"/>
  <c r="N36" i="98" s="1"/>
  <c r="P36" i="1"/>
  <c r="P36" i="98" s="1"/>
  <c r="A21" i="1"/>
  <c r="A21" i="98" s="1"/>
  <c r="A22" i="1"/>
  <c r="A22" i="98" s="1"/>
  <c r="A23" i="1"/>
  <c r="A23" i="98" s="1"/>
  <c r="A24" i="1"/>
  <c r="A24" i="98" s="1"/>
  <c r="A25" i="1"/>
  <c r="A25" i="98" s="1"/>
  <c r="A26" i="1"/>
  <c r="A26" i="98" s="1"/>
  <c r="A27" i="1"/>
  <c r="A27" i="98" s="1"/>
  <c r="A28" i="1"/>
  <c r="A28" i="98" s="1"/>
  <c r="A29" i="1"/>
  <c r="A29" i="98" s="1"/>
  <c r="A30" i="1"/>
  <c r="A30" i="98" s="1"/>
  <c r="A31" i="1"/>
  <c r="A31" i="98" s="1"/>
  <c r="A32" i="1"/>
  <c r="A32" i="98" s="1"/>
  <c r="A33" i="1"/>
  <c r="A33" i="98" s="1"/>
  <c r="A34" i="1"/>
  <c r="A34" i="98" s="1"/>
  <c r="A35" i="1"/>
  <c r="A35" i="98" s="1"/>
  <c r="C21" i="1"/>
  <c r="C21" i="98" s="1"/>
  <c r="C22" i="1"/>
  <c r="C22" i="98" s="1"/>
  <c r="C23" i="1"/>
  <c r="C23" i="98" s="1"/>
  <c r="C24" i="1"/>
  <c r="C24" i="98" s="1"/>
  <c r="C25" i="1"/>
  <c r="C25" i="98" s="1"/>
  <c r="C26" i="1"/>
  <c r="C26" i="98" s="1"/>
  <c r="C27" i="1"/>
  <c r="C27" i="98" s="1"/>
  <c r="C28" i="1"/>
  <c r="C28" i="98" s="1"/>
  <c r="C29" i="1"/>
  <c r="C29" i="98" s="1"/>
  <c r="C30" i="1"/>
  <c r="C30" i="98" s="1"/>
  <c r="C31" i="1"/>
  <c r="C31" i="98" s="1"/>
  <c r="C32" i="1"/>
  <c r="C32" i="98" s="1"/>
  <c r="C33" i="1"/>
  <c r="C33" i="98" s="1"/>
  <c r="C34" i="1"/>
  <c r="C34" i="98" s="1"/>
  <c r="C35" i="1"/>
  <c r="C35" i="98" s="1"/>
  <c r="D21" i="1"/>
  <c r="D21" i="98" s="1"/>
  <c r="D22" i="1"/>
  <c r="D22" i="98" s="1"/>
  <c r="D23" i="1"/>
  <c r="D23" i="98" s="1"/>
  <c r="D24" i="1"/>
  <c r="D24" i="98" s="1"/>
  <c r="D25" i="1"/>
  <c r="D25" i="98" s="1"/>
  <c r="D26" i="1"/>
  <c r="D26" i="98" s="1"/>
  <c r="D27" i="1"/>
  <c r="D27" i="98" s="1"/>
  <c r="D28" i="1"/>
  <c r="D28" i="98" s="1"/>
  <c r="D29" i="1"/>
  <c r="D29" i="98" s="1"/>
  <c r="D30" i="1"/>
  <c r="D30" i="98" s="1"/>
  <c r="D31" i="1"/>
  <c r="D31" i="98" s="1"/>
  <c r="D32" i="1"/>
  <c r="D32" i="98" s="1"/>
  <c r="D33" i="1"/>
  <c r="D33" i="98" s="1"/>
  <c r="D34" i="1"/>
  <c r="D34" i="98" s="1"/>
  <c r="D35" i="1"/>
  <c r="D35" i="98" s="1"/>
  <c r="K21" i="1"/>
  <c r="K21" i="98" s="1"/>
  <c r="K22" i="1"/>
  <c r="K22" i="98" s="1"/>
  <c r="K23" i="1"/>
  <c r="K23" i="98" s="1"/>
  <c r="K24" i="1"/>
  <c r="K24" i="98" s="1"/>
  <c r="K25" i="1"/>
  <c r="K25" i="98" s="1"/>
  <c r="K26" i="1"/>
  <c r="K26" i="98" s="1"/>
  <c r="K27" i="1"/>
  <c r="K27" i="98" s="1"/>
  <c r="K28" i="1"/>
  <c r="K28" i="98" s="1"/>
  <c r="K29" i="1"/>
  <c r="K29" i="98" s="1"/>
  <c r="K30" i="1"/>
  <c r="K30" i="98" s="1"/>
  <c r="K31" i="1"/>
  <c r="K31" i="98" s="1"/>
  <c r="K32" i="1"/>
  <c r="K32" i="98" s="1"/>
  <c r="K33" i="1"/>
  <c r="K33" i="98" s="1"/>
  <c r="K34" i="1"/>
  <c r="K34" i="98" s="1"/>
  <c r="K35" i="1"/>
  <c r="K35" i="98" s="1"/>
  <c r="M21" i="1"/>
  <c r="M21" i="98" s="1"/>
  <c r="M22" i="1"/>
  <c r="M22" i="98" s="1"/>
  <c r="M23" i="1"/>
  <c r="M23" i="98" s="1"/>
  <c r="M24" i="1"/>
  <c r="M24" i="98" s="1"/>
  <c r="M25" i="1"/>
  <c r="M25" i="98" s="1"/>
  <c r="M26" i="1"/>
  <c r="M26" i="98" s="1"/>
  <c r="M27" i="1"/>
  <c r="M27" i="98" s="1"/>
  <c r="M28" i="1"/>
  <c r="M28" i="98" s="1"/>
  <c r="M29" i="1"/>
  <c r="M29" i="98" s="1"/>
  <c r="M30" i="1"/>
  <c r="M30" i="98" s="1"/>
  <c r="M31" i="1"/>
  <c r="M31" i="98" s="1"/>
  <c r="M32" i="1"/>
  <c r="M32" i="98" s="1"/>
  <c r="M33" i="1"/>
  <c r="M33" i="98" s="1"/>
  <c r="M34" i="1"/>
  <c r="M34" i="98" s="1"/>
  <c r="M35" i="1"/>
  <c r="M35" i="98" s="1"/>
  <c r="N21" i="1"/>
  <c r="N21" i="98" s="1"/>
  <c r="N22" i="1"/>
  <c r="N22" i="98" s="1"/>
  <c r="N23" i="1"/>
  <c r="N23" i="98" s="1"/>
  <c r="N24" i="1"/>
  <c r="N24" i="98" s="1"/>
  <c r="N25" i="1"/>
  <c r="N25" i="98" s="1"/>
  <c r="N26" i="1"/>
  <c r="N26" i="98" s="1"/>
  <c r="N27" i="1"/>
  <c r="N27" i="98" s="1"/>
  <c r="N28" i="1"/>
  <c r="N28" i="98" s="1"/>
  <c r="N29" i="1"/>
  <c r="N29" i="98" s="1"/>
  <c r="N30" i="1"/>
  <c r="N30" i="98" s="1"/>
  <c r="N31" i="1"/>
  <c r="N31" i="98" s="1"/>
  <c r="N32" i="1"/>
  <c r="N32" i="98" s="1"/>
  <c r="N33" i="1"/>
  <c r="N33" i="98" s="1"/>
  <c r="N34" i="1"/>
  <c r="N34" i="98" s="1"/>
  <c r="N35" i="1"/>
  <c r="N35" i="98" s="1"/>
  <c r="P21" i="1"/>
  <c r="P21" i="98" s="1"/>
  <c r="P22" i="1"/>
  <c r="P22" i="98" s="1"/>
  <c r="P23" i="1"/>
  <c r="P23" i="98" s="1"/>
  <c r="P24" i="1"/>
  <c r="P24" i="98" s="1"/>
  <c r="P25" i="1"/>
  <c r="P25" i="98" s="1"/>
  <c r="P26" i="1"/>
  <c r="P26" i="98" s="1"/>
  <c r="P27" i="1"/>
  <c r="P27" i="98" s="1"/>
  <c r="P28" i="1"/>
  <c r="P28" i="98" s="1"/>
  <c r="P29" i="1"/>
  <c r="P29" i="98" s="1"/>
  <c r="P30" i="1"/>
  <c r="P30" i="98" s="1"/>
  <c r="P31" i="1"/>
  <c r="P31" i="98" s="1"/>
  <c r="P32" i="1"/>
  <c r="P32" i="98" s="1"/>
  <c r="P33" i="1"/>
  <c r="P33" i="98" s="1"/>
  <c r="P34" i="1"/>
  <c r="P34" i="98" s="1"/>
  <c r="P35" i="1"/>
  <c r="P35" i="98" s="1"/>
  <c r="H34" i="1"/>
  <c r="H34" i="98" s="1"/>
  <c r="H32" i="1"/>
  <c r="H32" i="98" s="1"/>
  <c r="H31" i="1"/>
  <c r="H31" i="98" s="1"/>
  <c r="H30" i="1"/>
  <c r="H30" i="98" s="1"/>
  <c r="H28" i="1"/>
  <c r="H28" i="98" s="1"/>
  <c r="H26" i="1"/>
  <c r="H26" i="98" s="1"/>
  <c r="H24" i="1"/>
  <c r="H24" i="98" s="1"/>
  <c r="H23" i="1"/>
  <c r="H23" i="98" s="1"/>
  <c r="E30" i="1" l="1"/>
  <c r="E30" i="98" s="1"/>
  <c r="E22" i="1"/>
  <c r="E22" i="98" s="1"/>
  <c r="E38" i="1"/>
  <c r="E38" i="98" s="1"/>
  <c r="E42" i="1"/>
  <c r="E42" i="98" s="1"/>
  <c r="E54" i="1"/>
  <c r="E54" i="98" s="1"/>
  <c r="E56" i="1"/>
  <c r="E56" i="98" s="1"/>
  <c r="E61" i="1"/>
  <c r="E61" i="98" s="1"/>
  <c r="E347" i="1"/>
  <c r="E322" i="98" s="1"/>
  <c r="E29" i="1"/>
  <c r="E29" i="98" s="1"/>
  <c r="E37" i="1"/>
  <c r="E37" i="98" s="1"/>
  <c r="E98" i="1"/>
  <c r="E84" i="98" s="1"/>
  <c r="E60" i="1"/>
  <c r="E60" i="98" s="1"/>
  <c r="E62" i="1"/>
  <c r="E62" i="98" s="1"/>
  <c r="E21" i="1"/>
  <c r="E21" i="98" s="1"/>
  <c r="E41" i="1"/>
  <c r="E41" i="98" s="1"/>
  <c r="E53" i="1"/>
  <c r="E53" i="98" s="1"/>
  <c r="E28" i="1"/>
  <c r="E28" i="98" s="1"/>
  <c r="E48" i="1"/>
  <c r="E48" i="98" s="1"/>
  <c r="E40" i="1"/>
  <c r="E40" i="98" s="1"/>
  <c r="E52" i="1"/>
  <c r="E52" i="98" s="1"/>
  <c r="E97" i="1"/>
  <c r="E83" i="98" s="1"/>
  <c r="E59" i="1"/>
  <c r="E59" i="98" s="1"/>
  <c r="E58" i="1"/>
  <c r="E58" i="98" s="1"/>
  <c r="E64" i="1"/>
  <c r="E64" i="98" s="1"/>
  <c r="E63" i="1"/>
  <c r="E63" i="98" s="1"/>
  <c r="E35" i="1"/>
  <c r="E35" i="98" s="1"/>
  <c r="E47" i="1"/>
  <c r="E47" i="98" s="1"/>
  <c r="E51" i="1"/>
  <c r="E51" i="98" s="1"/>
  <c r="E33" i="1"/>
  <c r="E33" i="98" s="1"/>
  <c r="E25" i="1"/>
  <c r="E25" i="98" s="1"/>
  <c r="E45" i="1"/>
  <c r="E45" i="98" s="1"/>
  <c r="E49" i="1"/>
  <c r="E49" i="98" s="1"/>
  <c r="E34" i="1"/>
  <c r="E34" i="98" s="1"/>
  <c r="E46" i="1"/>
  <c r="E46" i="98" s="1"/>
  <c r="E32" i="1"/>
  <c r="E32" i="98" s="1"/>
  <c r="E24" i="1"/>
  <c r="E24" i="98" s="1"/>
  <c r="E36" i="1"/>
  <c r="E36" i="98" s="1"/>
  <c r="E44" i="1"/>
  <c r="E44" i="98" s="1"/>
  <c r="E99" i="1"/>
  <c r="E85" i="98" s="1"/>
  <c r="E27" i="1"/>
  <c r="E27" i="98" s="1"/>
  <c r="E26" i="1"/>
  <c r="E26" i="98" s="1"/>
  <c r="E50" i="1"/>
  <c r="E50" i="98" s="1"/>
  <c r="E31" i="1"/>
  <c r="E31" i="98" s="1"/>
  <c r="E23" i="1"/>
  <c r="E23" i="98" s="1"/>
  <c r="E39" i="1"/>
  <c r="E39" i="98" s="1"/>
  <c r="E43" i="1"/>
  <c r="E43" i="98" s="1"/>
  <c r="E55" i="1"/>
  <c r="E55" i="98" s="1"/>
  <c r="E57" i="1"/>
  <c r="E57" i="98" s="1"/>
  <c r="E348" i="1"/>
  <c r="E323" i="98" s="1"/>
  <c r="H20" i="1"/>
  <c r="H20" i="98" s="1"/>
  <c r="A20" i="1"/>
  <c r="A20" i="98" s="1"/>
  <c r="C20" i="1"/>
  <c r="C20" i="98" s="1"/>
  <c r="D20" i="1"/>
  <c r="D20" i="98" s="1"/>
  <c r="K20" i="1"/>
  <c r="K20" i="98" s="1"/>
  <c r="M20" i="1"/>
  <c r="M20" i="98" s="1"/>
  <c r="N20" i="1"/>
  <c r="N20" i="98" s="1"/>
  <c r="P20" i="1"/>
  <c r="P20" i="98" s="1"/>
  <c r="H19" i="1"/>
  <c r="H19" i="98" s="1"/>
  <c r="A19" i="1"/>
  <c r="A19" i="98" s="1"/>
  <c r="C19" i="1"/>
  <c r="C19" i="98" s="1"/>
  <c r="D19" i="1"/>
  <c r="D19" i="98" s="1"/>
  <c r="K19" i="1"/>
  <c r="K19" i="98" s="1"/>
  <c r="M19" i="1"/>
  <c r="M19" i="98" s="1"/>
  <c r="N19" i="1"/>
  <c r="N19" i="98" s="1"/>
  <c r="P19" i="1"/>
  <c r="P19" i="98" s="1"/>
  <c r="E19" i="1" l="1"/>
  <c r="E19" i="98" s="1"/>
  <c r="E20" i="1"/>
  <c r="E20" i="98" s="1"/>
  <c r="A353" i="1"/>
  <c r="A328" i="98" s="1"/>
  <c r="C353" i="1"/>
  <c r="C328" i="98" s="1"/>
  <c r="D353" i="1"/>
  <c r="D328" i="98" s="1"/>
  <c r="K353" i="1"/>
  <c r="K328" i="98" s="1"/>
  <c r="M353" i="1"/>
  <c r="M328" i="98" s="1"/>
  <c r="N353" i="1"/>
  <c r="N328" i="98" s="1"/>
  <c r="P353" i="1"/>
  <c r="P328" i="98" s="1"/>
  <c r="A354" i="1"/>
  <c r="A329" i="98" s="1"/>
  <c r="C354" i="1"/>
  <c r="C329" i="98" s="1"/>
  <c r="D354" i="1"/>
  <c r="D329" i="98" s="1"/>
  <c r="K354" i="1"/>
  <c r="K329" i="98" s="1"/>
  <c r="M354" i="1"/>
  <c r="M329" i="98" s="1"/>
  <c r="N354" i="1"/>
  <c r="N329" i="98" s="1"/>
  <c r="P354" i="1"/>
  <c r="P329" i="98" s="1"/>
  <c r="E353" i="1" l="1"/>
  <c r="E328" i="98" s="1"/>
  <c r="E354" i="1"/>
  <c r="E329" i="98" s="1"/>
  <c r="A357" i="1"/>
  <c r="A330" i="98" s="1"/>
  <c r="C357" i="1"/>
  <c r="C330" i="98" s="1"/>
  <c r="D357" i="1"/>
  <c r="D330" i="98" s="1"/>
  <c r="K357" i="1"/>
  <c r="K330" i="98" s="1"/>
  <c r="M357" i="1"/>
  <c r="M330" i="98" s="1"/>
  <c r="N357" i="1"/>
  <c r="N330" i="98" s="1"/>
  <c r="P357" i="1"/>
  <c r="P330" i="98" s="1"/>
  <c r="H1093" i="1"/>
  <c r="H1049" i="98" s="1"/>
  <c r="E357" i="1" l="1"/>
  <c r="E330" i="98" s="1"/>
  <c r="H243" i="1"/>
  <c r="H222" i="98" s="1"/>
  <c r="A243" i="1"/>
  <c r="A222" i="98" s="1"/>
  <c r="C243" i="1"/>
  <c r="C222" i="98" s="1"/>
  <c r="D243" i="1"/>
  <c r="D222" i="98" s="1"/>
  <c r="K243" i="1"/>
  <c r="K222" i="98" s="1"/>
  <c r="M243" i="1"/>
  <c r="M222" i="98" s="1"/>
  <c r="N243" i="1"/>
  <c r="N222" i="98" s="1"/>
  <c r="P243" i="1"/>
  <c r="P222" i="98" s="1"/>
  <c r="A121" i="1"/>
  <c r="A105" i="98" s="1"/>
  <c r="C121" i="1"/>
  <c r="C105" i="98" s="1"/>
  <c r="D121" i="1"/>
  <c r="D105" i="98" s="1"/>
  <c r="K121" i="1"/>
  <c r="K105" i="98" s="1"/>
  <c r="M121" i="1"/>
  <c r="M105" i="98" s="1"/>
  <c r="N121" i="1"/>
  <c r="N105" i="98" s="1"/>
  <c r="P121" i="1"/>
  <c r="P105" i="98" s="1"/>
  <c r="A120" i="1"/>
  <c r="A104" i="98" s="1"/>
  <c r="C120" i="1"/>
  <c r="C104" i="98" s="1"/>
  <c r="D120" i="1"/>
  <c r="D104" i="98" s="1"/>
  <c r="K120" i="1"/>
  <c r="K104" i="98" s="1"/>
  <c r="M120" i="1"/>
  <c r="M104" i="98" s="1"/>
  <c r="N120" i="1"/>
  <c r="N104" i="98" s="1"/>
  <c r="P120" i="1"/>
  <c r="P104" i="98" s="1"/>
  <c r="A77" i="1"/>
  <c r="A5" i="96" s="1"/>
  <c r="C77" i="1"/>
  <c r="D77" i="1"/>
  <c r="D5" i="96" s="1"/>
  <c r="K77" i="1"/>
  <c r="K5" i="96" s="1"/>
  <c r="M77" i="1"/>
  <c r="M5" i="96" s="1"/>
  <c r="N77" i="1"/>
  <c r="N5" i="96" s="1"/>
  <c r="P77" i="1"/>
  <c r="P5" i="96" s="1"/>
  <c r="E243" i="1" l="1"/>
  <c r="E222" i="98" s="1"/>
  <c r="E121" i="1"/>
  <c r="E105" i="98" s="1"/>
  <c r="E120" i="1"/>
  <c r="E104" i="98" s="1"/>
  <c r="E77" i="1"/>
  <c r="E5" i="96" s="1"/>
  <c r="C5" i="96"/>
  <c r="A382" i="6"/>
  <c r="A383" i="6"/>
  <c r="A384" i="6"/>
  <c r="A385" i="6"/>
  <c r="A386" i="6"/>
  <c r="A387" i="6"/>
  <c r="C382" i="6"/>
  <c r="E382" i="6" s="1"/>
  <c r="C383" i="6"/>
  <c r="E383" i="6" s="1"/>
  <c r="C384" i="6"/>
  <c r="E384" i="6" s="1"/>
  <c r="C385" i="6"/>
  <c r="E385" i="6" s="1"/>
  <c r="C386" i="6"/>
  <c r="E386" i="6" s="1"/>
  <c r="C387" i="6"/>
  <c r="E387" i="6" s="1"/>
  <c r="D382" i="6"/>
  <c r="D383" i="6"/>
  <c r="D384" i="6"/>
  <c r="D385" i="6"/>
  <c r="D386" i="6"/>
  <c r="D387" i="6"/>
  <c r="K382" i="6"/>
  <c r="N382" i="6" s="1"/>
  <c r="O382" i="6" s="1"/>
  <c r="K383" i="6"/>
  <c r="N383" i="6" s="1"/>
  <c r="O383" i="6" s="1"/>
  <c r="K384" i="6"/>
  <c r="N384" i="6" s="1"/>
  <c r="O384" i="6" s="1"/>
  <c r="K385" i="6"/>
  <c r="N385" i="6" s="1"/>
  <c r="O385" i="6" s="1"/>
  <c r="K386" i="6"/>
  <c r="N386" i="6" s="1"/>
  <c r="O386" i="6" s="1"/>
  <c r="K387" i="6"/>
  <c r="N387" i="6" s="1"/>
  <c r="O387" i="6" s="1"/>
  <c r="A275" i="1"/>
  <c r="A254" i="98" s="1"/>
  <c r="C275" i="1"/>
  <c r="C254" i="98" s="1"/>
  <c r="D275" i="1"/>
  <c r="D254" i="98" s="1"/>
  <c r="K275" i="1"/>
  <c r="K254" i="98" s="1"/>
  <c r="M275" i="1"/>
  <c r="M254" i="98" s="1"/>
  <c r="N275" i="1"/>
  <c r="N254" i="98" s="1"/>
  <c r="P275" i="1"/>
  <c r="P254" i="98" s="1"/>
  <c r="A266" i="1"/>
  <c r="A245" i="98" s="1"/>
  <c r="A267" i="1"/>
  <c r="A246" i="98" s="1"/>
  <c r="A268" i="1"/>
  <c r="A247" i="98" s="1"/>
  <c r="A269" i="1"/>
  <c r="A248" i="98" s="1"/>
  <c r="A270" i="1"/>
  <c r="A249" i="98" s="1"/>
  <c r="A271" i="1"/>
  <c r="A250" i="98" s="1"/>
  <c r="A272" i="1"/>
  <c r="A251" i="98" s="1"/>
  <c r="A273" i="1"/>
  <c r="A252" i="98" s="1"/>
  <c r="A274" i="1"/>
  <c r="A253" i="98" s="1"/>
  <c r="C266" i="1"/>
  <c r="C245" i="98" s="1"/>
  <c r="C267" i="1"/>
  <c r="C246" i="98" s="1"/>
  <c r="C268" i="1"/>
  <c r="C247" i="98" s="1"/>
  <c r="C269" i="1"/>
  <c r="C248" i="98" s="1"/>
  <c r="C270" i="1"/>
  <c r="C249" i="98" s="1"/>
  <c r="C271" i="1"/>
  <c r="C250" i="98" s="1"/>
  <c r="C272" i="1"/>
  <c r="C251" i="98" s="1"/>
  <c r="C273" i="1"/>
  <c r="C252" i="98" s="1"/>
  <c r="C274" i="1"/>
  <c r="C253" i="98" s="1"/>
  <c r="D266" i="1"/>
  <c r="D245" i="98" s="1"/>
  <c r="D267" i="1"/>
  <c r="D246" i="98" s="1"/>
  <c r="D268" i="1"/>
  <c r="D247" i="98" s="1"/>
  <c r="D269" i="1"/>
  <c r="D248" i="98" s="1"/>
  <c r="D270" i="1"/>
  <c r="D249" i="98" s="1"/>
  <c r="D271" i="1"/>
  <c r="D250" i="98" s="1"/>
  <c r="D272" i="1"/>
  <c r="D251" i="98" s="1"/>
  <c r="D273" i="1"/>
  <c r="D252" i="98" s="1"/>
  <c r="D274" i="1"/>
  <c r="D253" i="98" s="1"/>
  <c r="K266" i="1"/>
  <c r="K245" i="98" s="1"/>
  <c r="K267" i="1"/>
  <c r="K246" i="98" s="1"/>
  <c r="K268" i="1"/>
  <c r="K247" i="98" s="1"/>
  <c r="K269" i="1"/>
  <c r="K248" i="98" s="1"/>
  <c r="K270" i="1"/>
  <c r="K249" i="98" s="1"/>
  <c r="K271" i="1"/>
  <c r="K250" i="98" s="1"/>
  <c r="K272" i="1"/>
  <c r="K251" i="98" s="1"/>
  <c r="K273" i="1"/>
  <c r="K252" i="98" s="1"/>
  <c r="K274" i="1"/>
  <c r="K253" i="98" s="1"/>
  <c r="M266" i="1"/>
  <c r="M245" i="98" s="1"/>
  <c r="M267" i="1"/>
  <c r="M246" i="98" s="1"/>
  <c r="M268" i="1"/>
  <c r="M247" i="98" s="1"/>
  <c r="M269" i="1"/>
  <c r="M248" i="98" s="1"/>
  <c r="M270" i="1"/>
  <c r="M249" i="98" s="1"/>
  <c r="M271" i="1"/>
  <c r="M250" i="98" s="1"/>
  <c r="M272" i="1"/>
  <c r="M251" i="98" s="1"/>
  <c r="M273" i="1"/>
  <c r="M252" i="98" s="1"/>
  <c r="M274" i="1"/>
  <c r="M253" i="98" s="1"/>
  <c r="N266" i="1"/>
  <c r="N245" i="98" s="1"/>
  <c r="N267" i="1"/>
  <c r="N246" i="98" s="1"/>
  <c r="N268" i="1"/>
  <c r="N247" i="98" s="1"/>
  <c r="N269" i="1"/>
  <c r="N248" i="98" s="1"/>
  <c r="N270" i="1"/>
  <c r="N249" i="98" s="1"/>
  <c r="N271" i="1"/>
  <c r="N250" i="98" s="1"/>
  <c r="N272" i="1"/>
  <c r="N251" i="98" s="1"/>
  <c r="N273" i="1"/>
  <c r="N252" i="98" s="1"/>
  <c r="N274" i="1"/>
  <c r="N253" i="98" s="1"/>
  <c r="P266" i="1"/>
  <c r="P245" i="98" s="1"/>
  <c r="P267" i="1"/>
  <c r="P246" i="98" s="1"/>
  <c r="P268" i="1"/>
  <c r="P247" i="98" s="1"/>
  <c r="P269" i="1"/>
  <c r="P248" i="98" s="1"/>
  <c r="P270" i="1"/>
  <c r="P249" i="98" s="1"/>
  <c r="P271" i="1"/>
  <c r="P250" i="98" s="1"/>
  <c r="P272" i="1"/>
  <c r="P251" i="98" s="1"/>
  <c r="P273" i="1"/>
  <c r="P252" i="98" s="1"/>
  <c r="P274" i="1"/>
  <c r="P253" i="98" s="1"/>
  <c r="A255" i="1"/>
  <c r="A234" i="98" s="1"/>
  <c r="A256" i="1"/>
  <c r="A235" i="98" s="1"/>
  <c r="A8" i="1"/>
  <c r="A8" i="98" s="1"/>
  <c r="A257" i="1"/>
  <c r="A236" i="98" s="1"/>
  <c r="A258" i="1"/>
  <c r="A237" i="98" s="1"/>
  <c r="A259" i="1"/>
  <c r="A238" i="98" s="1"/>
  <c r="A260" i="1"/>
  <c r="A239" i="98" s="1"/>
  <c r="A261" i="1"/>
  <c r="A240" i="98" s="1"/>
  <c r="A262" i="1"/>
  <c r="A241" i="98" s="1"/>
  <c r="A263" i="1"/>
  <c r="A242" i="98" s="1"/>
  <c r="C255" i="1"/>
  <c r="C234" i="98" s="1"/>
  <c r="C256" i="1"/>
  <c r="C235" i="98" s="1"/>
  <c r="C8" i="1"/>
  <c r="C8" i="98" s="1"/>
  <c r="C257" i="1"/>
  <c r="C236" i="98" s="1"/>
  <c r="C258" i="1"/>
  <c r="C237" i="98" s="1"/>
  <c r="C259" i="1"/>
  <c r="C238" i="98" s="1"/>
  <c r="C260" i="1"/>
  <c r="C239" i="98" s="1"/>
  <c r="C261" i="1"/>
  <c r="C240" i="98" s="1"/>
  <c r="C262" i="1"/>
  <c r="C241" i="98" s="1"/>
  <c r="C263" i="1"/>
  <c r="C242" i="98" s="1"/>
  <c r="D255" i="1"/>
  <c r="D234" i="98" s="1"/>
  <c r="D256" i="1"/>
  <c r="D235" i="98" s="1"/>
  <c r="D8" i="1"/>
  <c r="D8" i="98" s="1"/>
  <c r="D257" i="1"/>
  <c r="D236" i="98" s="1"/>
  <c r="D258" i="1"/>
  <c r="D237" i="98" s="1"/>
  <c r="D259" i="1"/>
  <c r="D238" i="98" s="1"/>
  <c r="D260" i="1"/>
  <c r="D239" i="98" s="1"/>
  <c r="D261" i="1"/>
  <c r="D240" i="98" s="1"/>
  <c r="D262" i="1"/>
  <c r="D241" i="98" s="1"/>
  <c r="D263" i="1"/>
  <c r="D242" i="98" s="1"/>
  <c r="K255" i="1"/>
  <c r="K234" i="98" s="1"/>
  <c r="K256" i="1"/>
  <c r="K235" i="98" s="1"/>
  <c r="K8" i="1"/>
  <c r="K8" i="98" s="1"/>
  <c r="K257" i="1"/>
  <c r="K236" i="98" s="1"/>
  <c r="K258" i="1"/>
  <c r="K237" i="98" s="1"/>
  <c r="K259" i="1"/>
  <c r="K238" i="98" s="1"/>
  <c r="K260" i="1"/>
  <c r="K239" i="98" s="1"/>
  <c r="K261" i="1"/>
  <c r="K240" i="98" s="1"/>
  <c r="K262" i="1"/>
  <c r="K241" i="98" s="1"/>
  <c r="K263" i="1"/>
  <c r="K242" i="98" s="1"/>
  <c r="M255" i="1"/>
  <c r="M234" i="98" s="1"/>
  <c r="M256" i="1"/>
  <c r="M235" i="98" s="1"/>
  <c r="M8" i="1"/>
  <c r="M8" i="98" s="1"/>
  <c r="M257" i="1"/>
  <c r="M236" i="98" s="1"/>
  <c r="M258" i="1"/>
  <c r="M237" i="98" s="1"/>
  <c r="M259" i="1"/>
  <c r="M238" i="98" s="1"/>
  <c r="M260" i="1"/>
  <c r="M239" i="98" s="1"/>
  <c r="M261" i="1"/>
  <c r="M240" i="98" s="1"/>
  <c r="M262" i="1"/>
  <c r="M241" i="98" s="1"/>
  <c r="M263" i="1"/>
  <c r="M242" i="98" s="1"/>
  <c r="N255" i="1"/>
  <c r="N234" i="98" s="1"/>
  <c r="N256" i="1"/>
  <c r="N235" i="98" s="1"/>
  <c r="N8" i="1"/>
  <c r="N8" i="98" s="1"/>
  <c r="N257" i="1"/>
  <c r="N236" i="98" s="1"/>
  <c r="N258" i="1"/>
  <c r="N237" i="98" s="1"/>
  <c r="N259" i="1"/>
  <c r="N238" i="98" s="1"/>
  <c r="N260" i="1"/>
  <c r="N239" i="98" s="1"/>
  <c r="N261" i="1"/>
  <c r="N240" i="98" s="1"/>
  <c r="N262" i="1"/>
  <c r="N241" i="98" s="1"/>
  <c r="N263" i="1"/>
  <c r="N242" i="98" s="1"/>
  <c r="P255" i="1"/>
  <c r="P234" i="98" s="1"/>
  <c r="P256" i="1"/>
  <c r="P235" i="98" s="1"/>
  <c r="P8" i="1"/>
  <c r="P8" i="98" s="1"/>
  <c r="P257" i="1"/>
  <c r="P236" i="98" s="1"/>
  <c r="P258" i="1"/>
  <c r="P237" i="98" s="1"/>
  <c r="P259" i="1"/>
  <c r="P238" i="98" s="1"/>
  <c r="P260" i="1"/>
  <c r="P239" i="98" s="1"/>
  <c r="P261" i="1"/>
  <c r="P240" i="98" s="1"/>
  <c r="P262" i="1"/>
  <c r="P241" i="98" s="1"/>
  <c r="P263" i="1"/>
  <c r="P242" i="98" s="1"/>
  <c r="A265" i="1"/>
  <c r="A244" i="98" s="1"/>
  <c r="C265" i="1"/>
  <c r="C244" i="98" s="1"/>
  <c r="D265" i="1"/>
  <c r="D244" i="98" s="1"/>
  <c r="K265" i="1"/>
  <c r="K244" i="98" s="1"/>
  <c r="M265" i="1"/>
  <c r="M244" i="98" s="1"/>
  <c r="N265" i="1"/>
  <c r="N244" i="98" s="1"/>
  <c r="P265" i="1"/>
  <c r="P244" i="98" s="1"/>
  <c r="A296" i="1"/>
  <c r="A275" i="98" s="1"/>
  <c r="C296" i="1"/>
  <c r="C275" i="98" s="1"/>
  <c r="D296" i="1"/>
  <c r="D275" i="98" s="1"/>
  <c r="K296" i="1"/>
  <c r="K275" i="98" s="1"/>
  <c r="M296" i="1"/>
  <c r="M275" i="98" s="1"/>
  <c r="N296" i="1"/>
  <c r="N275" i="98" s="1"/>
  <c r="P296" i="1"/>
  <c r="P275" i="98" s="1"/>
  <c r="A295" i="1"/>
  <c r="A274" i="98" s="1"/>
  <c r="C295" i="1"/>
  <c r="C274" i="98" s="1"/>
  <c r="D295" i="1"/>
  <c r="D274" i="98" s="1"/>
  <c r="K295" i="1"/>
  <c r="K274" i="98" s="1"/>
  <c r="M295" i="1"/>
  <c r="M274" i="98" s="1"/>
  <c r="N295" i="1"/>
  <c r="N274" i="98" s="1"/>
  <c r="P295" i="1"/>
  <c r="P274" i="98" s="1"/>
  <c r="H297" i="1"/>
  <c r="H276" i="98" s="1"/>
  <c r="A297" i="1"/>
  <c r="A276" i="98" s="1"/>
  <c r="C297" i="1"/>
  <c r="C276" i="98" s="1"/>
  <c r="D297" i="1"/>
  <c r="D276" i="98" s="1"/>
  <c r="K297" i="1"/>
  <c r="K276" i="98" s="1"/>
  <c r="M297" i="1"/>
  <c r="M276" i="98" s="1"/>
  <c r="N297" i="1"/>
  <c r="N276" i="98" s="1"/>
  <c r="P297" i="1"/>
  <c r="P276" i="98" s="1"/>
  <c r="H129" i="1"/>
  <c r="H113" i="98" s="1"/>
  <c r="A129" i="1"/>
  <c r="A113" i="98" s="1"/>
  <c r="C129" i="1"/>
  <c r="C113" i="98" s="1"/>
  <c r="D129" i="1"/>
  <c r="D113" i="98" s="1"/>
  <c r="K129" i="1"/>
  <c r="K113" i="98" s="1"/>
  <c r="M129" i="1"/>
  <c r="M113" i="98" s="1"/>
  <c r="N129" i="1"/>
  <c r="N113" i="98" s="1"/>
  <c r="P129" i="1"/>
  <c r="P113" i="98" s="1"/>
  <c r="A128" i="1"/>
  <c r="A112" i="98" s="1"/>
  <c r="C128" i="1"/>
  <c r="C112" i="98" s="1"/>
  <c r="D128" i="1"/>
  <c r="D112" i="98" s="1"/>
  <c r="K128" i="1"/>
  <c r="K112" i="98" s="1"/>
  <c r="M128" i="1"/>
  <c r="M112" i="98" s="1"/>
  <c r="N128" i="1"/>
  <c r="N112" i="98" s="1"/>
  <c r="P128" i="1"/>
  <c r="P112" i="98" s="1"/>
  <c r="H127" i="1"/>
  <c r="H111" i="98" s="1"/>
  <c r="A127" i="1"/>
  <c r="A111" i="98" s="1"/>
  <c r="C127" i="1"/>
  <c r="C111" i="98" s="1"/>
  <c r="D127" i="1"/>
  <c r="D111" i="98" s="1"/>
  <c r="K127" i="1"/>
  <c r="K111" i="98" s="1"/>
  <c r="M127" i="1"/>
  <c r="M111" i="98" s="1"/>
  <c r="N127" i="1"/>
  <c r="N111" i="98" s="1"/>
  <c r="P127" i="1"/>
  <c r="P111" i="98" s="1"/>
  <c r="A126" i="1"/>
  <c r="A110" i="98" s="1"/>
  <c r="C126" i="1"/>
  <c r="C110" i="98" s="1"/>
  <c r="D126" i="1"/>
  <c r="D110" i="98" s="1"/>
  <c r="K126" i="1"/>
  <c r="K110" i="98" s="1"/>
  <c r="M126" i="1"/>
  <c r="M110" i="98" s="1"/>
  <c r="N126" i="1"/>
  <c r="N110" i="98" s="1"/>
  <c r="P126" i="1"/>
  <c r="P110" i="98" s="1"/>
  <c r="E261" i="1" l="1"/>
  <c r="E240" i="98" s="1"/>
  <c r="E273" i="1"/>
  <c r="E252" i="98" s="1"/>
  <c r="E260" i="1"/>
  <c r="E239" i="98" s="1"/>
  <c r="E272" i="1"/>
  <c r="E251" i="98" s="1"/>
  <c r="E265" i="1"/>
  <c r="E244" i="98" s="1"/>
  <c r="E259" i="1"/>
  <c r="E238" i="98" s="1"/>
  <c r="E271" i="1"/>
  <c r="E250" i="98" s="1"/>
  <c r="E270" i="1"/>
  <c r="E249" i="98" s="1"/>
  <c r="E258" i="1"/>
  <c r="E237" i="98" s="1"/>
  <c r="E129" i="1"/>
  <c r="E113" i="98" s="1"/>
  <c r="E297" i="1"/>
  <c r="E276" i="98" s="1"/>
  <c r="E295" i="1"/>
  <c r="E274" i="98" s="1"/>
  <c r="E257" i="1"/>
  <c r="E236" i="98" s="1"/>
  <c r="E269" i="1"/>
  <c r="E248" i="98" s="1"/>
  <c r="E296" i="1"/>
  <c r="E275" i="98" s="1"/>
  <c r="E127" i="1"/>
  <c r="E111" i="98" s="1"/>
  <c r="E128" i="1"/>
  <c r="E112" i="98" s="1"/>
  <c r="E8" i="1"/>
  <c r="E8" i="98" s="1"/>
  <c r="E268" i="1"/>
  <c r="E247" i="98" s="1"/>
  <c r="E126" i="1"/>
  <c r="E110" i="98" s="1"/>
  <c r="E263" i="1"/>
  <c r="E242" i="98" s="1"/>
  <c r="E256" i="1"/>
  <c r="E235" i="98" s="1"/>
  <c r="E267" i="1"/>
  <c r="E246" i="98" s="1"/>
  <c r="E275" i="1"/>
  <c r="E254" i="98" s="1"/>
  <c r="E262" i="1"/>
  <c r="E241" i="98" s="1"/>
  <c r="E255" i="1"/>
  <c r="E234" i="98" s="1"/>
  <c r="E274" i="1"/>
  <c r="E253" i="98" s="1"/>
  <c r="E266" i="1"/>
  <c r="E245" i="98" s="1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C366" i="6"/>
  <c r="E366" i="6" s="1"/>
  <c r="C367" i="6"/>
  <c r="E367" i="6" s="1"/>
  <c r="C368" i="6"/>
  <c r="E368" i="6" s="1"/>
  <c r="C369" i="6"/>
  <c r="E369" i="6" s="1"/>
  <c r="C370" i="6"/>
  <c r="E370" i="6" s="1"/>
  <c r="C371" i="6"/>
  <c r="E371" i="6" s="1"/>
  <c r="C372" i="6"/>
  <c r="E372" i="6" s="1"/>
  <c r="C373" i="6"/>
  <c r="E373" i="6" s="1"/>
  <c r="C374" i="6"/>
  <c r="E374" i="6" s="1"/>
  <c r="C375" i="6"/>
  <c r="E375" i="6" s="1"/>
  <c r="C376" i="6"/>
  <c r="E376" i="6" s="1"/>
  <c r="C377" i="6"/>
  <c r="E377" i="6" s="1"/>
  <c r="C378" i="6"/>
  <c r="E378" i="6" s="1"/>
  <c r="C379" i="6"/>
  <c r="E379" i="6" s="1"/>
  <c r="C380" i="6"/>
  <c r="E380" i="6" s="1"/>
  <c r="C381" i="6"/>
  <c r="E381" i="6" s="1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K366" i="6"/>
  <c r="N366" i="6" s="1"/>
  <c r="O366" i="6" s="1"/>
  <c r="K367" i="6"/>
  <c r="N367" i="6" s="1"/>
  <c r="O367" i="6" s="1"/>
  <c r="K368" i="6"/>
  <c r="N368" i="6" s="1"/>
  <c r="O368" i="6" s="1"/>
  <c r="K369" i="6"/>
  <c r="N369" i="6" s="1"/>
  <c r="O369" i="6" s="1"/>
  <c r="K370" i="6"/>
  <c r="N370" i="6" s="1"/>
  <c r="O370" i="6" s="1"/>
  <c r="K371" i="6"/>
  <c r="N371" i="6" s="1"/>
  <c r="O371" i="6" s="1"/>
  <c r="K372" i="6"/>
  <c r="N372" i="6" s="1"/>
  <c r="O372" i="6" s="1"/>
  <c r="K373" i="6"/>
  <c r="N373" i="6" s="1"/>
  <c r="O373" i="6" s="1"/>
  <c r="K374" i="6"/>
  <c r="N374" i="6" s="1"/>
  <c r="O374" i="6" s="1"/>
  <c r="K375" i="6"/>
  <c r="N375" i="6" s="1"/>
  <c r="O375" i="6" s="1"/>
  <c r="K376" i="6"/>
  <c r="N376" i="6" s="1"/>
  <c r="O376" i="6" s="1"/>
  <c r="K377" i="6"/>
  <c r="N377" i="6" s="1"/>
  <c r="O377" i="6" s="1"/>
  <c r="K378" i="6"/>
  <c r="N378" i="6" s="1"/>
  <c r="O378" i="6" s="1"/>
  <c r="K379" i="6"/>
  <c r="N379" i="6" s="1"/>
  <c r="O379" i="6" s="1"/>
  <c r="K380" i="6"/>
  <c r="N380" i="6" s="1"/>
  <c r="O380" i="6" s="1"/>
  <c r="K381" i="6"/>
  <c r="N381" i="6" s="1"/>
  <c r="O381" i="6" s="1"/>
  <c r="A69" i="5"/>
  <c r="A70" i="5"/>
  <c r="A71" i="5"/>
  <c r="C69" i="5"/>
  <c r="E69" i="5" s="1"/>
  <c r="C70" i="5"/>
  <c r="E70" i="5" s="1"/>
  <c r="C71" i="5"/>
  <c r="E71" i="5" s="1"/>
  <c r="D69" i="5"/>
  <c r="D70" i="5"/>
  <c r="D71" i="5"/>
  <c r="A810" i="1"/>
  <c r="A774" i="98" s="1"/>
  <c r="C810" i="1"/>
  <c r="C774" i="98" s="1"/>
  <c r="D810" i="1"/>
  <c r="D774" i="98" s="1"/>
  <c r="K810" i="1"/>
  <c r="K774" i="98" s="1"/>
  <c r="M810" i="1"/>
  <c r="M774" i="98" s="1"/>
  <c r="N810" i="1"/>
  <c r="N774" i="98" s="1"/>
  <c r="P810" i="1"/>
  <c r="P774" i="98" s="1"/>
  <c r="A837" i="1"/>
  <c r="A801" i="98" s="1"/>
  <c r="A838" i="1"/>
  <c r="A802" i="98" s="1"/>
  <c r="A839" i="1"/>
  <c r="A803" i="98" s="1"/>
  <c r="C837" i="1"/>
  <c r="C801" i="98" s="1"/>
  <c r="C838" i="1"/>
  <c r="C802" i="98" s="1"/>
  <c r="C839" i="1"/>
  <c r="C803" i="98" s="1"/>
  <c r="D837" i="1"/>
  <c r="D801" i="98" s="1"/>
  <c r="D838" i="1"/>
  <c r="D802" i="98" s="1"/>
  <c r="D839" i="1"/>
  <c r="D803" i="98" s="1"/>
  <c r="K837" i="1"/>
  <c r="K801" i="98" s="1"/>
  <c r="K838" i="1"/>
  <c r="K802" i="98" s="1"/>
  <c r="K839" i="1"/>
  <c r="K803" i="98" s="1"/>
  <c r="M837" i="1"/>
  <c r="M801" i="98" s="1"/>
  <c r="M838" i="1"/>
  <c r="M802" i="98" s="1"/>
  <c r="M839" i="1"/>
  <c r="M803" i="98" s="1"/>
  <c r="N837" i="1"/>
  <c r="N801" i="98" s="1"/>
  <c r="N838" i="1"/>
  <c r="N802" i="98" s="1"/>
  <c r="N839" i="1"/>
  <c r="N803" i="98" s="1"/>
  <c r="P837" i="1"/>
  <c r="P801" i="98" s="1"/>
  <c r="P838" i="1"/>
  <c r="P802" i="98" s="1"/>
  <c r="P839" i="1"/>
  <c r="P803" i="98" s="1"/>
  <c r="A832" i="1"/>
  <c r="A796" i="98" s="1"/>
  <c r="A833" i="1"/>
  <c r="A797" i="98" s="1"/>
  <c r="A834" i="1"/>
  <c r="A798" i="98" s="1"/>
  <c r="A835" i="1"/>
  <c r="A799" i="98" s="1"/>
  <c r="A836" i="1"/>
  <c r="A800" i="98" s="1"/>
  <c r="C832" i="1"/>
  <c r="C796" i="98" s="1"/>
  <c r="C833" i="1"/>
  <c r="C797" i="98" s="1"/>
  <c r="C834" i="1"/>
  <c r="C798" i="98" s="1"/>
  <c r="C835" i="1"/>
  <c r="C799" i="98" s="1"/>
  <c r="C836" i="1"/>
  <c r="C800" i="98" s="1"/>
  <c r="D832" i="1"/>
  <c r="D796" i="98" s="1"/>
  <c r="D833" i="1"/>
  <c r="D797" i="98" s="1"/>
  <c r="D834" i="1"/>
  <c r="D798" i="98" s="1"/>
  <c r="D835" i="1"/>
  <c r="D799" i="98" s="1"/>
  <c r="D836" i="1"/>
  <c r="D800" i="98" s="1"/>
  <c r="K832" i="1"/>
  <c r="K796" i="98" s="1"/>
  <c r="K833" i="1"/>
  <c r="K797" i="98" s="1"/>
  <c r="K834" i="1"/>
  <c r="K798" i="98" s="1"/>
  <c r="K835" i="1"/>
  <c r="K799" i="98" s="1"/>
  <c r="K836" i="1"/>
  <c r="K800" i="98" s="1"/>
  <c r="M832" i="1"/>
  <c r="M796" i="98" s="1"/>
  <c r="M833" i="1"/>
  <c r="M797" i="98" s="1"/>
  <c r="M834" i="1"/>
  <c r="M798" i="98" s="1"/>
  <c r="M835" i="1"/>
  <c r="M799" i="98" s="1"/>
  <c r="M836" i="1"/>
  <c r="M800" i="98" s="1"/>
  <c r="N832" i="1"/>
  <c r="N796" i="98" s="1"/>
  <c r="N833" i="1"/>
  <c r="N797" i="98" s="1"/>
  <c r="N834" i="1"/>
  <c r="N798" i="98" s="1"/>
  <c r="N835" i="1"/>
  <c r="N799" i="98" s="1"/>
  <c r="N836" i="1"/>
  <c r="N800" i="98" s="1"/>
  <c r="P832" i="1"/>
  <c r="P796" i="98" s="1"/>
  <c r="P833" i="1"/>
  <c r="P797" i="98" s="1"/>
  <c r="P834" i="1"/>
  <c r="P798" i="98" s="1"/>
  <c r="P835" i="1"/>
  <c r="P799" i="98" s="1"/>
  <c r="P836" i="1"/>
  <c r="P800" i="98" s="1"/>
  <c r="A828" i="1"/>
  <c r="A792" i="98" s="1"/>
  <c r="A829" i="1"/>
  <c r="A793" i="98" s="1"/>
  <c r="A830" i="1"/>
  <c r="A794" i="98" s="1"/>
  <c r="A831" i="1"/>
  <c r="A795" i="98" s="1"/>
  <c r="C828" i="1"/>
  <c r="C792" i="98" s="1"/>
  <c r="C829" i="1"/>
  <c r="C793" i="98" s="1"/>
  <c r="C830" i="1"/>
  <c r="C794" i="98" s="1"/>
  <c r="C831" i="1"/>
  <c r="C795" i="98" s="1"/>
  <c r="D828" i="1"/>
  <c r="D792" i="98" s="1"/>
  <c r="D829" i="1"/>
  <c r="D793" i="98" s="1"/>
  <c r="D830" i="1"/>
  <c r="D794" i="98" s="1"/>
  <c r="D831" i="1"/>
  <c r="D795" i="98" s="1"/>
  <c r="K828" i="1"/>
  <c r="K792" i="98" s="1"/>
  <c r="K829" i="1"/>
  <c r="K793" i="98" s="1"/>
  <c r="K830" i="1"/>
  <c r="K794" i="98" s="1"/>
  <c r="K831" i="1"/>
  <c r="K795" i="98" s="1"/>
  <c r="M828" i="1"/>
  <c r="M792" i="98" s="1"/>
  <c r="M829" i="1"/>
  <c r="M793" i="98" s="1"/>
  <c r="M830" i="1"/>
  <c r="M794" i="98" s="1"/>
  <c r="M831" i="1"/>
  <c r="M795" i="98" s="1"/>
  <c r="N828" i="1"/>
  <c r="N792" i="98" s="1"/>
  <c r="N829" i="1"/>
  <c r="N793" i="98" s="1"/>
  <c r="N830" i="1"/>
  <c r="N794" i="98" s="1"/>
  <c r="N831" i="1"/>
  <c r="N795" i="98" s="1"/>
  <c r="P828" i="1"/>
  <c r="P792" i="98" s="1"/>
  <c r="P829" i="1"/>
  <c r="P793" i="98" s="1"/>
  <c r="P830" i="1"/>
  <c r="P794" i="98" s="1"/>
  <c r="P831" i="1"/>
  <c r="P795" i="98" s="1"/>
  <c r="A827" i="1"/>
  <c r="A791" i="98" s="1"/>
  <c r="C827" i="1"/>
  <c r="C791" i="98" s="1"/>
  <c r="D827" i="1"/>
  <c r="D791" i="98" s="1"/>
  <c r="K827" i="1"/>
  <c r="K791" i="98" s="1"/>
  <c r="M827" i="1"/>
  <c r="M791" i="98" s="1"/>
  <c r="N827" i="1"/>
  <c r="N791" i="98" s="1"/>
  <c r="P827" i="1"/>
  <c r="P791" i="98" s="1"/>
  <c r="A824" i="1"/>
  <c r="A788" i="98" s="1"/>
  <c r="A825" i="1"/>
  <c r="A789" i="98" s="1"/>
  <c r="A826" i="1"/>
  <c r="A790" i="98" s="1"/>
  <c r="C824" i="1"/>
  <c r="C788" i="98" s="1"/>
  <c r="C825" i="1"/>
  <c r="C789" i="98" s="1"/>
  <c r="C826" i="1"/>
  <c r="C790" i="98" s="1"/>
  <c r="D824" i="1"/>
  <c r="D788" i="98" s="1"/>
  <c r="D825" i="1"/>
  <c r="D789" i="98" s="1"/>
  <c r="D826" i="1"/>
  <c r="D790" i="98" s="1"/>
  <c r="K824" i="1"/>
  <c r="K788" i="98" s="1"/>
  <c r="K825" i="1"/>
  <c r="K789" i="98" s="1"/>
  <c r="K826" i="1"/>
  <c r="K790" i="98" s="1"/>
  <c r="M824" i="1"/>
  <c r="M788" i="98" s="1"/>
  <c r="M825" i="1"/>
  <c r="M789" i="98" s="1"/>
  <c r="M826" i="1"/>
  <c r="M790" i="98" s="1"/>
  <c r="N824" i="1"/>
  <c r="N788" i="98" s="1"/>
  <c r="N825" i="1"/>
  <c r="N789" i="98" s="1"/>
  <c r="N826" i="1"/>
  <c r="N790" i="98" s="1"/>
  <c r="P824" i="1"/>
  <c r="P788" i="98" s="1"/>
  <c r="P825" i="1"/>
  <c r="P789" i="98" s="1"/>
  <c r="P826" i="1"/>
  <c r="P790" i="98" s="1"/>
  <c r="A840" i="1"/>
  <c r="A804" i="98" s="1"/>
  <c r="A841" i="1"/>
  <c r="A805" i="98" s="1"/>
  <c r="A842" i="1"/>
  <c r="A806" i="98" s="1"/>
  <c r="A843" i="1"/>
  <c r="A807" i="98" s="1"/>
  <c r="A844" i="1"/>
  <c r="A808" i="98" s="1"/>
  <c r="C840" i="1"/>
  <c r="C804" i="98" s="1"/>
  <c r="C841" i="1"/>
  <c r="C805" i="98" s="1"/>
  <c r="C842" i="1"/>
  <c r="C806" i="98" s="1"/>
  <c r="C843" i="1"/>
  <c r="C807" i="98" s="1"/>
  <c r="C844" i="1"/>
  <c r="C808" i="98" s="1"/>
  <c r="D840" i="1"/>
  <c r="D804" i="98" s="1"/>
  <c r="D841" i="1"/>
  <c r="D805" i="98" s="1"/>
  <c r="D842" i="1"/>
  <c r="D806" i="98" s="1"/>
  <c r="D843" i="1"/>
  <c r="D807" i="98" s="1"/>
  <c r="D844" i="1"/>
  <c r="D808" i="98" s="1"/>
  <c r="K840" i="1"/>
  <c r="K804" i="98" s="1"/>
  <c r="K841" i="1"/>
  <c r="K805" i="98" s="1"/>
  <c r="K842" i="1"/>
  <c r="K806" i="98" s="1"/>
  <c r="K843" i="1"/>
  <c r="K807" i="98" s="1"/>
  <c r="K844" i="1"/>
  <c r="K808" i="98" s="1"/>
  <c r="M840" i="1"/>
  <c r="M804" i="98" s="1"/>
  <c r="M841" i="1"/>
  <c r="M805" i="98" s="1"/>
  <c r="M842" i="1"/>
  <c r="M806" i="98" s="1"/>
  <c r="M843" i="1"/>
  <c r="M807" i="98" s="1"/>
  <c r="M844" i="1"/>
  <c r="M808" i="98" s="1"/>
  <c r="N840" i="1"/>
  <c r="N804" i="98" s="1"/>
  <c r="N841" i="1"/>
  <c r="N805" i="98" s="1"/>
  <c r="N842" i="1"/>
  <c r="N806" i="98" s="1"/>
  <c r="N843" i="1"/>
  <c r="N807" i="98" s="1"/>
  <c r="N844" i="1"/>
  <c r="N808" i="98" s="1"/>
  <c r="P840" i="1"/>
  <c r="P804" i="98" s="1"/>
  <c r="P841" i="1"/>
  <c r="P805" i="98" s="1"/>
  <c r="P842" i="1"/>
  <c r="P806" i="98" s="1"/>
  <c r="P843" i="1"/>
  <c r="P807" i="98" s="1"/>
  <c r="P844" i="1"/>
  <c r="P808" i="98" s="1"/>
  <c r="A822" i="1"/>
  <c r="A786" i="98" s="1"/>
  <c r="A823" i="1"/>
  <c r="A787" i="98" s="1"/>
  <c r="C822" i="1"/>
  <c r="C786" i="98" s="1"/>
  <c r="C823" i="1"/>
  <c r="C787" i="98" s="1"/>
  <c r="D822" i="1"/>
  <c r="D786" i="98" s="1"/>
  <c r="D823" i="1"/>
  <c r="D787" i="98" s="1"/>
  <c r="K822" i="1"/>
  <c r="K786" i="98" s="1"/>
  <c r="K823" i="1"/>
  <c r="K787" i="98" s="1"/>
  <c r="M822" i="1"/>
  <c r="M786" i="98" s="1"/>
  <c r="M823" i="1"/>
  <c r="M787" i="98" s="1"/>
  <c r="N822" i="1"/>
  <c r="N786" i="98" s="1"/>
  <c r="N823" i="1"/>
  <c r="N787" i="98" s="1"/>
  <c r="P822" i="1"/>
  <c r="P786" i="98" s="1"/>
  <c r="P823" i="1"/>
  <c r="P787" i="98" s="1"/>
  <c r="A800" i="1"/>
  <c r="A764" i="98" s="1"/>
  <c r="A801" i="1"/>
  <c r="A765" i="98" s="1"/>
  <c r="A802" i="1"/>
  <c r="A766" i="98" s="1"/>
  <c r="A803" i="1"/>
  <c r="A767" i="98" s="1"/>
  <c r="A804" i="1"/>
  <c r="A768" i="98" s="1"/>
  <c r="A805" i="1"/>
  <c r="A769" i="98" s="1"/>
  <c r="A806" i="1"/>
  <c r="A770" i="98" s="1"/>
  <c r="A807" i="1"/>
  <c r="A771" i="98" s="1"/>
  <c r="A808" i="1"/>
  <c r="A772" i="98" s="1"/>
  <c r="A809" i="1"/>
  <c r="A773" i="98" s="1"/>
  <c r="C800" i="1"/>
  <c r="C764" i="98" s="1"/>
  <c r="C801" i="1"/>
  <c r="C765" i="98" s="1"/>
  <c r="C802" i="1"/>
  <c r="C766" i="98" s="1"/>
  <c r="C803" i="1"/>
  <c r="C767" i="98" s="1"/>
  <c r="C804" i="1"/>
  <c r="C768" i="98" s="1"/>
  <c r="C805" i="1"/>
  <c r="C769" i="98" s="1"/>
  <c r="C806" i="1"/>
  <c r="C770" i="98" s="1"/>
  <c r="C807" i="1"/>
  <c r="C771" i="98" s="1"/>
  <c r="C808" i="1"/>
  <c r="C772" i="98" s="1"/>
  <c r="C809" i="1"/>
  <c r="C773" i="98" s="1"/>
  <c r="D800" i="1"/>
  <c r="D764" i="98" s="1"/>
  <c r="D801" i="1"/>
  <c r="D765" i="98" s="1"/>
  <c r="D802" i="1"/>
  <c r="D766" i="98" s="1"/>
  <c r="D803" i="1"/>
  <c r="D767" i="98" s="1"/>
  <c r="D804" i="1"/>
  <c r="D768" i="98" s="1"/>
  <c r="D805" i="1"/>
  <c r="D769" i="98" s="1"/>
  <c r="D806" i="1"/>
  <c r="D770" i="98" s="1"/>
  <c r="D807" i="1"/>
  <c r="D771" i="98" s="1"/>
  <c r="D808" i="1"/>
  <c r="D772" i="98" s="1"/>
  <c r="D809" i="1"/>
  <c r="D773" i="98" s="1"/>
  <c r="K800" i="1"/>
  <c r="K764" i="98" s="1"/>
  <c r="K801" i="1"/>
  <c r="K765" i="98" s="1"/>
  <c r="K802" i="1"/>
  <c r="K766" i="98" s="1"/>
  <c r="K803" i="1"/>
  <c r="K767" i="98" s="1"/>
  <c r="K804" i="1"/>
  <c r="K768" i="98" s="1"/>
  <c r="K805" i="1"/>
  <c r="K769" i="98" s="1"/>
  <c r="K806" i="1"/>
  <c r="K770" i="98" s="1"/>
  <c r="K807" i="1"/>
  <c r="K771" i="98" s="1"/>
  <c r="K808" i="1"/>
  <c r="K772" i="98" s="1"/>
  <c r="K809" i="1"/>
  <c r="K773" i="98" s="1"/>
  <c r="M800" i="1"/>
  <c r="M764" i="98" s="1"/>
  <c r="M801" i="1"/>
  <c r="M765" i="98" s="1"/>
  <c r="M802" i="1"/>
  <c r="M766" i="98" s="1"/>
  <c r="M803" i="1"/>
  <c r="M767" i="98" s="1"/>
  <c r="M804" i="1"/>
  <c r="M768" i="98" s="1"/>
  <c r="M805" i="1"/>
  <c r="M769" i="98" s="1"/>
  <c r="M806" i="1"/>
  <c r="M770" i="98" s="1"/>
  <c r="M807" i="1"/>
  <c r="M771" i="98" s="1"/>
  <c r="M808" i="1"/>
  <c r="M772" i="98" s="1"/>
  <c r="M809" i="1"/>
  <c r="M773" i="98" s="1"/>
  <c r="N800" i="1"/>
  <c r="N764" i="98" s="1"/>
  <c r="N801" i="1"/>
  <c r="N765" i="98" s="1"/>
  <c r="N802" i="1"/>
  <c r="N766" i="98" s="1"/>
  <c r="N803" i="1"/>
  <c r="N767" i="98" s="1"/>
  <c r="N804" i="1"/>
  <c r="N768" i="98" s="1"/>
  <c r="N805" i="1"/>
  <c r="N769" i="98" s="1"/>
  <c r="N806" i="1"/>
  <c r="N770" i="98" s="1"/>
  <c r="N807" i="1"/>
  <c r="N771" i="98" s="1"/>
  <c r="N808" i="1"/>
  <c r="N772" i="98" s="1"/>
  <c r="N809" i="1"/>
  <c r="N773" i="98" s="1"/>
  <c r="P800" i="1"/>
  <c r="P764" i="98" s="1"/>
  <c r="P801" i="1"/>
  <c r="P765" i="98" s="1"/>
  <c r="P802" i="1"/>
  <c r="P766" i="98" s="1"/>
  <c r="P803" i="1"/>
  <c r="P767" i="98" s="1"/>
  <c r="P804" i="1"/>
  <c r="P768" i="98" s="1"/>
  <c r="P805" i="1"/>
  <c r="P769" i="98" s="1"/>
  <c r="P806" i="1"/>
  <c r="P770" i="98" s="1"/>
  <c r="P807" i="1"/>
  <c r="P771" i="98" s="1"/>
  <c r="P808" i="1"/>
  <c r="P772" i="98" s="1"/>
  <c r="P809" i="1"/>
  <c r="P773" i="98" s="1"/>
  <c r="A821" i="1"/>
  <c r="A785" i="98" s="1"/>
  <c r="C821" i="1"/>
  <c r="C785" i="98" s="1"/>
  <c r="D821" i="1"/>
  <c r="D785" i="98" s="1"/>
  <c r="K821" i="1"/>
  <c r="K785" i="98" s="1"/>
  <c r="M821" i="1"/>
  <c r="M785" i="98" s="1"/>
  <c r="N821" i="1"/>
  <c r="N785" i="98" s="1"/>
  <c r="P821" i="1"/>
  <c r="P785" i="98" s="1"/>
  <c r="A811" i="1"/>
  <c r="A775" i="98" s="1"/>
  <c r="A812" i="1"/>
  <c r="A776" i="98" s="1"/>
  <c r="A813" i="1"/>
  <c r="A777" i="98" s="1"/>
  <c r="A814" i="1"/>
  <c r="A778" i="98" s="1"/>
  <c r="A815" i="1"/>
  <c r="A779" i="98" s="1"/>
  <c r="A816" i="1"/>
  <c r="A780" i="98" s="1"/>
  <c r="A817" i="1"/>
  <c r="A781" i="98" s="1"/>
  <c r="A818" i="1"/>
  <c r="A782" i="98" s="1"/>
  <c r="A819" i="1"/>
  <c r="A783" i="98" s="1"/>
  <c r="A820" i="1"/>
  <c r="A784" i="98" s="1"/>
  <c r="C811" i="1"/>
  <c r="C775" i="98" s="1"/>
  <c r="C812" i="1"/>
  <c r="C776" i="98" s="1"/>
  <c r="C813" i="1"/>
  <c r="C777" i="98" s="1"/>
  <c r="C814" i="1"/>
  <c r="C778" i="98" s="1"/>
  <c r="C815" i="1"/>
  <c r="C779" i="98" s="1"/>
  <c r="C816" i="1"/>
  <c r="C780" i="98" s="1"/>
  <c r="C817" i="1"/>
  <c r="C781" i="98" s="1"/>
  <c r="C818" i="1"/>
  <c r="C782" i="98" s="1"/>
  <c r="C819" i="1"/>
  <c r="C783" i="98" s="1"/>
  <c r="C820" i="1"/>
  <c r="C784" i="98" s="1"/>
  <c r="D811" i="1"/>
  <c r="D775" i="98" s="1"/>
  <c r="D812" i="1"/>
  <c r="D776" i="98" s="1"/>
  <c r="D813" i="1"/>
  <c r="D777" i="98" s="1"/>
  <c r="D814" i="1"/>
  <c r="D778" i="98" s="1"/>
  <c r="D815" i="1"/>
  <c r="D779" i="98" s="1"/>
  <c r="D816" i="1"/>
  <c r="D780" i="98" s="1"/>
  <c r="D817" i="1"/>
  <c r="D781" i="98" s="1"/>
  <c r="D818" i="1"/>
  <c r="D782" i="98" s="1"/>
  <c r="D819" i="1"/>
  <c r="D783" i="98" s="1"/>
  <c r="D820" i="1"/>
  <c r="D784" i="98" s="1"/>
  <c r="K811" i="1"/>
  <c r="K775" i="98" s="1"/>
  <c r="K812" i="1"/>
  <c r="K776" i="98" s="1"/>
  <c r="K813" i="1"/>
  <c r="K777" i="98" s="1"/>
  <c r="K814" i="1"/>
  <c r="K778" i="98" s="1"/>
  <c r="K815" i="1"/>
  <c r="K779" i="98" s="1"/>
  <c r="K816" i="1"/>
  <c r="K780" i="98" s="1"/>
  <c r="K817" i="1"/>
  <c r="K781" i="98" s="1"/>
  <c r="K818" i="1"/>
  <c r="K782" i="98" s="1"/>
  <c r="K819" i="1"/>
  <c r="K783" i="98" s="1"/>
  <c r="K820" i="1"/>
  <c r="K784" i="98" s="1"/>
  <c r="M811" i="1"/>
  <c r="M775" i="98" s="1"/>
  <c r="M812" i="1"/>
  <c r="M776" i="98" s="1"/>
  <c r="M813" i="1"/>
  <c r="M777" i="98" s="1"/>
  <c r="M814" i="1"/>
  <c r="M778" i="98" s="1"/>
  <c r="M815" i="1"/>
  <c r="M779" i="98" s="1"/>
  <c r="M816" i="1"/>
  <c r="M780" i="98" s="1"/>
  <c r="M817" i="1"/>
  <c r="M781" i="98" s="1"/>
  <c r="M818" i="1"/>
  <c r="M782" i="98" s="1"/>
  <c r="M819" i="1"/>
  <c r="M783" i="98" s="1"/>
  <c r="M820" i="1"/>
  <c r="M784" i="98" s="1"/>
  <c r="N811" i="1"/>
  <c r="N775" i="98" s="1"/>
  <c r="N812" i="1"/>
  <c r="N776" i="98" s="1"/>
  <c r="N813" i="1"/>
  <c r="N777" i="98" s="1"/>
  <c r="N814" i="1"/>
  <c r="N778" i="98" s="1"/>
  <c r="N815" i="1"/>
  <c r="N779" i="98" s="1"/>
  <c r="N816" i="1"/>
  <c r="N780" i="98" s="1"/>
  <c r="N817" i="1"/>
  <c r="N781" i="98" s="1"/>
  <c r="N818" i="1"/>
  <c r="N782" i="98" s="1"/>
  <c r="N819" i="1"/>
  <c r="N783" i="98" s="1"/>
  <c r="N820" i="1"/>
  <c r="N784" i="98" s="1"/>
  <c r="P811" i="1"/>
  <c r="P775" i="98" s="1"/>
  <c r="P812" i="1"/>
  <c r="P776" i="98" s="1"/>
  <c r="P813" i="1"/>
  <c r="P777" i="98" s="1"/>
  <c r="P814" i="1"/>
  <c r="P778" i="98" s="1"/>
  <c r="P815" i="1"/>
  <c r="P779" i="98" s="1"/>
  <c r="P816" i="1"/>
  <c r="P780" i="98" s="1"/>
  <c r="P817" i="1"/>
  <c r="P781" i="98" s="1"/>
  <c r="P818" i="1"/>
  <c r="P782" i="98" s="1"/>
  <c r="P819" i="1"/>
  <c r="P783" i="98" s="1"/>
  <c r="P820" i="1"/>
  <c r="P784" i="98" s="1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C350" i="6"/>
  <c r="E350" i="6" s="1"/>
  <c r="C351" i="6"/>
  <c r="E351" i="6" s="1"/>
  <c r="C352" i="6"/>
  <c r="E352" i="6" s="1"/>
  <c r="C353" i="6"/>
  <c r="E353" i="6" s="1"/>
  <c r="C354" i="6"/>
  <c r="E354" i="6" s="1"/>
  <c r="C355" i="6"/>
  <c r="E355" i="6" s="1"/>
  <c r="C356" i="6"/>
  <c r="E356" i="6" s="1"/>
  <c r="C357" i="6"/>
  <c r="E357" i="6" s="1"/>
  <c r="C358" i="6"/>
  <c r="E358" i="6" s="1"/>
  <c r="C359" i="6"/>
  <c r="E359" i="6" s="1"/>
  <c r="C360" i="6"/>
  <c r="E360" i="6" s="1"/>
  <c r="C361" i="6"/>
  <c r="E361" i="6" s="1"/>
  <c r="C362" i="6"/>
  <c r="E362" i="6" s="1"/>
  <c r="C363" i="6"/>
  <c r="E363" i="6" s="1"/>
  <c r="C364" i="6"/>
  <c r="E364" i="6" s="1"/>
  <c r="C365" i="6"/>
  <c r="E365" i="6" s="1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K350" i="6"/>
  <c r="N350" i="6" s="1"/>
  <c r="O350" i="6" s="1"/>
  <c r="K351" i="6"/>
  <c r="N351" i="6" s="1"/>
  <c r="O351" i="6" s="1"/>
  <c r="K352" i="6"/>
  <c r="N352" i="6" s="1"/>
  <c r="O352" i="6" s="1"/>
  <c r="K353" i="6"/>
  <c r="N353" i="6" s="1"/>
  <c r="O353" i="6" s="1"/>
  <c r="K354" i="6"/>
  <c r="N354" i="6" s="1"/>
  <c r="O354" i="6" s="1"/>
  <c r="K355" i="6"/>
  <c r="N355" i="6" s="1"/>
  <c r="O355" i="6" s="1"/>
  <c r="K356" i="6"/>
  <c r="N356" i="6" s="1"/>
  <c r="O356" i="6" s="1"/>
  <c r="K357" i="6"/>
  <c r="N357" i="6" s="1"/>
  <c r="O357" i="6" s="1"/>
  <c r="K358" i="6"/>
  <c r="N358" i="6" s="1"/>
  <c r="O358" i="6" s="1"/>
  <c r="K359" i="6"/>
  <c r="N359" i="6" s="1"/>
  <c r="O359" i="6" s="1"/>
  <c r="K360" i="6"/>
  <c r="N360" i="6" s="1"/>
  <c r="O360" i="6" s="1"/>
  <c r="K361" i="6"/>
  <c r="N361" i="6" s="1"/>
  <c r="O361" i="6" s="1"/>
  <c r="K362" i="6"/>
  <c r="N362" i="6" s="1"/>
  <c r="O362" i="6" s="1"/>
  <c r="K363" i="6"/>
  <c r="N363" i="6" s="1"/>
  <c r="O363" i="6" s="1"/>
  <c r="K364" i="6"/>
  <c r="N364" i="6" s="1"/>
  <c r="O364" i="6" s="1"/>
  <c r="K365" i="6"/>
  <c r="N365" i="6" s="1"/>
  <c r="O365" i="6" s="1"/>
  <c r="A63" i="5"/>
  <c r="A64" i="5"/>
  <c r="A65" i="5"/>
  <c r="A66" i="5"/>
  <c r="A67" i="5"/>
  <c r="A68" i="5"/>
  <c r="C63" i="5"/>
  <c r="E63" i="5" s="1"/>
  <c r="C64" i="5"/>
  <c r="E64" i="5" s="1"/>
  <c r="C65" i="5"/>
  <c r="E65" i="5" s="1"/>
  <c r="C66" i="5"/>
  <c r="E66" i="5" s="1"/>
  <c r="C67" i="5"/>
  <c r="E67" i="5" s="1"/>
  <c r="C68" i="5"/>
  <c r="E68" i="5" s="1"/>
  <c r="D63" i="5"/>
  <c r="D64" i="5"/>
  <c r="D65" i="5"/>
  <c r="D66" i="5"/>
  <c r="D67" i="5"/>
  <c r="D68" i="5"/>
  <c r="A763" i="1"/>
  <c r="A728" i="98" s="1"/>
  <c r="C763" i="1"/>
  <c r="C728" i="98" s="1"/>
  <c r="D763" i="1"/>
  <c r="D728" i="98" s="1"/>
  <c r="K763" i="1"/>
  <c r="K728" i="98" s="1"/>
  <c r="M763" i="1"/>
  <c r="M728" i="98" s="1"/>
  <c r="N763" i="1"/>
  <c r="N728" i="98" s="1"/>
  <c r="P763" i="1"/>
  <c r="P728" i="98" s="1"/>
  <c r="A789" i="1"/>
  <c r="A754" i="98" s="1"/>
  <c r="A790" i="1"/>
  <c r="A755" i="98" s="1"/>
  <c r="A791" i="1"/>
  <c r="A756" i="98" s="1"/>
  <c r="A792" i="1"/>
  <c r="A757" i="98" s="1"/>
  <c r="C789" i="1"/>
  <c r="C754" i="98" s="1"/>
  <c r="C790" i="1"/>
  <c r="C755" i="98" s="1"/>
  <c r="C791" i="1"/>
  <c r="C756" i="98" s="1"/>
  <c r="C792" i="1"/>
  <c r="C757" i="98" s="1"/>
  <c r="D789" i="1"/>
  <c r="D754" i="98" s="1"/>
  <c r="D790" i="1"/>
  <c r="D755" i="98" s="1"/>
  <c r="D791" i="1"/>
  <c r="D756" i="98" s="1"/>
  <c r="D792" i="1"/>
  <c r="D757" i="98" s="1"/>
  <c r="K789" i="1"/>
  <c r="K754" i="98" s="1"/>
  <c r="K790" i="1"/>
  <c r="K755" i="98" s="1"/>
  <c r="K791" i="1"/>
  <c r="K756" i="98" s="1"/>
  <c r="K792" i="1"/>
  <c r="K757" i="98" s="1"/>
  <c r="M789" i="1"/>
  <c r="M754" i="98" s="1"/>
  <c r="M790" i="1"/>
  <c r="M755" i="98" s="1"/>
  <c r="M791" i="1"/>
  <c r="M756" i="98" s="1"/>
  <c r="M792" i="1"/>
  <c r="M757" i="98" s="1"/>
  <c r="N789" i="1"/>
  <c r="N754" i="98" s="1"/>
  <c r="N790" i="1"/>
  <c r="N755" i="98" s="1"/>
  <c r="N791" i="1"/>
  <c r="N756" i="98" s="1"/>
  <c r="N792" i="1"/>
  <c r="N757" i="98" s="1"/>
  <c r="P789" i="1"/>
  <c r="P754" i="98" s="1"/>
  <c r="P790" i="1"/>
  <c r="P755" i="98" s="1"/>
  <c r="P791" i="1"/>
  <c r="P756" i="98" s="1"/>
  <c r="P792" i="1"/>
  <c r="P757" i="98" s="1"/>
  <c r="A783" i="1"/>
  <c r="A748" i="98" s="1"/>
  <c r="A784" i="1"/>
  <c r="A749" i="98" s="1"/>
  <c r="A785" i="1"/>
  <c r="A750" i="98" s="1"/>
  <c r="A786" i="1"/>
  <c r="A751" i="98" s="1"/>
  <c r="A787" i="1"/>
  <c r="A752" i="98" s="1"/>
  <c r="A788" i="1"/>
  <c r="A753" i="98" s="1"/>
  <c r="C783" i="1"/>
  <c r="C748" i="98" s="1"/>
  <c r="C784" i="1"/>
  <c r="C749" i="98" s="1"/>
  <c r="C785" i="1"/>
  <c r="C750" i="98" s="1"/>
  <c r="C786" i="1"/>
  <c r="C751" i="98" s="1"/>
  <c r="C787" i="1"/>
  <c r="C752" i="98" s="1"/>
  <c r="C788" i="1"/>
  <c r="C753" i="98" s="1"/>
  <c r="D783" i="1"/>
  <c r="D748" i="98" s="1"/>
  <c r="D784" i="1"/>
  <c r="D749" i="98" s="1"/>
  <c r="D785" i="1"/>
  <c r="D750" i="98" s="1"/>
  <c r="D786" i="1"/>
  <c r="D751" i="98" s="1"/>
  <c r="D787" i="1"/>
  <c r="D752" i="98" s="1"/>
  <c r="D788" i="1"/>
  <c r="D753" i="98" s="1"/>
  <c r="K783" i="1"/>
  <c r="K748" i="98" s="1"/>
  <c r="K784" i="1"/>
  <c r="K749" i="98" s="1"/>
  <c r="K785" i="1"/>
  <c r="K750" i="98" s="1"/>
  <c r="K786" i="1"/>
  <c r="K751" i="98" s="1"/>
  <c r="K787" i="1"/>
  <c r="K752" i="98" s="1"/>
  <c r="K788" i="1"/>
  <c r="K753" i="98" s="1"/>
  <c r="M783" i="1"/>
  <c r="M748" i="98" s="1"/>
  <c r="M784" i="1"/>
  <c r="M749" i="98" s="1"/>
  <c r="M785" i="1"/>
  <c r="M750" i="98" s="1"/>
  <c r="M786" i="1"/>
  <c r="M751" i="98" s="1"/>
  <c r="M787" i="1"/>
  <c r="M752" i="98" s="1"/>
  <c r="M788" i="1"/>
  <c r="M753" i="98" s="1"/>
  <c r="N783" i="1"/>
  <c r="N748" i="98" s="1"/>
  <c r="N784" i="1"/>
  <c r="N749" i="98" s="1"/>
  <c r="N785" i="1"/>
  <c r="N750" i="98" s="1"/>
  <c r="N786" i="1"/>
  <c r="N751" i="98" s="1"/>
  <c r="N787" i="1"/>
  <c r="N752" i="98" s="1"/>
  <c r="N788" i="1"/>
  <c r="N753" i="98" s="1"/>
  <c r="P783" i="1"/>
  <c r="P748" i="98" s="1"/>
  <c r="P784" i="1"/>
  <c r="P749" i="98" s="1"/>
  <c r="P785" i="1"/>
  <c r="P750" i="98" s="1"/>
  <c r="P786" i="1"/>
  <c r="P751" i="98" s="1"/>
  <c r="P787" i="1"/>
  <c r="P752" i="98" s="1"/>
  <c r="P788" i="1"/>
  <c r="P753" i="98" s="1"/>
  <c r="P782" i="1"/>
  <c r="P747" i="98" s="1"/>
  <c r="P781" i="1"/>
  <c r="P746" i="98" s="1"/>
  <c r="P780" i="1"/>
  <c r="P745" i="98" s="1"/>
  <c r="P779" i="1"/>
  <c r="P744" i="98" s="1"/>
  <c r="N782" i="1"/>
  <c r="N747" i="98" s="1"/>
  <c r="N781" i="1"/>
  <c r="N746" i="98" s="1"/>
  <c r="N780" i="1"/>
  <c r="N745" i="98" s="1"/>
  <c r="N779" i="1"/>
  <c r="N744" i="98" s="1"/>
  <c r="M782" i="1"/>
  <c r="M747" i="98" s="1"/>
  <c r="M781" i="1"/>
  <c r="M746" i="98" s="1"/>
  <c r="M780" i="1"/>
  <c r="M745" i="98" s="1"/>
  <c r="M779" i="1"/>
  <c r="M744" i="98" s="1"/>
  <c r="K782" i="1"/>
  <c r="K747" i="98" s="1"/>
  <c r="K781" i="1"/>
  <c r="K746" i="98" s="1"/>
  <c r="K780" i="1"/>
  <c r="K745" i="98" s="1"/>
  <c r="K779" i="1"/>
  <c r="K744" i="98" s="1"/>
  <c r="D782" i="1"/>
  <c r="D747" i="98" s="1"/>
  <c r="D781" i="1"/>
  <c r="D746" i="98" s="1"/>
  <c r="D780" i="1"/>
  <c r="D745" i="98" s="1"/>
  <c r="D779" i="1"/>
  <c r="D744" i="98" s="1"/>
  <c r="C782" i="1"/>
  <c r="C747" i="98" s="1"/>
  <c r="C781" i="1"/>
  <c r="C746" i="98" s="1"/>
  <c r="C780" i="1"/>
  <c r="C745" i="98" s="1"/>
  <c r="C779" i="1"/>
  <c r="C744" i="98" s="1"/>
  <c r="A782" i="1"/>
  <c r="A747" i="98" s="1"/>
  <c r="A781" i="1"/>
  <c r="A746" i="98" s="1"/>
  <c r="A780" i="1"/>
  <c r="A745" i="98" s="1"/>
  <c r="A779" i="1"/>
  <c r="A744" i="98" s="1"/>
  <c r="K778" i="1"/>
  <c r="K743" i="98" s="1"/>
  <c r="A778" i="1"/>
  <c r="A743" i="98" s="1"/>
  <c r="C778" i="1"/>
  <c r="C743" i="98" s="1"/>
  <c r="D778" i="1"/>
  <c r="D743" i="98" s="1"/>
  <c r="M778" i="1"/>
  <c r="M743" i="98" s="1"/>
  <c r="N778" i="1"/>
  <c r="N743" i="98" s="1"/>
  <c r="P778" i="1"/>
  <c r="P743" i="98" s="1"/>
  <c r="A776" i="1"/>
  <c r="A741" i="98" s="1"/>
  <c r="A777" i="1"/>
  <c r="A742" i="98" s="1"/>
  <c r="C776" i="1"/>
  <c r="C741" i="98" s="1"/>
  <c r="C777" i="1"/>
  <c r="C742" i="98" s="1"/>
  <c r="D776" i="1"/>
  <c r="D741" i="98" s="1"/>
  <c r="D777" i="1"/>
  <c r="D742" i="98" s="1"/>
  <c r="K776" i="1"/>
  <c r="K741" i="98" s="1"/>
  <c r="K777" i="1"/>
  <c r="K742" i="98" s="1"/>
  <c r="M776" i="1"/>
  <c r="M741" i="98" s="1"/>
  <c r="M777" i="1"/>
  <c r="M742" i="98" s="1"/>
  <c r="N776" i="1"/>
  <c r="N741" i="98" s="1"/>
  <c r="N777" i="1"/>
  <c r="N742" i="98" s="1"/>
  <c r="P776" i="1"/>
  <c r="P741" i="98" s="1"/>
  <c r="P777" i="1"/>
  <c r="P742" i="98" s="1"/>
  <c r="A793" i="1"/>
  <c r="A758" i="98" s="1"/>
  <c r="A794" i="1"/>
  <c r="A759" i="98" s="1"/>
  <c r="A795" i="1"/>
  <c r="A760" i="98" s="1"/>
  <c r="A796" i="1"/>
  <c r="A761" i="98" s="1"/>
  <c r="C793" i="1"/>
  <c r="C758" i="98" s="1"/>
  <c r="C794" i="1"/>
  <c r="C759" i="98" s="1"/>
  <c r="C795" i="1"/>
  <c r="C760" i="98" s="1"/>
  <c r="C796" i="1"/>
  <c r="C761" i="98" s="1"/>
  <c r="D793" i="1"/>
  <c r="D758" i="98" s="1"/>
  <c r="D794" i="1"/>
  <c r="D759" i="98" s="1"/>
  <c r="D795" i="1"/>
  <c r="D760" i="98" s="1"/>
  <c r="D796" i="1"/>
  <c r="D761" i="98" s="1"/>
  <c r="K793" i="1"/>
  <c r="K758" i="98" s="1"/>
  <c r="K794" i="1"/>
  <c r="K759" i="98" s="1"/>
  <c r="K795" i="1"/>
  <c r="K760" i="98" s="1"/>
  <c r="K796" i="1"/>
  <c r="K761" i="98" s="1"/>
  <c r="M793" i="1"/>
  <c r="M758" i="98" s="1"/>
  <c r="M794" i="1"/>
  <c r="M759" i="98" s="1"/>
  <c r="M795" i="1"/>
  <c r="M760" i="98" s="1"/>
  <c r="M796" i="1"/>
  <c r="M761" i="98" s="1"/>
  <c r="N793" i="1"/>
  <c r="N758" i="98" s="1"/>
  <c r="N794" i="1"/>
  <c r="N759" i="98" s="1"/>
  <c r="N795" i="1"/>
  <c r="N760" i="98" s="1"/>
  <c r="N796" i="1"/>
  <c r="N761" i="98" s="1"/>
  <c r="P793" i="1"/>
  <c r="P758" i="98" s="1"/>
  <c r="P794" i="1"/>
  <c r="P759" i="98" s="1"/>
  <c r="P795" i="1"/>
  <c r="P760" i="98" s="1"/>
  <c r="P796" i="1"/>
  <c r="P761" i="98" s="1"/>
  <c r="A774" i="1"/>
  <c r="A739" i="98" s="1"/>
  <c r="A775" i="1"/>
  <c r="A740" i="98" s="1"/>
  <c r="C774" i="1"/>
  <c r="C739" i="98" s="1"/>
  <c r="C775" i="1"/>
  <c r="C740" i="98" s="1"/>
  <c r="D774" i="1"/>
  <c r="D739" i="98" s="1"/>
  <c r="D775" i="1"/>
  <c r="D740" i="98" s="1"/>
  <c r="K774" i="1"/>
  <c r="K739" i="98" s="1"/>
  <c r="K775" i="1"/>
  <c r="K740" i="98" s="1"/>
  <c r="M774" i="1"/>
  <c r="M739" i="98" s="1"/>
  <c r="M775" i="1"/>
  <c r="M740" i="98" s="1"/>
  <c r="N774" i="1"/>
  <c r="N739" i="98" s="1"/>
  <c r="N775" i="1"/>
  <c r="N740" i="98" s="1"/>
  <c r="P774" i="1"/>
  <c r="P739" i="98" s="1"/>
  <c r="P775" i="1"/>
  <c r="P740" i="98" s="1"/>
  <c r="A753" i="1"/>
  <c r="A718" i="98" s="1"/>
  <c r="A754" i="1"/>
  <c r="A719" i="98" s="1"/>
  <c r="A755" i="1"/>
  <c r="A720" i="98" s="1"/>
  <c r="A756" i="1"/>
  <c r="A721" i="98" s="1"/>
  <c r="A757" i="1"/>
  <c r="A722" i="98" s="1"/>
  <c r="A758" i="1"/>
  <c r="A723" i="98" s="1"/>
  <c r="A759" i="1"/>
  <c r="A724" i="98" s="1"/>
  <c r="A760" i="1"/>
  <c r="A725" i="98" s="1"/>
  <c r="A761" i="1"/>
  <c r="A726" i="98" s="1"/>
  <c r="A762" i="1"/>
  <c r="A727" i="98" s="1"/>
  <c r="C753" i="1"/>
  <c r="C718" i="98" s="1"/>
  <c r="C754" i="1"/>
  <c r="C719" i="98" s="1"/>
  <c r="C755" i="1"/>
  <c r="C720" i="98" s="1"/>
  <c r="C756" i="1"/>
  <c r="C721" i="98" s="1"/>
  <c r="C757" i="1"/>
  <c r="C722" i="98" s="1"/>
  <c r="C758" i="1"/>
  <c r="C723" i="98" s="1"/>
  <c r="C759" i="1"/>
  <c r="C724" i="98" s="1"/>
  <c r="C760" i="1"/>
  <c r="C725" i="98" s="1"/>
  <c r="C761" i="1"/>
  <c r="C726" i="98" s="1"/>
  <c r="C762" i="1"/>
  <c r="C727" i="98" s="1"/>
  <c r="D753" i="1"/>
  <c r="D718" i="98" s="1"/>
  <c r="D754" i="1"/>
  <c r="D719" i="98" s="1"/>
  <c r="D755" i="1"/>
  <c r="D720" i="98" s="1"/>
  <c r="D756" i="1"/>
  <c r="D721" i="98" s="1"/>
  <c r="D757" i="1"/>
  <c r="D722" i="98" s="1"/>
  <c r="D758" i="1"/>
  <c r="D723" i="98" s="1"/>
  <c r="D759" i="1"/>
  <c r="D724" i="98" s="1"/>
  <c r="D760" i="1"/>
  <c r="D725" i="98" s="1"/>
  <c r="D761" i="1"/>
  <c r="D726" i="98" s="1"/>
  <c r="D762" i="1"/>
  <c r="D727" i="98" s="1"/>
  <c r="K753" i="1"/>
  <c r="K718" i="98" s="1"/>
  <c r="K754" i="1"/>
  <c r="K719" i="98" s="1"/>
  <c r="K755" i="1"/>
  <c r="K720" i="98" s="1"/>
  <c r="K756" i="1"/>
  <c r="K721" i="98" s="1"/>
  <c r="K757" i="1"/>
  <c r="K722" i="98" s="1"/>
  <c r="K758" i="1"/>
  <c r="K723" i="98" s="1"/>
  <c r="K759" i="1"/>
  <c r="K724" i="98" s="1"/>
  <c r="K760" i="1"/>
  <c r="K725" i="98" s="1"/>
  <c r="K761" i="1"/>
  <c r="K726" i="98" s="1"/>
  <c r="K762" i="1"/>
  <c r="K727" i="98" s="1"/>
  <c r="M753" i="1"/>
  <c r="M718" i="98" s="1"/>
  <c r="M754" i="1"/>
  <c r="M719" i="98" s="1"/>
  <c r="M755" i="1"/>
  <c r="M720" i="98" s="1"/>
  <c r="M756" i="1"/>
  <c r="M721" i="98" s="1"/>
  <c r="M757" i="1"/>
  <c r="M722" i="98" s="1"/>
  <c r="M758" i="1"/>
  <c r="M723" i="98" s="1"/>
  <c r="M759" i="1"/>
  <c r="M724" i="98" s="1"/>
  <c r="M760" i="1"/>
  <c r="M725" i="98" s="1"/>
  <c r="M761" i="1"/>
  <c r="M726" i="98" s="1"/>
  <c r="M762" i="1"/>
  <c r="M727" i="98" s="1"/>
  <c r="N753" i="1"/>
  <c r="N718" i="98" s="1"/>
  <c r="N754" i="1"/>
  <c r="N719" i="98" s="1"/>
  <c r="N755" i="1"/>
  <c r="N720" i="98" s="1"/>
  <c r="N756" i="1"/>
  <c r="N721" i="98" s="1"/>
  <c r="N757" i="1"/>
  <c r="N722" i="98" s="1"/>
  <c r="N758" i="1"/>
  <c r="N723" i="98" s="1"/>
  <c r="N759" i="1"/>
  <c r="N724" i="98" s="1"/>
  <c r="N760" i="1"/>
  <c r="N725" i="98" s="1"/>
  <c r="N761" i="1"/>
  <c r="N726" i="98" s="1"/>
  <c r="N762" i="1"/>
  <c r="N727" i="98" s="1"/>
  <c r="P753" i="1"/>
  <c r="P718" i="98" s="1"/>
  <c r="P754" i="1"/>
  <c r="P719" i="98" s="1"/>
  <c r="P755" i="1"/>
  <c r="P720" i="98" s="1"/>
  <c r="P756" i="1"/>
  <c r="P721" i="98" s="1"/>
  <c r="P757" i="1"/>
  <c r="P722" i="98" s="1"/>
  <c r="P758" i="1"/>
  <c r="P723" i="98" s="1"/>
  <c r="P759" i="1"/>
  <c r="P724" i="98" s="1"/>
  <c r="P760" i="1"/>
  <c r="P725" i="98" s="1"/>
  <c r="P761" i="1"/>
  <c r="P726" i="98" s="1"/>
  <c r="P762" i="1"/>
  <c r="P727" i="98" s="1"/>
  <c r="A773" i="1"/>
  <c r="A738" i="98" s="1"/>
  <c r="C773" i="1"/>
  <c r="C738" i="98" s="1"/>
  <c r="D773" i="1"/>
  <c r="D738" i="98" s="1"/>
  <c r="K773" i="1"/>
  <c r="K738" i="98" s="1"/>
  <c r="M773" i="1"/>
  <c r="M738" i="98" s="1"/>
  <c r="N773" i="1"/>
  <c r="N738" i="98" s="1"/>
  <c r="P773" i="1"/>
  <c r="P738" i="98" s="1"/>
  <c r="A765" i="1"/>
  <c r="A730" i="98" s="1"/>
  <c r="A766" i="1"/>
  <c r="A731" i="98" s="1"/>
  <c r="A767" i="1"/>
  <c r="A732" i="98" s="1"/>
  <c r="A768" i="1"/>
  <c r="A733" i="98" s="1"/>
  <c r="A769" i="1"/>
  <c r="A734" i="98" s="1"/>
  <c r="A770" i="1"/>
  <c r="A735" i="98" s="1"/>
  <c r="A771" i="1"/>
  <c r="A736" i="98" s="1"/>
  <c r="A772" i="1"/>
  <c r="A737" i="98" s="1"/>
  <c r="C765" i="1"/>
  <c r="C730" i="98" s="1"/>
  <c r="C766" i="1"/>
  <c r="C731" i="98" s="1"/>
  <c r="C767" i="1"/>
  <c r="C732" i="98" s="1"/>
  <c r="C768" i="1"/>
  <c r="C733" i="98" s="1"/>
  <c r="C769" i="1"/>
  <c r="C734" i="98" s="1"/>
  <c r="C770" i="1"/>
  <c r="C735" i="98" s="1"/>
  <c r="C771" i="1"/>
  <c r="C736" i="98" s="1"/>
  <c r="C772" i="1"/>
  <c r="C737" i="98" s="1"/>
  <c r="D765" i="1"/>
  <c r="D730" i="98" s="1"/>
  <c r="D766" i="1"/>
  <c r="D731" i="98" s="1"/>
  <c r="D767" i="1"/>
  <c r="D732" i="98" s="1"/>
  <c r="D768" i="1"/>
  <c r="D733" i="98" s="1"/>
  <c r="D769" i="1"/>
  <c r="D734" i="98" s="1"/>
  <c r="D770" i="1"/>
  <c r="D735" i="98" s="1"/>
  <c r="D771" i="1"/>
  <c r="D736" i="98" s="1"/>
  <c r="D772" i="1"/>
  <c r="D737" i="98" s="1"/>
  <c r="K765" i="1"/>
  <c r="K730" i="98" s="1"/>
  <c r="K766" i="1"/>
  <c r="K731" i="98" s="1"/>
  <c r="K767" i="1"/>
  <c r="K732" i="98" s="1"/>
  <c r="K768" i="1"/>
  <c r="K733" i="98" s="1"/>
  <c r="K769" i="1"/>
  <c r="K734" i="98" s="1"/>
  <c r="K770" i="1"/>
  <c r="K735" i="98" s="1"/>
  <c r="K771" i="1"/>
  <c r="K736" i="98" s="1"/>
  <c r="K772" i="1"/>
  <c r="K737" i="98" s="1"/>
  <c r="M765" i="1"/>
  <c r="M730" i="98" s="1"/>
  <c r="M766" i="1"/>
  <c r="M731" i="98" s="1"/>
  <c r="M767" i="1"/>
  <c r="M732" i="98" s="1"/>
  <c r="M768" i="1"/>
  <c r="M733" i="98" s="1"/>
  <c r="M769" i="1"/>
  <c r="M734" i="98" s="1"/>
  <c r="M770" i="1"/>
  <c r="M735" i="98" s="1"/>
  <c r="M771" i="1"/>
  <c r="M736" i="98" s="1"/>
  <c r="M772" i="1"/>
  <c r="M737" i="98" s="1"/>
  <c r="N765" i="1"/>
  <c r="N730" i="98" s="1"/>
  <c r="N766" i="1"/>
  <c r="N731" i="98" s="1"/>
  <c r="N767" i="1"/>
  <c r="N732" i="98" s="1"/>
  <c r="N768" i="1"/>
  <c r="N733" i="98" s="1"/>
  <c r="N769" i="1"/>
  <c r="N734" i="98" s="1"/>
  <c r="N770" i="1"/>
  <c r="N735" i="98" s="1"/>
  <c r="N771" i="1"/>
  <c r="N736" i="98" s="1"/>
  <c r="N772" i="1"/>
  <c r="N737" i="98" s="1"/>
  <c r="P765" i="1"/>
  <c r="P730" i="98" s="1"/>
  <c r="P766" i="1"/>
  <c r="P731" i="98" s="1"/>
  <c r="P767" i="1"/>
  <c r="P732" i="98" s="1"/>
  <c r="P768" i="1"/>
  <c r="P733" i="98" s="1"/>
  <c r="P769" i="1"/>
  <c r="P734" i="98" s="1"/>
  <c r="P770" i="1"/>
  <c r="P735" i="98" s="1"/>
  <c r="P771" i="1"/>
  <c r="P736" i="98" s="1"/>
  <c r="P772" i="1"/>
  <c r="P737" i="98" s="1"/>
  <c r="A764" i="1"/>
  <c r="A729" i="98" s="1"/>
  <c r="C764" i="1"/>
  <c r="C729" i="98" s="1"/>
  <c r="D764" i="1"/>
  <c r="D729" i="98" s="1"/>
  <c r="K764" i="1"/>
  <c r="K729" i="98" s="1"/>
  <c r="M764" i="1"/>
  <c r="M729" i="98" s="1"/>
  <c r="N764" i="1"/>
  <c r="N729" i="98" s="1"/>
  <c r="P764" i="1"/>
  <c r="P729" i="98" s="1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C328" i="6"/>
  <c r="E328" i="6" s="1"/>
  <c r="C329" i="6"/>
  <c r="E329" i="6" s="1"/>
  <c r="C330" i="6"/>
  <c r="E330" i="6" s="1"/>
  <c r="C331" i="6"/>
  <c r="E331" i="6" s="1"/>
  <c r="C332" i="6"/>
  <c r="E332" i="6" s="1"/>
  <c r="C333" i="6"/>
  <c r="E333" i="6" s="1"/>
  <c r="C334" i="6"/>
  <c r="E334" i="6" s="1"/>
  <c r="C335" i="6"/>
  <c r="E335" i="6" s="1"/>
  <c r="C336" i="6"/>
  <c r="E336" i="6" s="1"/>
  <c r="C337" i="6"/>
  <c r="E337" i="6" s="1"/>
  <c r="C338" i="6"/>
  <c r="E338" i="6" s="1"/>
  <c r="C339" i="6"/>
  <c r="E339" i="6" s="1"/>
  <c r="C340" i="6"/>
  <c r="E340" i="6" s="1"/>
  <c r="C341" i="6"/>
  <c r="E341" i="6" s="1"/>
  <c r="C342" i="6"/>
  <c r="E342" i="6" s="1"/>
  <c r="C343" i="6"/>
  <c r="E343" i="6" s="1"/>
  <c r="C344" i="6"/>
  <c r="E344" i="6" s="1"/>
  <c r="C345" i="6"/>
  <c r="E345" i="6" s="1"/>
  <c r="C346" i="6"/>
  <c r="E346" i="6" s="1"/>
  <c r="C347" i="6"/>
  <c r="E347" i="6" s="1"/>
  <c r="C348" i="6"/>
  <c r="E348" i="6" s="1"/>
  <c r="C349" i="6"/>
  <c r="E349" i="6" s="1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K328" i="6"/>
  <c r="N328" i="6" s="1"/>
  <c r="O328" i="6" s="1"/>
  <c r="K329" i="6"/>
  <c r="N329" i="6" s="1"/>
  <c r="O329" i="6" s="1"/>
  <c r="K330" i="6"/>
  <c r="N330" i="6" s="1"/>
  <c r="O330" i="6" s="1"/>
  <c r="K331" i="6"/>
  <c r="N331" i="6" s="1"/>
  <c r="O331" i="6" s="1"/>
  <c r="K332" i="6"/>
  <c r="N332" i="6" s="1"/>
  <c r="O332" i="6" s="1"/>
  <c r="K333" i="6"/>
  <c r="N333" i="6" s="1"/>
  <c r="O333" i="6" s="1"/>
  <c r="K334" i="6"/>
  <c r="N334" i="6" s="1"/>
  <c r="O334" i="6" s="1"/>
  <c r="K335" i="6"/>
  <c r="N335" i="6" s="1"/>
  <c r="O335" i="6" s="1"/>
  <c r="K336" i="6"/>
  <c r="N336" i="6" s="1"/>
  <c r="O336" i="6" s="1"/>
  <c r="K337" i="6"/>
  <c r="N337" i="6" s="1"/>
  <c r="O337" i="6" s="1"/>
  <c r="K338" i="6"/>
  <c r="N338" i="6" s="1"/>
  <c r="O338" i="6" s="1"/>
  <c r="K339" i="6"/>
  <c r="N339" i="6" s="1"/>
  <c r="O339" i="6" s="1"/>
  <c r="K340" i="6"/>
  <c r="N340" i="6" s="1"/>
  <c r="O340" i="6" s="1"/>
  <c r="K341" i="6"/>
  <c r="N341" i="6" s="1"/>
  <c r="O341" i="6" s="1"/>
  <c r="K342" i="6"/>
  <c r="N342" i="6" s="1"/>
  <c r="O342" i="6" s="1"/>
  <c r="K343" i="6"/>
  <c r="N343" i="6" s="1"/>
  <c r="O343" i="6" s="1"/>
  <c r="K344" i="6"/>
  <c r="N344" i="6" s="1"/>
  <c r="O344" i="6" s="1"/>
  <c r="K345" i="6"/>
  <c r="N345" i="6" s="1"/>
  <c r="O345" i="6" s="1"/>
  <c r="K346" i="6"/>
  <c r="N346" i="6" s="1"/>
  <c r="O346" i="6" s="1"/>
  <c r="K347" i="6"/>
  <c r="N347" i="6" s="1"/>
  <c r="O347" i="6" s="1"/>
  <c r="K348" i="6"/>
  <c r="N348" i="6" s="1"/>
  <c r="O348" i="6" s="1"/>
  <c r="K349" i="6"/>
  <c r="N349" i="6" s="1"/>
  <c r="O349" i="6" s="1"/>
  <c r="A59" i="5"/>
  <c r="A60" i="5"/>
  <c r="A61" i="5"/>
  <c r="A62" i="5"/>
  <c r="C59" i="5"/>
  <c r="E59" i="5" s="1"/>
  <c r="C60" i="5"/>
  <c r="E60" i="5" s="1"/>
  <c r="C61" i="5"/>
  <c r="E61" i="5" s="1"/>
  <c r="C62" i="5"/>
  <c r="E62" i="5" s="1"/>
  <c r="D59" i="5"/>
  <c r="D60" i="5"/>
  <c r="D61" i="5"/>
  <c r="D62" i="5"/>
  <c r="A717" i="1"/>
  <c r="A683" i="98" s="1"/>
  <c r="C717" i="1"/>
  <c r="C683" i="98" s="1"/>
  <c r="D717" i="1"/>
  <c r="D683" i="98" s="1"/>
  <c r="K717" i="1"/>
  <c r="K683" i="98" s="1"/>
  <c r="M717" i="1"/>
  <c r="M683" i="98" s="1"/>
  <c r="N717" i="1"/>
  <c r="N683" i="98" s="1"/>
  <c r="P717" i="1"/>
  <c r="P683" i="98" s="1"/>
  <c r="A741" i="1"/>
  <c r="A707" i="98" s="1"/>
  <c r="A742" i="1"/>
  <c r="A708" i="98" s="1"/>
  <c r="A743" i="1"/>
  <c r="A709" i="98" s="1"/>
  <c r="C741" i="1"/>
  <c r="C707" i="98" s="1"/>
  <c r="C742" i="1"/>
  <c r="C708" i="98" s="1"/>
  <c r="C743" i="1"/>
  <c r="C709" i="98" s="1"/>
  <c r="D741" i="1"/>
  <c r="D707" i="98" s="1"/>
  <c r="D742" i="1"/>
  <c r="D708" i="98" s="1"/>
  <c r="D743" i="1"/>
  <c r="D709" i="98" s="1"/>
  <c r="K741" i="1"/>
  <c r="K707" i="98" s="1"/>
  <c r="K742" i="1"/>
  <c r="K708" i="98" s="1"/>
  <c r="K743" i="1"/>
  <c r="K709" i="98" s="1"/>
  <c r="M741" i="1"/>
  <c r="M707" i="98" s="1"/>
  <c r="M742" i="1"/>
  <c r="M708" i="98" s="1"/>
  <c r="M743" i="1"/>
  <c r="M709" i="98" s="1"/>
  <c r="N741" i="1"/>
  <c r="N707" i="98" s="1"/>
  <c r="N742" i="1"/>
  <c r="N708" i="98" s="1"/>
  <c r="N743" i="1"/>
  <c r="N709" i="98" s="1"/>
  <c r="P741" i="1"/>
  <c r="P707" i="98" s="1"/>
  <c r="P742" i="1"/>
  <c r="P708" i="98" s="1"/>
  <c r="P743" i="1"/>
  <c r="P709" i="98" s="1"/>
  <c r="A736" i="1"/>
  <c r="A702" i="98" s="1"/>
  <c r="A737" i="1"/>
  <c r="A703" i="98" s="1"/>
  <c r="A738" i="1"/>
  <c r="A704" i="98" s="1"/>
  <c r="A739" i="1"/>
  <c r="A705" i="98" s="1"/>
  <c r="A740" i="1"/>
  <c r="A706" i="98" s="1"/>
  <c r="C736" i="1"/>
  <c r="C702" i="98" s="1"/>
  <c r="C737" i="1"/>
  <c r="C703" i="98" s="1"/>
  <c r="C738" i="1"/>
  <c r="C704" i="98" s="1"/>
  <c r="C739" i="1"/>
  <c r="C705" i="98" s="1"/>
  <c r="C740" i="1"/>
  <c r="C706" i="98" s="1"/>
  <c r="D736" i="1"/>
  <c r="D702" i="98" s="1"/>
  <c r="D737" i="1"/>
  <c r="D703" i="98" s="1"/>
  <c r="D738" i="1"/>
  <c r="D704" i="98" s="1"/>
  <c r="D739" i="1"/>
  <c r="D705" i="98" s="1"/>
  <c r="D740" i="1"/>
  <c r="D706" i="98" s="1"/>
  <c r="K736" i="1"/>
  <c r="K702" i="98" s="1"/>
  <c r="K737" i="1"/>
  <c r="K703" i="98" s="1"/>
  <c r="K738" i="1"/>
  <c r="K704" i="98" s="1"/>
  <c r="K739" i="1"/>
  <c r="K705" i="98" s="1"/>
  <c r="K740" i="1"/>
  <c r="K706" i="98" s="1"/>
  <c r="M736" i="1"/>
  <c r="M702" i="98" s="1"/>
  <c r="M737" i="1"/>
  <c r="M703" i="98" s="1"/>
  <c r="M738" i="1"/>
  <c r="M704" i="98" s="1"/>
  <c r="M739" i="1"/>
  <c r="M705" i="98" s="1"/>
  <c r="M740" i="1"/>
  <c r="M706" i="98" s="1"/>
  <c r="N736" i="1"/>
  <c r="N702" i="98" s="1"/>
  <c r="N737" i="1"/>
  <c r="N703" i="98" s="1"/>
  <c r="N738" i="1"/>
  <c r="N704" i="98" s="1"/>
  <c r="N739" i="1"/>
  <c r="N705" i="98" s="1"/>
  <c r="N740" i="1"/>
  <c r="N706" i="98" s="1"/>
  <c r="P736" i="1"/>
  <c r="P702" i="98" s="1"/>
  <c r="P737" i="1"/>
  <c r="P703" i="98" s="1"/>
  <c r="P738" i="1"/>
  <c r="P704" i="98" s="1"/>
  <c r="P739" i="1"/>
  <c r="P705" i="98" s="1"/>
  <c r="P740" i="1"/>
  <c r="P706" i="98" s="1"/>
  <c r="A734" i="1"/>
  <c r="A700" i="98" s="1"/>
  <c r="A735" i="1"/>
  <c r="A701" i="98" s="1"/>
  <c r="C734" i="1"/>
  <c r="C700" i="98" s="1"/>
  <c r="C735" i="1"/>
  <c r="C701" i="98" s="1"/>
  <c r="D734" i="1"/>
  <c r="D700" i="98" s="1"/>
  <c r="D735" i="1"/>
  <c r="D701" i="98" s="1"/>
  <c r="K734" i="1"/>
  <c r="K700" i="98" s="1"/>
  <c r="K735" i="1"/>
  <c r="K701" i="98" s="1"/>
  <c r="M734" i="1"/>
  <c r="M700" i="98" s="1"/>
  <c r="M735" i="1"/>
  <c r="M701" i="98" s="1"/>
  <c r="N734" i="1"/>
  <c r="N700" i="98" s="1"/>
  <c r="N735" i="1"/>
  <c r="N701" i="98" s="1"/>
  <c r="P734" i="1"/>
  <c r="P700" i="98" s="1"/>
  <c r="P735" i="1"/>
  <c r="P701" i="98" s="1"/>
  <c r="A733" i="1"/>
  <c r="A699" i="98" s="1"/>
  <c r="C733" i="1"/>
  <c r="C699" i="98" s="1"/>
  <c r="D733" i="1"/>
  <c r="D699" i="98" s="1"/>
  <c r="K733" i="1"/>
  <c r="K699" i="98" s="1"/>
  <c r="M733" i="1"/>
  <c r="M699" i="98" s="1"/>
  <c r="N733" i="1"/>
  <c r="N699" i="98" s="1"/>
  <c r="P733" i="1"/>
  <c r="P699" i="98" s="1"/>
  <c r="A732" i="1"/>
  <c r="A698" i="98" s="1"/>
  <c r="C732" i="1"/>
  <c r="C698" i="98" s="1"/>
  <c r="D732" i="1"/>
  <c r="D698" i="98" s="1"/>
  <c r="K732" i="1"/>
  <c r="K698" i="98" s="1"/>
  <c r="M732" i="1"/>
  <c r="M698" i="98" s="1"/>
  <c r="N732" i="1"/>
  <c r="N698" i="98" s="1"/>
  <c r="P732" i="1"/>
  <c r="P698" i="98" s="1"/>
  <c r="A730" i="1"/>
  <c r="A696" i="98" s="1"/>
  <c r="A731" i="1"/>
  <c r="A697" i="98" s="1"/>
  <c r="C730" i="1"/>
  <c r="C696" i="98" s="1"/>
  <c r="C731" i="1"/>
  <c r="C697" i="98" s="1"/>
  <c r="D730" i="1"/>
  <c r="D696" i="98" s="1"/>
  <c r="D731" i="1"/>
  <c r="D697" i="98" s="1"/>
  <c r="K730" i="1"/>
  <c r="K696" i="98" s="1"/>
  <c r="K731" i="1"/>
  <c r="K697" i="98" s="1"/>
  <c r="M730" i="1"/>
  <c r="M696" i="98" s="1"/>
  <c r="M731" i="1"/>
  <c r="M697" i="98" s="1"/>
  <c r="N730" i="1"/>
  <c r="N696" i="98" s="1"/>
  <c r="N731" i="1"/>
  <c r="N697" i="98" s="1"/>
  <c r="P730" i="1"/>
  <c r="P696" i="98" s="1"/>
  <c r="P731" i="1"/>
  <c r="P697" i="98" s="1"/>
  <c r="A744" i="1"/>
  <c r="A710" i="98" s="1"/>
  <c r="A745" i="1"/>
  <c r="A711" i="98" s="1"/>
  <c r="A746" i="1"/>
  <c r="A712" i="98" s="1"/>
  <c r="A747" i="1"/>
  <c r="A713" i="98" s="1"/>
  <c r="C744" i="1"/>
  <c r="C710" i="98" s="1"/>
  <c r="C745" i="1"/>
  <c r="C711" i="98" s="1"/>
  <c r="C746" i="1"/>
  <c r="C712" i="98" s="1"/>
  <c r="C747" i="1"/>
  <c r="C713" i="98" s="1"/>
  <c r="D744" i="1"/>
  <c r="D710" i="98" s="1"/>
  <c r="D745" i="1"/>
  <c r="D711" i="98" s="1"/>
  <c r="D746" i="1"/>
  <c r="D712" i="98" s="1"/>
  <c r="D747" i="1"/>
  <c r="D713" i="98" s="1"/>
  <c r="K744" i="1"/>
  <c r="K710" i="98" s="1"/>
  <c r="K745" i="1"/>
  <c r="K711" i="98" s="1"/>
  <c r="K746" i="1"/>
  <c r="K712" i="98" s="1"/>
  <c r="K747" i="1"/>
  <c r="K713" i="98" s="1"/>
  <c r="M744" i="1"/>
  <c r="M710" i="98" s="1"/>
  <c r="M745" i="1"/>
  <c r="M711" i="98" s="1"/>
  <c r="M746" i="1"/>
  <c r="M712" i="98" s="1"/>
  <c r="M747" i="1"/>
  <c r="M713" i="98" s="1"/>
  <c r="N744" i="1"/>
  <c r="N710" i="98" s="1"/>
  <c r="N745" i="1"/>
  <c r="N711" i="98" s="1"/>
  <c r="N746" i="1"/>
  <c r="N712" i="98" s="1"/>
  <c r="N747" i="1"/>
  <c r="N713" i="98" s="1"/>
  <c r="P744" i="1"/>
  <c r="P710" i="98" s="1"/>
  <c r="P745" i="1"/>
  <c r="P711" i="98" s="1"/>
  <c r="P746" i="1"/>
  <c r="P712" i="98" s="1"/>
  <c r="P747" i="1"/>
  <c r="P713" i="98" s="1"/>
  <c r="A729" i="1"/>
  <c r="A695" i="98" s="1"/>
  <c r="C729" i="1"/>
  <c r="C695" i="98" s="1"/>
  <c r="D729" i="1"/>
  <c r="D695" i="98" s="1"/>
  <c r="K729" i="1"/>
  <c r="K695" i="98" s="1"/>
  <c r="M729" i="1"/>
  <c r="M695" i="98" s="1"/>
  <c r="N729" i="1"/>
  <c r="N695" i="98" s="1"/>
  <c r="P729" i="1"/>
  <c r="P695" i="98" s="1"/>
  <c r="A706" i="1"/>
  <c r="A672" i="98" s="1"/>
  <c r="A707" i="1"/>
  <c r="A673" i="98" s="1"/>
  <c r="A708" i="1"/>
  <c r="A674" i="98" s="1"/>
  <c r="A709" i="1"/>
  <c r="A675" i="98" s="1"/>
  <c r="A710" i="1"/>
  <c r="A676" i="98" s="1"/>
  <c r="A711" i="1"/>
  <c r="A677" i="98" s="1"/>
  <c r="A712" i="1"/>
  <c r="A678" i="98" s="1"/>
  <c r="A713" i="1"/>
  <c r="A679" i="98" s="1"/>
  <c r="A714" i="1"/>
  <c r="A680" i="98" s="1"/>
  <c r="A715" i="1"/>
  <c r="A681" i="98" s="1"/>
  <c r="A716" i="1"/>
  <c r="A682" i="98" s="1"/>
  <c r="C706" i="1"/>
  <c r="C672" i="98" s="1"/>
  <c r="C707" i="1"/>
  <c r="C673" i="98" s="1"/>
  <c r="C708" i="1"/>
  <c r="C674" i="98" s="1"/>
  <c r="C709" i="1"/>
  <c r="C675" i="98" s="1"/>
  <c r="C710" i="1"/>
  <c r="C676" i="98" s="1"/>
  <c r="C711" i="1"/>
  <c r="C677" i="98" s="1"/>
  <c r="C712" i="1"/>
  <c r="C678" i="98" s="1"/>
  <c r="C713" i="1"/>
  <c r="C679" i="98" s="1"/>
  <c r="C714" i="1"/>
  <c r="C680" i="98" s="1"/>
  <c r="C715" i="1"/>
  <c r="C681" i="98" s="1"/>
  <c r="C716" i="1"/>
  <c r="C682" i="98" s="1"/>
  <c r="D706" i="1"/>
  <c r="D672" i="98" s="1"/>
  <c r="D707" i="1"/>
  <c r="D673" i="98" s="1"/>
  <c r="D708" i="1"/>
  <c r="D674" i="98" s="1"/>
  <c r="D709" i="1"/>
  <c r="D675" i="98" s="1"/>
  <c r="D710" i="1"/>
  <c r="D676" i="98" s="1"/>
  <c r="D711" i="1"/>
  <c r="D677" i="98" s="1"/>
  <c r="D712" i="1"/>
  <c r="D678" i="98" s="1"/>
  <c r="D713" i="1"/>
  <c r="D679" i="98" s="1"/>
  <c r="D714" i="1"/>
  <c r="D680" i="98" s="1"/>
  <c r="D715" i="1"/>
  <c r="D681" i="98" s="1"/>
  <c r="D716" i="1"/>
  <c r="D682" i="98" s="1"/>
  <c r="K706" i="1"/>
  <c r="K672" i="98" s="1"/>
  <c r="K707" i="1"/>
  <c r="K673" i="98" s="1"/>
  <c r="K708" i="1"/>
  <c r="K674" i="98" s="1"/>
  <c r="K709" i="1"/>
  <c r="K675" i="98" s="1"/>
  <c r="K710" i="1"/>
  <c r="K676" i="98" s="1"/>
  <c r="K711" i="1"/>
  <c r="K677" i="98" s="1"/>
  <c r="K712" i="1"/>
  <c r="K678" i="98" s="1"/>
  <c r="K713" i="1"/>
  <c r="K679" i="98" s="1"/>
  <c r="K714" i="1"/>
  <c r="K680" i="98" s="1"/>
  <c r="K715" i="1"/>
  <c r="K681" i="98" s="1"/>
  <c r="K716" i="1"/>
  <c r="K682" i="98" s="1"/>
  <c r="M706" i="1"/>
  <c r="M672" i="98" s="1"/>
  <c r="M707" i="1"/>
  <c r="M673" i="98" s="1"/>
  <c r="M708" i="1"/>
  <c r="M674" i="98" s="1"/>
  <c r="M709" i="1"/>
  <c r="M675" i="98" s="1"/>
  <c r="M710" i="1"/>
  <c r="M676" i="98" s="1"/>
  <c r="M711" i="1"/>
  <c r="M677" i="98" s="1"/>
  <c r="M712" i="1"/>
  <c r="M678" i="98" s="1"/>
  <c r="M713" i="1"/>
  <c r="M679" i="98" s="1"/>
  <c r="M714" i="1"/>
  <c r="M680" i="98" s="1"/>
  <c r="M715" i="1"/>
  <c r="M681" i="98" s="1"/>
  <c r="M716" i="1"/>
  <c r="M682" i="98" s="1"/>
  <c r="N706" i="1"/>
  <c r="N672" i="98" s="1"/>
  <c r="N707" i="1"/>
  <c r="N673" i="98" s="1"/>
  <c r="N708" i="1"/>
  <c r="N674" i="98" s="1"/>
  <c r="N709" i="1"/>
  <c r="N675" i="98" s="1"/>
  <c r="N710" i="1"/>
  <c r="N676" i="98" s="1"/>
  <c r="N711" i="1"/>
  <c r="N677" i="98" s="1"/>
  <c r="N712" i="1"/>
  <c r="N678" i="98" s="1"/>
  <c r="N713" i="1"/>
  <c r="N679" i="98" s="1"/>
  <c r="N714" i="1"/>
  <c r="N680" i="98" s="1"/>
  <c r="N715" i="1"/>
  <c r="N681" i="98" s="1"/>
  <c r="N716" i="1"/>
  <c r="N682" i="98" s="1"/>
  <c r="P706" i="1"/>
  <c r="P672" i="98" s="1"/>
  <c r="P707" i="1"/>
  <c r="P673" i="98" s="1"/>
  <c r="P708" i="1"/>
  <c r="P674" i="98" s="1"/>
  <c r="P709" i="1"/>
  <c r="P675" i="98" s="1"/>
  <c r="P710" i="1"/>
  <c r="P676" i="98" s="1"/>
  <c r="P711" i="1"/>
  <c r="P677" i="98" s="1"/>
  <c r="P712" i="1"/>
  <c r="P678" i="98" s="1"/>
  <c r="P713" i="1"/>
  <c r="P679" i="98" s="1"/>
  <c r="P714" i="1"/>
  <c r="P680" i="98" s="1"/>
  <c r="P715" i="1"/>
  <c r="P681" i="98" s="1"/>
  <c r="P716" i="1"/>
  <c r="P682" i="98" s="1"/>
  <c r="A728" i="1"/>
  <c r="A694" i="98" s="1"/>
  <c r="C728" i="1"/>
  <c r="C694" i="98" s="1"/>
  <c r="D728" i="1"/>
  <c r="D694" i="98" s="1"/>
  <c r="K728" i="1"/>
  <c r="K694" i="98" s="1"/>
  <c r="M728" i="1"/>
  <c r="M694" i="98" s="1"/>
  <c r="N728" i="1"/>
  <c r="N694" i="98" s="1"/>
  <c r="P728" i="1"/>
  <c r="P694" i="98" s="1"/>
  <c r="A719" i="1"/>
  <c r="A685" i="98" s="1"/>
  <c r="A720" i="1"/>
  <c r="A686" i="98" s="1"/>
  <c r="A721" i="1"/>
  <c r="A687" i="98" s="1"/>
  <c r="A722" i="1"/>
  <c r="A688" i="98" s="1"/>
  <c r="A723" i="1"/>
  <c r="A689" i="98" s="1"/>
  <c r="A724" i="1"/>
  <c r="A690" i="98" s="1"/>
  <c r="A725" i="1"/>
  <c r="A691" i="98" s="1"/>
  <c r="A726" i="1"/>
  <c r="A692" i="98" s="1"/>
  <c r="A727" i="1"/>
  <c r="A693" i="98" s="1"/>
  <c r="C719" i="1"/>
  <c r="C685" i="98" s="1"/>
  <c r="C720" i="1"/>
  <c r="C686" i="98" s="1"/>
  <c r="C721" i="1"/>
  <c r="C687" i="98" s="1"/>
  <c r="C722" i="1"/>
  <c r="C688" i="98" s="1"/>
  <c r="C723" i="1"/>
  <c r="C689" i="98" s="1"/>
  <c r="C724" i="1"/>
  <c r="C690" i="98" s="1"/>
  <c r="C725" i="1"/>
  <c r="C691" i="98" s="1"/>
  <c r="C726" i="1"/>
  <c r="C692" i="98" s="1"/>
  <c r="C727" i="1"/>
  <c r="C693" i="98" s="1"/>
  <c r="D719" i="1"/>
  <c r="D685" i="98" s="1"/>
  <c r="D720" i="1"/>
  <c r="D686" i="98" s="1"/>
  <c r="D721" i="1"/>
  <c r="D687" i="98" s="1"/>
  <c r="D722" i="1"/>
  <c r="D688" i="98" s="1"/>
  <c r="D723" i="1"/>
  <c r="D689" i="98" s="1"/>
  <c r="D724" i="1"/>
  <c r="D690" i="98" s="1"/>
  <c r="D725" i="1"/>
  <c r="D691" i="98" s="1"/>
  <c r="D726" i="1"/>
  <c r="D692" i="98" s="1"/>
  <c r="D727" i="1"/>
  <c r="D693" i="98" s="1"/>
  <c r="K719" i="1"/>
  <c r="K685" i="98" s="1"/>
  <c r="K720" i="1"/>
  <c r="K686" i="98" s="1"/>
  <c r="K721" i="1"/>
  <c r="K687" i="98" s="1"/>
  <c r="K722" i="1"/>
  <c r="K688" i="98" s="1"/>
  <c r="K723" i="1"/>
  <c r="K689" i="98" s="1"/>
  <c r="K724" i="1"/>
  <c r="K690" i="98" s="1"/>
  <c r="K725" i="1"/>
  <c r="K691" i="98" s="1"/>
  <c r="K726" i="1"/>
  <c r="K692" i="98" s="1"/>
  <c r="K727" i="1"/>
  <c r="K693" i="98" s="1"/>
  <c r="M719" i="1"/>
  <c r="M685" i="98" s="1"/>
  <c r="M720" i="1"/>
  <c r="M686" i="98" s="1"/>
  <c r="M721" i="1"/>
  <c r="M687" i="98" s="1"/>
  <c r="M722" i="1"/>
  <c r="M688" i="98" s="1"/>
  <c r="M723" i="1"/>
  <c r="M689" i="98" s="1"/>
  <c r="M724" i="1"/>
  <c r="M690" i="98" s="1"/>
  <c r="M725" i="1"/>
  <c r="M691" i="98" s="1"/>
  <c r="M726" i="1"/>
  <c r="M692" i="98" s="1"/>
  <c r="M727" i="1"/>
  <c r="M693" i="98" s="1"/>
  <c r="N719" i="1"/>
  <c r="N685" i="98" s="1"/>
  <c r="N720" i="1"/>
  <c r="N686" i="98" s="1"/>
  <c r="N721" i="1"/>
  <c r="N687" i="98" s="1"/>
  <c r="N722" i="1"/>
  <c r="N688" i="98" s="1"/>
  <c r="N723" i="1"/>
  <c r="N689" i="98" s="1"/>
  <c r="N724" i="1"/>
  <c r="N690" i="98" s="1"/>
  <c r="N725" i="1"/>
  <c r="N691" i="98" s="1"/>
  <c r="N726" i="1"/>
  <c r="N692" i="98" s="1"/>
  <c r="N727" i="1"/>
  <c r="N693" i="98" s="1"/>
  <c r="P719" i="1"/>
  <c r="P685" i="98" s="1"/>
  <c r="P720" i="1"/>
  <c r="P686" i="98" s="1"/>
  <c r="P721" i="1"/>
  <c r="P687" i="98" s="1"/>
  <c r="P722" i="1"/>
  <c r="P688" i="98" s="1"/>
  <c r="P723" i="1"/>
  <c r="P689" i="98" s="1"/>
  <c r="P724" i="1"/>
  <c r="P690" i="98" s="1"/>
  <c r="P725" i="1"/>
  <c r="P691" i="98" s="1"/>
  <c r="P726" i="1"/>
  <c r="P692" i="98" s="1"/>
  <c r="P727" i="1"/>
  <c r="P693" i="98" s="1"/>
  <c r="A718" i="1"/>
  <c r="A684" i="98" s="1"/>
  <c r="C718" i="1"/>
  <c r="C684" i="98" s="1"/>
  <c r="D718" i="1"/>
  <c r="D684" i="98" s="1"/>
  <c r="K718" i="1"/>
  <c r="K684" i="98" s="1"/>
  <c r="M718" i="1"/>
  <c r="M684" i="98" s="1"/>
  <c r="N718" i="1"/>
  <c r="N684" i="98" s="1"/>
  <c r="P718" i="1"/>
  <c r="P684" i="98" s="1"/>
  <c r="E716" i="1" l="1"/>
  <c r="E682" i="98" s="1"/>
  <c r="E760" i="1"/>
  <c r="E725" i="98" s="1"/>
  <c r="E763" i="1"/>
  <c r="E728" i="98" s="1"/>
  <c r="E804" i="1"/>
  <c r="E768" i="98" s="1"/>
  <c r="E842" i="1"/>
  <c r="E806" i="98" s="1"/>
  <c r="E831" i="1"/>
  <c r="E795" i="98" s="1"/>
  <c r="E718" i="1"/>
  <c r="E684" i="98" s="1"/>
  <c r="E726" i="1"/>
  <c r="E692" i="98" s="1"/>
  <c r="E715" i="1"/>
  <c r="E681" i="98" s="1"/>
  <c r="E707" i="1"/>
  <c r="E673" i="98" s="1"/>
  <c r="E747" i="1"/>
  <c r="E713" i="98" s="1"/>
  <c r="E768" i="1"/>
  <c r="E733" i="98" s="1"/>
  <c r="E759" i="1"/>
  <c r="E724" i="98" s="1"/>
  <c r="E817" i="1"/>
  <c r="E781" i="98" s="1"/>
  <c r="E803" i="1"/>
  <c r="E767" i="98" s="1"/>
  <c r="E823" i="1"/>
  <c r="E787" i="98" s="1"/>
  <c r="E841" i="1"/>
  <c r="E805" i="98" s="1"/>
  <c r="E824" i="1"/>
  <c r="E788" i="98" s="1"/>
  <c r="E830" i="1"/>
  <c r="E794" i="98" s="1"/>
  <c r="E836" i="1"/>
  <c r="E800" i="98" s="1"/>
  <c r="E717" i="1"/>
  <c r="E683" i="98" s="1"/>
  <c r="E818" i="1"/>
  <c r="E782" i="98" s="1"/>
  <c r="E825" i="1"/>
  <c r="E789" i="98" s="1"/>
  <c r="E725" i="1"/>
  <c r="E691" i="98" s="1"/>
  <c r="E714" i="1"/>
  <c r="E680" i="98" s="1"/>
  <c r="E706" i="1"/>
  <c r="E672" i="98" s="1"/>
  <c r="E746" i="1"/>
  <c r="E712" i="98" s="1"/>
  <c r="E767" i="1"/>
  <c r="E732" i="98" s="1"/>
  <c r="E773" i="1"/>
  <c r="E738" i="98" s="1"/>
  <c r="E758" i="1"/>
  <c r="E723" i="98" s="1"/>
  <c r="E816" i="1"/>
  <c r="E780" i="98" s="1"/>
  <c r="E802" i="1"/>
  <c r="E766" i="98" s="1"/>
  <c r="E822" i="1"/>
  <c r="E786" i="98" s="1"/>
  <c r="E840" i="1"/>
  <c r="E804" i="98" s="1"/>
  <c r="E827" i="1"/>
  <c r="E791" i="98" s="1"/>
  <c r="E829" i="1"/>
  <c r="E793" i="98" s="1"/>
  <c r="E835" i="1"/>
  <c r="E799" i="98" s="1"/>
  <c r="E839" i="1"/>
  <c r="E803" i="98" s="1"/>
  <c r="E736" i="1"/>
  <c r="E702" i="98" s="1"/>
  <c r="E764" i="1"/>
  <c r="E729" i="98" s="1"/>
  <c r="E757" i="1"/>
  <c r="E722" i="98" s="1"/>
  <c r="E788" i="1"/>
  <c r="E753" i="98" s="1"/>
  <c r="E792" i="1"/>
  <c r="E757" i="98" s="1"/>
  <c r="E815" i="1"/>
  <c r="E779" i="98" s="1"/>
  <c r="E809" i="1"/>
  <c r="E773" i="98" s="1"/>
  <c r="E801" i="1"/>
  <c r="E765" i="98" s="1"/>
  <c r="E828" i="1"/>
  <c r="E792" i="98" s="1"/>
  <c r="E834" i="1"/>
  <c r="E798" i="98" s="1"/>
  <c r="E838" i="1"/>
  <c r="E802" i="98" s="1"/>
  <c r="E769" i="1"/>
  <c r="E734" i="98" s="1"/>
  <c r="E745" i="1"/>
  <c r="E711" i="98" s="1"/>
  <c r="E733" i="1"/>
  <c r="E699" i="98" s="1"/>
  <c r="E766" i="1"/>
  <c r="E731" i="98" s="1"/>
  <c r="E723" i="1"/>
  <c r="E689" i="98" s="1"/>
  <c r="E712" i="1"/>
  <c r="E678" i="98" s="1"/>
  <c r="E744" i="1"/>
  <c r="E710" i="98" s="1"/>
  <c r="E730" i="1"/>
  <c r="E696" i="98" s="1"/>
  <c r="E732" i="1"/>
  <c r="E698" i="98" s="1"/>
  <c r="E740" i="1"/>
  <c r="E706" i="98" s="1"/>
  <c r="E765" i="1"/>
  <c r="E730" i="98" s="1"/>
  <c r="E756" i="1"/>
  <c r="E721" i="98" s="1"/>
  <c r="E775" i="1"/>
  <c r="E740" i="98" s="1"/>
  <c r="E796" i="1"/>
  <c r="E761" i="98" s="1"/>
  <c r="E787" i="1"/>
  <c r="E752" i="98" s="1"/>
  <c r="E791" i="1"/>
  <c r="E756" i="98" s="1"/>
  <c r="E814" i="1"/>
  <c r="E778" i="98" s="1"/>
  <c r="E808" i="1"/>
  <c r="E772" i="98" s="1"/>
  <c r="E800" i="1"/>
  <c r="E764" i="98" s="1"/>
  <c r="E833" i="1"/>
  <c r="E797" i="98" s="1"/>
  <c r="E837" i="1"/>
  <c r="E801" i="98" s="1"/>
  <c r="E719" i="1"/>
  <c r="E685" i="98" s="1"/>
  <c r="E782" i="1"/>
  <c r="E747" i="98" s="1"/>
  <c r="E713" i="1"/>
  <c r="E679" i="98" s="1"/>
  <c r="E731" i="1"/>
  <c r="E697" i="98" s="1"/>
  <c r="E722" i="1"/>
  <c r="E688" i="98" s="1"/>
  <c r="E711" i="1"/>
  <c r="E677" i="98" s="1"/>
  <c r="E739" i="1"/>
  <c r="E705" i="98" s="1"/>
  <c r="E743" i="1"/>
  <c r="E709" i="98" s="1"/>
  <c r="E772" i="1"/>
  <c r="E737" i="98" s="1"/>
  <c r="E755" i="1"/>
  <c r="E720" i="98" s="1"/>
  <c r="E774" i="1"/>
  <c r="E739" i="98" s="1"/>
  <c r="E795" i="1"/>
  <c r="E760" i="98" s="1"/>
  <c r="E779" i="1"/>
  <c r="E744" i="98" s="1"/>
  <c r="E786" i="1"/>
  <c r="E751" i="98" s="1"/>
  <c r="E790" i="1"/>
  <c r="E755" i="98" s="1"/>
  <c r="E813" i="1"/>
  <c r="E777" i="98" s="1"/>
  <c r="E807" i="1"/>
  <c r="E771" i="98" s="1"/>
  <c r="E832" i="1"/>
  <c r="E796" i="98" s="1"/>
  <c r="E810" i="1"/>
  <c r="E774" i="98" s="1"/>
  <c r="E708" i="1"/>
  <c r="E674" i="98" s="1"/>
  <c r="E783" i="1"/>
  <c r="E748" i="98" s="1"/>
  <c r="E724" i="1"/>
  <c r="E690" i="98" s="1"/>
  <c r="E729" i="1"/>
  <c r="E695" i="98" s="1"/>
  <c r="E721" i="1"/>
  <c r="E687" i="98" s="1"/>
  <c r="E710" i="1"/>
  <c r="E676" i="98" s="1"/>
  <c r="E738" i="1"/>
  <c r="E704" i="98" s="1"/>
  <c r="E742" i="1"/>
  <c r="E708" i="98" s="1"/>
  <c r="E771" i="1"/>
  <c r="E736" i="98" s="1"/>
  <c r="E762" i="1"/>
  <c r="E727" i="98" s="1"/>
  <c r="E754" i="1"/>
  <c r="E719" i="98" s="1"/>
  <c r="E794" i="1"/>
  <c r="E759" i="98" s="1"/>
  <c r="E777" i="1"/>
  <c r="E742" i="98" s="1"/>
  <c r="E778" i="1"/>
  <c r="E743" i="98" s="1"/>
  <c r="E780" i="1"/>
  <c r="E745" i="98" s="1"/>
  <c r="E785" i="1"/>
  <c r="E750" i="98" s="1"/>
  <c r="E789" i="1"/>
  <c r="E754" i="98" s="1"/>
  <c r="E820" i="1"/>
  <c r="E784" i="98" s="1"/>
  <c r="E812" i="1"/>
  <c r="E776" i="98" s="1"/>
  <c r="E806" i="1"/>
  <c r="E770" i="98" s="1"/>
  <c r="E844" i="1"/>
  <c r="E808" i="98" s="1"/>
  <c r="E727" i="1"/>
  <c r="E693" i="98" s="1"/>
  <c r="E734" i="1"/>
  <c r="E700" i="98" s="1"/>
  <c r="E720" i="1"/>
  <c r="E686" i="98" s="1"/>
  <c r="E728" i="1"/>
  <c r="E694" i="98" s="1"/>
  <c r="E709" i="1"/>
  <c r="E675" i="98" s="1"/>
  <c r="E735" i="1"/>
  <c r="E701" i="98" s="1"/>
  <c r="E737" i="1"/>
  <c r="E703" i="98" s="1"/>
  <c r="E741" i="1"/>
  <c r="E707" i="98" s="1"/>
  <c r="E770" i="1"/>
  <c r="E735" i="98" s="1"/>
  <c r="E761" i="1"/>
  <c r="E726" i="98" s="1"/>
  <c r="E753" i="1"/>
  <c r="E718" i="98" s="1"/>
  <c r="E793" i="1"/>
  <c r="E758" i="98" s="1"/>
  <c r="E776" i="1"/>
  <c r="E741" i="98" s="1"/>
  <c r="E781" i="1"/>
  <c r="E746" i="98" s="1"/>
  <c r="E784" i="1"/>
  <c r="E749" i="98" s="1"/>
  <c r="E819" i="1"/>
  <c r="E783" i="98" s="1"/>
  <c r="E811" i="1"/>
  <c r="E775" i="98" s="1"/>
  <c r="E821" i="1"/>
  <c r="E785" i="98" s="1"/>
  <c r="E805" i="1"/>
  <c r="E769" i="98" s="1"/>
  <c r="E843" i="1"/>
  <c r="E807" i="98" s="1"/>
  <c r="E826" i="1"/>
  <c r="E790" i="98" s="1"/>
  <c r="A27" i="9"/>
  <c r="C27" i="9"/>
  <c r="D27" i="9"/>
  <c r="E27" i="9"/>
  <c r="M27" i="9"/>
  <c r="P27" i="9"/>
  <c r="R27" i="9"/>
  <c r="S27" i="9"/>
  <c r="U27" i="9"/>
  <c r="A906" i="1"/>
  <c r="A23" i="96" s="1"/>
  <c r="C906" i="1"/>
  <c r="D906" i="1"/>
  <c r="D23" i="96" s="1"/>
  <c r="K906" i="1"/>
  <c r="K23" i="96" s="1"/>
  <c r="M906" i="1"/>
  <c r="M23" i="96" s="1"/>
  <c r="N906" i="1"/>
  <c r="N23" i="96" s="1"/>
  <c r="P906" i="1"/>
  <c r="P23" i="96" s="1"/>
  <c r="A387" i="1"/>
  <c r="A14" i="96" s="1"/>
  <c r="C387" i="1"/>
  <c r="D387" i="1"/>
  <c r="D14" i="96" s="1"/>
  <c r="K387" i="1"/>
  <c r="K14" i="96" s="1"/>
  <c r="M387" i="1"/>
  <c r="M14" i="96" s="1"/>
  <c r="N387" i="1"/>
  <c r="N14" i="96" s="1"/>
  <c r="P387" i="1"/>
  <c r="P14" i="96" s="1"/>
  <c r="A1076" i="1"/>
  <c r="A1032" i="98" s="1"/>
  <c r="A1077" i="1"/>
  <c r="A1033" i="98" s="1"/>
  <c r="C1076" i="1"/>
  <c r="C1032" i="98" s="1"/>
  <c r="C1077" i="1"/>
  <c r="C1033" i="98" s="1"/>
  <c r="D1076" i="1"/>
  <c r="D1032" i="98" s="1"/>
  <c r="D1077" i="1"/>
  <c r="D1033" i="98" s="1"/>
  <c r="K1076" i="1"/>
  <c r="K1032" i="98" s="1"/>
  <c r="K1077" i="1"/>
  <c r="K1033" i="98" s="1"/>
  <c r="M1076" i="1"/>
  <c r="M1032" i="98" s="1"/>
  <c r="M1077" i="1"/>
  <c r="M1033" i="98" s="1"/>
  <c r="N1076" i="1"/>
  <c r="N1032" i="98" s="1"/>
  <c r="N1077" i="1"/>
  <c r="N1033" i="98" s="1"/>
  <c r="P1076" i="1"/>
  <c r="P1032" i="98" s="1"/>
  <c r="P1077" i="1"/>
  <c r="P1033" i="98" s="1"/>
  <c r="A1074" i="1"/>
  <c r="A1030" i="98" s="1"/>
  <c r="A1075" i="1"/>
  <c r="A1031" i="98" s="1"/>
  <c r="C1074" i="1"/>
  <c r="C1030" i="98" s="1"/>
  <c r="C1075" i="1"/>
  <c r="C1031" i="98" s="1"/>
  <c r="D1074" i="1"/>
  <c r="D1030" i="98" s="1"/>
  <c r="D1075" i="1"/>
  <c r="D1031" i="98" s="1"/>
  <c r="K1074" i="1"/>
  <c r="K1030" i="98" s="1"/>
  <c r="K1075" i="1"/>
  <c r="K1031" i="98" s="1"/>
  <c r="M1074" i="1"/>
  <c r="M1030" i="98" s="1"/>
  <c r="M1075" i="1"/>
  <c r="M1031" i="98" s="1"/>
  <c r="N1074" i="1"/>
  <c r="N1030" i="98" s="1"/>
  <c r="N1075" i="1"/>
  <c r="N1031" i="98" s="1"/>
  <c r="P1074" i="1"/>
  <c r="P1030" i="98" s="1"/>
  <c r="P1075" i="1"/>
  <c r="P1031" i="98" s="1"/>
  <c r="A1073" i="1"/>
  <c r="A1029" i="98" s="1"/>
  <c r="C1073" i="1"/>
  <c r="C1029" i="98" s="1"/>
  <c r="D1073" i="1"/>
  <c r="D1029" i="98" s="1"/>
  <c r="K1073" i="1"/>
  <c r="K1029" i="98" s="1"/>
  <c r="M1073" i="1"/>
  <c r="M1029" i="98" s="1"/>
  <c r="N1073" i="1"/>
  <c r="N1029" i="98" s="1"/>
  <c r="P1073" i="1"/>
  <c r="P1029" i="98" s="1"/>
  <c r="A1072" i="1"/>
  <c r="A1028" i="98" s="1"/>
  <c r="C1072" i="1"/>
  <c r="C1028" i="98" s="1"/>
  <c r="D1072" i="1"/>
  <c r="D1028" i="98" s="1"/>
  <c r="K1072" i="1"/>
  <c r="K1028" i="98" s="1"/>
  <c r="M1072" i="1"/>
  <c r="M1028" i="98" s="1"/>
  <c r="N1072" i="1"/>
  <c r="N1028" i="98" s="1"/>
  <c r="P1072" i="1"/>
  <c r="P1028" i="98" s="1"/>
  <c r="A1069" i="1"/>
  <c r="A1025" i="98" s="1"/>
  <c r="A1070" i="1"/>
  <c r="A1026" i="98" s="1"/>
  <c r="A1071" i="1"/>
  <c r="A1027" i="98" s="1"/>
  <c r="C1069" i="1"/>
  <c r="C1025" i="98" s="1"/>
  <c r="C1070" i="1"/>
  <c r="C1026" i="98" s="1"/>
  <c r="C1071" i="1"/>
  <c r="C1027" i="98" s="1"/>
  <c r="D1069" i="1"/>
  <c r="D1025" i="98" s="1"/>
  <c r="D1070" i="1"/>
  <c r="D1026" i="98" s="1"/>
  <c r="D1071" i="1"/>
  <c r="D1027" i="98" s="1"/>
  <c r="K1069" i="1"/>
  <c r="K1025" i="98" s="1"/>
  <c r="K1070" i="1"/>
  <c r="K1026" i="98" s="1"/>
  <c r="K1071" i="1"/>
  <c r="K1027" i="98" s="1"/>
  <c r="M1069" i="1"/>
  <c r="M1025" i="98" s="1"/>
  <c r="M1070" i="1"/>
  <c r="M1026" i="98" s="1"/>
  <c r="M1071" i="1"/>
  <c r="M1027" i="98" s="1"/>
  <c r="N1069" i="1"/>
  <c r="N1025" i="98" s="1"/>
  <c r="N1070" i="1"/>
  <c r="N1026" i="98" s="1"/>
  <c r="N1071" i="1"/>
  <c r="N1027" i="98" s="1"/>
  <c r="P1069" i="1"/>
  <c r="P1025" i="98" s="1"/>
  <c r="P1070" i="1"/>
  <c r="P1026" i="98" s="1"/>
  <c r="P1071" i="1"/>
  <c r="P1027" i="98" s="1"/>
  <c r="A1068" i="1"/>
  <c r="A1024" i="98" s="1"/>
  <c r="C1068" i="1"/>
  <c r="C1024" i="98" s="1"/>
  <c r="D1068" i="1"/>
  <c r="D1024" i="98" s="1"/>
  <c r="K1068" i="1"/>
  <c r="K1024" i="98" s="1"/>
  <c r="M1068" i="1"/>
  <c r="M1024" i="98" s="1"/>
  <c r="N1068" i="1"/>
  <c r="N1024" i="98" s="1"/>
  <c r="P1068" i="1"/>
  <c r="P1024" i="98" s="1"/>
  <c r="A1078" i="1"/>
  <c r="A1034" i="98" s="1"/>
  <c r="A1079" i="1"/>
  <c r="A1035" i="98" s="1"/>
  <c r="A1080" i="1"/>
  <c r="A1036" i="98" s="1"/>
  <c r="A1081" i="1"/>
  <c r="A1037" i="98" s="1"/>
  <c r="A1082" i="1"/>
  <c r="A1038" i="98" s="1"/>
  <c r="A1067" i="1"/>
  <c r="A1023" i="98" s="1"/>
  <c r="C1078" i="1"/>
  <c r="C1034" i="98" s="1"/>
  <c r="C1079" i="1"/>
  <c r="C1035" i="98" s="1"/>
  <c r="C1080" i="1"/>
  <c r="C1036" i="98" s="1"/>
  <c r="C1081" i="1"/>
  <c r="C1037" i="98" s="1"/>
  <c r="C1082" i="1"/>
  <c r="C1038" i="98" s="1"/>
  <c r="C1067" i="1"/>
  <c r="C1023" i="98" s="1"/>
  <c r="D1078" i="1"/>
  <c r="D1034" i="98" s="1"/>
  <c r="D1079" i="1"/>
  <c r="D1035" i="98" s="1"/>
  <c r="D1080" i="1"/>
  <c r="D1036" i="98" s="1"/>
  <c r="D1081" i="1"/>
  <c r="D1037" i="98" s="1"/>
  <c r="D1082" i="1"/>
  <c r="D1038" i="98" s="1"/>
  <c r="D1067" i="1"/>
  <c r="D1023" i="98" s="1"/>
  <c r="K1078" i="1"/>
  <c r="K1034" i="98" s="1"/>
  <c r="K1079" i="1"/>
  <c r="K1035" i="98" s="1"/>
  <c r="K1080" i="1"/>
  <c r="K1036" i="98" s="1"/>
  <c r="K1081" i="1"/>
  <c r="K1037" i="98" s="1"/>
  <c r="K1082" i="1"/>
  <c r="K1038" i="98" s="1"/>
  <c r="K1067" i="1"/>
  <c r="K1023" i="98" s="1"/>
  <c r="M1078" i="1"/>
  <c r="M1034" i="98" s="1"/>
  <c r="M1079" i="1"/>
  <c r="M1035" i="98" s="1"/>
  <c r="M1080" i="1"/>
  <c r="M1036" i="98" s="1"/>
  <c r="M1081" i="1"/>
  <c r="M1037" i="98" s="1"/>
  <c r="M1082" i="1"/>
  <c r="M1038" i="98" s="1"/>
  <c r="M1067" i="1"/>
  <c r="M1023" i="98" s="1"/>
  <c r="N1078" i="1"/>
  <c r="N1034" i="98" s="1"/>
  <c r="N1079" i="1"/>
  <c r="N1035" i="98" s="1"/>
  <c r="N1080" i="1"/>
  <c r="N1036" i="98" s="1"/>
  <c r="N1081" i="1"/>
  <c r="N1037" i="98" s="1"/>
  <c r="N1082" i="1"/>
  <c r="N1038" i="98" s="1"/>
  <c r="N1067" i="1"/>
  <c r="N1023" i="98" s="1"/>
  <c r="P1078" i="1"/>
  <c r="P1034" i="98" s="1"/>
  <c r="P1079" i="1"/>
  <c r="P1035" i="98" s="1"/>
  <c r="P1080" i="1"/>
  <c r="P1036" i="98" s="1"/>
  <c r="P1081" i="1"/>
  <c r="P1037" i="98" s="1"/>
  <c r="P1082" i="1"/>
  <c r="P1038" i="98" s="1"/>
  <c r="P1067" i="1"/>
  <c r="P1023" i="98" s="1"/>
  <c r="A1063" i="1"/>
  <c r="A1019" i="98" s="1"/>
  <c r="A1064" i="1"/>
  <c r="A1020" i="98" s="1"/>
  <c r="A1065" i="1"/>
  <c r="A1021" i="98" s="1"/>
  <c r="A1066" i="1"/>
  <c r="A1022" i="98" s="1"/>
  <c r="C1063" i="1"/>
  <c r="C1019" i="98" s="1"/>
  <c r="C1064" i="1"/>
  <c r="C1020" i="98" s="1"/>
  <c r="C1065" i="1"/>
  <c r="C1021" i="98" s="1"/>
  <c r="C1066" i="1"/>
  <c r="C1022" i="98" s="1"/>
  <c r="D1063" i="1"/>
  <c r="D1019" i="98" s="1"/>
  <c r="D1064" i="1"/>
  <c r="D1020" i="98" s="1"/>
  <c r="D1065" i="1"/>
  <c r="D1021" i="98" s="1"/>
  <c r="D1066" i="1"/>
  <c r="D1022" i="98" s="1"/>
  <c r="K1063" i="1"/>
  <c r="K1019" i="98" s="1"/>
  <c r="K1064" i="1"/>
  <c r="K1020" i="98" s="1"/>
  <c r="K1065" i="1"/>
  <c r="K1021" i="98" s="1"/>
  <c r="K1066" i="1"/>
  <c r="K1022" i="98" s="1"/>
  <c r="M1063" i="1"/>
  <c r="M1019" i="98" s="1"/>
  <c r="M1064" i="1"/>
  <c r="M1020" i="98" s="1"/>
  <c r="M1065" i="1"/>
  <c r="M1021" i="98" s="1"/>
  <c r="M1066" i="1"/>
  <c r="M1022" i="98" s="1"/>
  <c r="N1063" i="1"/>
  <c r="N1019" i="98" s="1"/>
  <c r="N1064" i="1"/>
  <c r="N1020" i="98" s="1"/>
  <c r="N1065" i="1"/>
  <c r="N1021" i="98" s="1"/>
  <c r="N1066" i="1"/>
  <c r="N1022" i="98" s="1"/>
  <c r="P1063" i="1"/>
  <c r="P1019" i="98" s="1"/>
  <c r="P1064" i="1"/>
  <c r="P1020" i="98" s="1"/>
  <c r="P1065" i="1"/>
  <c r="P1021" i="98" s="1"/>
  <c r="P1066" i="1"/>
  <c r="P1022" i="98" s="1"/>
  <c r="A325" i="6"/>
  <c r="A326" i="6"/>
  <c r="A327" i="6"/>
  <c r="C325" i="6"/>
  <c r="E325" i="6" s="1"/>
  <c r="C326" i="6"/>
  <c r="E326" i="6" s="1"/>
  <c r="C327" i="6"/>
  <c r="E327" i="6" s="1"/>
  <c r="D325" i="6"/>
  <c r="D326" i="6"/>
  <c r="D327" i="6"/>
  <c r="K325" i="6"/>
  <c r="N325" i="6" s="1"/>
  <c r="O325" i="6" s="1"/>
  <c r="K326" i="6"/>
  <c r="N326" i="6" s="1"/>
  <c r="O326" i="6" s="1"/>
  <c r="K327" i="6"/>
  <c r="N327" i="6" s="1"/>
  <c r="O327" i="6" s="1"/>
  <c r="A1095" i="1"/>
  <c r="A1051" i="98" s="1"/>
  <c r="C1095" i="1"/>
  <c r="C1051" i="98" s="1"/>
  <c r="D1095" i="1"/>
  <c r="D1051" i="98" s="1"/>
  <c r="K1095" i="1"/>
  <c r="K1051" i="98" s="1"/>
  <c r="M1095" i="1"/>
  <c r="M1051" i="98" s="1"/>
  <c r="N1095" i="1"/>
  <c r="N1051" i="98" s="1"/>
  <c r="P1095" i="1"/>
  <c r="P1051" i="98" s="1"/>
  <c r="A473" i="1"/>
  <c r="A445" i="98" s="1"/>
  <c r="C473" i="1"/>
  <c r="C445" i="98" s="1"/>
  <c r="D473" i="1"/>
  <c r="D445" i="98" s="1"/>
  <c r="K473" i="1"/>
  <c r="K445" i="98" s="1"/>
  <c r="M473" i="1"/>
  <c r="M445" i="98" s="1"/>
  <c r="N473" i="1"/>
  <c r="N445" i="98" s="1"/>
  <c r="P473" i="1"/>
  <c r="P445" i="98" s="1"/>
  <c r="A472" i="1"/>
  <c r="A444" i="98" s="1"/>
  <c r="C472" i="1"/>
  <c r="C444" i="98" s="1"/>
  <c r="D472" i="1"/>
  <c r="D444" i="98" s="1"/>
  <c r="K472" i="1"/>
  <c r="K444" i="98" s="1"/>
  <c r="M472" i="1"/>
  <c r="M444" i="98" s="1"/>
  <c r="N472" i="1"/>
  <c r="N444" i="98" s="1"/>
  <c r="P472" i="1"/>
  <c r="P444" i="98" s="1"/>
  <c r="A470" i="1"/>
  <c r="A442" i="98" s="1"/>
  <c r="C470" i="1"/>
  <c r="C442" i="98" s="1"/>
  <c r="D470" i="1"/>
  <c r="D442" i="98" s="1"/>
  <c r="K470" i="1"/>
  <c r="K442" i="98" s="1"/>
  <c r="M470" i="1"/>
  <c r="M442" i="98" s="1"/>
  <c r="N470" i="1"/>
  <c r="N442" i="98" s="1"/>
  <c r="P470" i="1"/>
  <c r="P442" i="98" s="1"/>
  <c r="A471" i="1"/>
  <c r="A443" i="98" s="1"/>
  <c r="C471" i="1"/>
  <c r="C443" i="98" s="1"/>
  <c r="D471" i="1"/>
  <c r="D443" i="98" s="1"/>
  <c r="K471" i="1"/>
  <c r="K443" i="98" s="1"/>
  <c r="M471" i="1"/>
  <c r="M443" i="98" s="1"/>
  <c r="N471" i="1"/>
  <c r="N443" i="98" s="1"/>
  <c r="P471" i="1"/>
  <c r="P443" i="98" s="1"/>
  <c r="A58" i="5"/>
  <c r="C58" i="5"/>
  <c r="E58" i="5" s="1"/>
  <c r="D58" i="5"/>
  <c r="A322" i="6"/>
  <c r="A323" i="6"/>
  <c r="A324" i="6"/>
  <c r="C322" i="6"/>
  <c r="E322" i="6" s="1"/>
  <c r="C323" i="6"/>
  <c r="E323" i="6" s="1"/>
  <c r="C324" i="6"/>
  <c r="E324" i="6" s="1"/>
  <c r="D322" i="6"/>
  <c r="D323" i="6"/>
  <c r="D324" i="6"/>
  <c r="K322" i="6"/>
  <c r="N322" i="6" s="1"/>
  <c r="O322" i="6" s="1"/>
  <c r="K323" i="6"/>
  <c r="N323" i="6" s="1"/>
  <c r="O323" i="6" s="1"/>
  <c r="K324" i="6"/>
  <c r="N324" i="6" s="1"/>
  <c r="O324" i="6" s="1"/>
  <c r="A577" i="1"/>
  <c r="A545" i="98" s="1"/>
  <c r="C577" i="1"/>
  <c r="C545" i="98" s="1"/>
  <c r="D577" i="1"/>
  <c r="D545" i="98" s="1"/>
  <c r="K577" i="1"/>
  <c r="K545" i="98" s="1"/>
  <c r="M577" i="1"/>
  <c r="M545" i="98" s="1"/>
  <c r="N577" i="1"/>
  <c r="N545" i="98" s="1"/>
  <c r="P577" i="1"/>
  <c r="P545" i="98" s="1"/>
  <c r="A321" i="6"/>
  <c r="C321" i="6"/>
  <c r="E321" i="6" s="1"/>
  <c r="D321" i="6"/>
  <c r="K321" i="6"/>
  <c r="N321" i="6" s="1"/>
  <c r="O321" i="6" s="1"/>
  <c r="A320" i="6"/>
  <c r="C320" i="6"/>
  <c r="E320" i="6" s="1"/>
  <c r="D320" i="6"/>
  <c r="K320" i="6"/>
  <c r="N320" i="6" s="1"/>
  <c r="O320" i="6" s="1"/>
  <c r="A467" i="1"/>
  <c r="A439" i="98" s="1"/>
  <c r="C467" i="1"/>
  <c r="C439" i="98" s="1"/>
  <c r="D467" i="1"/>
  <c r="D439" i="98" s="1"/>
  <c r="K467" i="1"/>
  <c r="K439" i="98" s="1"/>
  <c r="M467" i="1"/>
  <c r="M439" i="98" s="1"/>
  <c r="N467" i="1"/>
  <c r="N439" i="98" s="1"/>
  <c r="P467" i="1"/>
  <c r="P439" i="98" s="1"/>
  <c r="A465" i="1"/>
  <c r="A437" i="98" s="1"/>
  <c r="C465" i="1"/>
  <c r="C437" i="98" s="1"/>
  <c r="D465" i="1"/>
  <c r="D437" i="98" s="1"/>
  <c r="K465" i="1"/>
  <c r="K437" i="98" s="1"/>
  <c r="M465" i="1"/>
  <c r="M437" i="98" s="1"/>
  <c r="N465" i="1"/>
  <c r="N437" i="98" s="1"/>
  <c r="P465" i="1"/>
  <c r="P437" i="98" s="1"/>
  <c r="A464" i="1"/>
  <c r="A436" i="98" s="1"/>
  <c r="C464" i="1"/>
  <c r="C436" i="98" s="1"/>
  <c r="D464" i="1"/>
  <c r="D436" i="98" s="1"/>
  <c r="K464" i="1"/>
  <c r="K436" i="98" s="1"/>
  <c r="M464" i="1"/>
  <c r="M436" i="98" s="1"/>
  <c r="N464" i="1"/>
  <c r="N436" i="98" s="1"/>
  <c r="P464" i="1"/>
  <c r="P436" i="98" s="1"/>
  <c r="A463" i="1"/>
  <c r="A435" i="98" s="1"/>
  <c r="C463" i="1"/>
  <c r="C435" i="98" s="1"/>
  <c r="D463" i="1"/>
  <c r="D435" i="98" s="1"/>
  <c r="K463" i="1"/>
  <c r="K435" i="98" s="1"/>
  <c r="M463" i="1"/>
  <c r="M435" i="98" s="1"/>
  <c r="N463" i="1"/>
  <c r="N435" i="98" s="1"/>
  <c r="P463" i="1"/>
  <c r="P435" i="98" s="1"/>
  <c r="A462" i="1"/>
  <c r="A434" i="98" s="1"/>
  <c r="C462" i="1"/>
  <c r="C434" i="98" s="1"/>
  <c r="D462" i="1"/>
  <c r="D434" i="98" s="1"/>
  <c r="K462" i="1"/>
  <c r="K434" i="98" s="1"/>
  <c r="M462" i="1"/>
  <c r="M434" i="98" s="1"/>
  <c r="N462" i="1"/>
  <c r="N434" i="98" s="1"/>
  <c r="P462" i="1"/>
  <c r="P434" i="98" s="1"/>
  <c r="A461" i="1"/>
  <c r="A433" i="98" s="1"/>
  <c r="C461" i="1"/>
  <c r="C433" i="98" s="1"/>
  <c r="D461" i="1"/>
  <c r="D433" i="98" s="1"/>
  <c r="K461" i="1"/>
  <c r="K433" i="98" s="1"/>
  <c r="M461" i="1"/>
  <c r="M433" i="98" s="1"/>
  <c r="N461" i="1"/>
  <c r="N433" i="98" s="1"/>
  <c r="P461" i="1"/>
  <c r="P433" i="98" s="1"/>
  <c r="A460" i="1"/>
  <c r="A432" i="98" s="1"/>
  <c r="C460" i="1"/>
  <c r="C432" i="98" s="1"/>
  <c r="D460" i="1"/>
  <c r="D432" i="98" s="1"/>
  <c r="K460" i="1"/>
  <c r="K432" i="98" s="1"/>
  <c r="M460" i="1"/>
  <c r="M432" i="98" s="1"/>
  <c r="N460" i="1"/>
  <c r="N432" i="98" s="1"/>
  <c r="P460" i="1"/>
  <c r="P432" i="98" s="1"/>
  <c r="E577" i="1" l="1"/>
  <c r="E545" i="98" s="1"/>
  <c r="E467" i="1"/>
  <c r="E439" i="98" s="1"/>
  <c r="E1076" i="1"/>
  <c r="E1032" i="98" s="1"/>
  <c r="E1095" i="1"/>
  <c r="E1051" i="98" s="1"/>
  <c r="E1067" i="1"/>
  <c r="E1023" i="98" s="1"/>
  <c r="E1075" i="1"/>
  <c r="E1031" i="98" s="1"/>
  <c r="E464" i="1"/>
  <c r="E436" i="98" s="1"/>
  <c r="E473" i="1"/>
  <c r="E445" i="98" s="1"/>
  <c r="E1082" i="1"/>
  <c r="E1038" i="98" s="1"/>
  <c r="E1068" i="1"/>
  <c r="E1024" i="98" s="1"/>
  <c r="E1074" i="1"/>
  <c r="E1030" i="98" s="1"/>
  <c r="E463" i="1"/>
  <c r="E435" i="98" s="1"/>
  <c r="E1066" i="1"/>
  <c r="E1022" i="98" s="1"/>
  <c r="E1081" i="1"/>
  <c r="E1037" i="98" s="1"/>
  <c r="E465" i="1"/>
  <c r="E437" i="98" s="1"/>
  <c r="E472" i="1"/>
  <c r="E444" i="98" s="1"/>
  <c r="E1071" i="1"/>
  <c r="E1027" i="98" s="1"/>
  <c r="E462" i="1"/>
  <c r="E434" i="98" s="1"/>
  <c r="E470" i="1"/>
  <c r="E442" i="98" s="1"/>
  <c r="E1065" i="1"/>
  <c r="E1021" i="98" s="1"/>
  <c r="E1080" i="1"/>
  <c r="E1036" i="98" s="1"/>
  <c r="E1070" i="1"/>
  <c r="E1026" i="98" s="1"/>
  <c r="E1064" i="1"/>
  <c r="E1020" i="98" s="1"/>
  <c r="E1079" i="1"/>
  <c r="E1035" i="98" s="1"/>
  <c r="E471" i="1"/>
  <c r="E443" i="98" s="1"/>
  <c r="E1069" i="1"/>
  <c r="E1025" i="98" s="1"/>
  <c r="E1073" i="1"/>
  <c r="E1029" i="98" s="1"/>
  <c r="E460" i="1"/>
  <c r="E432" i="98" s="1"/>
  <c r="E1063" i="1"/>
  <c r="E1019" i="98" s="1"/>
  <c r="E1078" i="1"/>
  <c r="E1034" i="98" s="1"/>
  <c r="E1072" i="1"/>
  <c r="E1028" i="98" s="1"/>
  <c r="E461" i="1"/>
  <c r="E433" i="98" s="1"/>
  <c r="E1077" i="1"/>
  <c r="E1033" i="98" s="1"/>
  <c r="E906" i="1"/>
  <c r="E23" i="96" s="1"/>
  <c r="C23" i="96"/>
  <c r="E387" i="1"/>
  <c r="E14" i="96" s="1"/>
  <c r="C14" i="96"/>
  <c r="M92" i="6"/>
  <c r="A466" i="1" l="1"/>
  <c r="A438" i="98" s="1"/>
  <c r="C466" i="1"/>
  <c r="C438" i="98" s="1"/>
  <c r="D466" i="1"/>
  <c r="D438" i="98" s="1"/>
  <c r="K466" i="1"/>
  <c r="K438" i="98" s="1"/>
  <c r="M466" i="1"/>
  <c r="M438" i="98" s="1"/>
  <c r="N466" i="1"/>
  <c r="N438" i="98" s="1"/>
  <c r="P466" i="1"/>
  <c r="P438" i="98" s="1"/>
  <c r="A319" i="6"/>
  <c r="C319" i="6"/>
  <c r="E319" i="6" s="1"/>
  <c r="D319" i="6"/>
  <c r="K319" i="6"/>
  <c r="N319" i="6" s="1"/>
  <c r="O319" i="6" s="1"/>
  <c r="A580" i="1"/>
  <c r="A548" i="98" s="1"/>
  <c r="C580" i="1"/>
  <c r="C548" i="98" s="1"/>
  <c r="D580" i="1"/>
  <c r="D548" i="98" s="1"/>
  <c r="K580" i="1"/>
  <c r="K548" i="98" s="1"/>
  <c r="M580" i="1"/>
  <c r="M548" i="98" s="1"/>
  <c r="N580" i="1"/>
  <c r="N548" i="98" s="1"/>
  <c r="P580" i="1"/>
  <c r="P548" i="98" s="1"/>
  <c r="A579" i="1"/>
  <c r="A547" i="98" s="1"/>
  <c r="C579" i="1"/>
  <c r="C547" i="98" s="1"/>
  <c r="D579" i="1"/>
  <c r="D547" i="98" s="1"/>
  <c r="K579" i="1"/>
  <c r="K547" i="98" s="1"/>
  <c r="M579" i="1"/>
  <c r="M547" i="98" s="1"/>
  <c r="N579" i="1"/>
  <c r="N547" i="98" s="1"/>
  <c r="P579" i="1"/>
  <c r="P547" i="98" s="1"/>
  <c r="A318" i="6"/>
  <c r="C318" i="6"/>
  <c r="E318" i="6" s="1"/>
  <c r="D318" i="6"/>
  <c r="K318" i="6"/>
  <c r="N318" i="6" s="1"/>
  <c r="O318" i="6" s="1"/>
  <c r="A578" i="1"/>
  <c r="A546" i="98" s="1"/>
  <c r="C578" i="1"/>
  <c r="C546" i="98" s="1"/>
  <c r="D578" i="1"/>
  <c r="D546" i="98" s="1"/>
  <c r="K578" i="1"/>
  <c r="K546" i="98" s="1"/>
  <c r="M578" i="1"/>
  <c r="M546" i="98" s="1"/>
  <c r="N578" i="1"/>
  <c r="N546" i="98" s="1"/>
  <c r="P578" i="1"/>
  <c r="P546" i="98" s="1"/>
  <c r="A1221" i="1"/>
  <c r="A1173" i="98" s="1"/>
  <c r="C1221" i="1"/>
  <c r="C1173" i="98" s="1"/>
  <c r="D1221" i="1"/>
  <c r="D1173" i="98" s="1"/>
  <c r="K1221" i="1"/>
  <c r="K1173" i="98" s="1"/>
  <c r="M1221" i="1"/>
  <c r="M1173" i="98" s="1"/>
  <c r="N1221" i="1"/>
  <c r="N1173" i="98" s="1"/>
  <c r="P1221" i="1"/>
  <c r="P1173" i="98" s="1"/>
  <c r="A1220" i="1"/>
  <c r="A1172" i="98" s="1"/>
  <c r="C1220" i="1"/>
  <c r="C1172" i="98" s="1"/>
  <c r="D1220" i="1"/>
  <c r="D1172" i="98" s="1"/>
  <c r="K1220" i="1"/>
  <c r="K1172" i="98" s="1"/>
  <c r="M1220" i="1"/>
  <c r="M1172" i="98" s="1"/>
  <c r="N1220" i="1"/>
  <c r="N1172" i="98" s="1"/>
  <c r="P1220" i="1"/>
  <c r="P1172" i="98" s="1"/>
  <c r="A1219" i="1"/>
  <c r="A1171" i="98" s="1"/>
  <c r="C1219" i="1"/>
  <c r="C1171" i="98" s="1"/>
  <c r="D1219" i="1"/>
  <c r="D1171" i="98" s="1"/>
  <c r="K1219" i="1"/>
  <c r="K1171" i="98" s="1"/>
  <c r="M1219" i="1"/>
  <c r="M1171" i="98" s="1"/>
  <c r="N1219" i="1"/>
  <c r="N1171" i="98" s="1"/>
  <c r="P1219" i="1"/>
  <c r="P1171" i="98" s="1"/>
  <c r="A57" i="5"/>
  <c r="C57" i="5"/>
  <c r="E57" i="5" s="1"/>
  <c r="D57" i="5"/>
  <c r="A56" i="5"/>
  <c r="C56" i="5"/>
  <c r="E56" i="5" s="1"/>
  <c r="D56" i="5"/>
  <c r="A18" i="1"/>
  <c r="A18" i="98" s="1"/>
  <c r="C18" i="1"/>
  <c r="C18" i="98" s="1"/>
  <c r="D18" i="1"/>
  <c r="D18" i="98" s="1"/>
  <c r="K18" i="1"/>
  <c r="K18" i="98" s="1"/>
  <c r="M18" i="1"/>
  <c r="M18" i="98" s="1"/>
  <c r="N18" i="1"/>
  <c r="N18" i="98" s="1"/>
  <c r="P18" i="1"/>
  <c r="P18" i="98" s="1"/>
  <c r="A317" i="6"/>
  <c r="C317" i="6"/>
  <c r="E317" i="6" s="1"/>
  <c r="D317" i="6"/>
  <c r="K317" i="6"/>
  <c r="N317" i="6" s="1"/>
  <c r="O317" i="6" s="1"/>
  <c r="A316" i="6"/>
  <c r="C316" i="6"/>
  <c r="E316" i="6" s="1"/>
  <c r="D316" i="6"/>
  <c r="K316" i="6"/>
  <c r="N316" i="6" s="1"/>
  <c r="O316" i="6" s="1"/>
  <c r="E578" i="1" l="1"/>
  <c r="E546" i="98" s="1"/>
  <c r="E580" i="1"/>
  <c r="E548" i="98" s="1"/>
  <c r="E1220" i="1"/>
  <c r="E1172" i="98" s="1"/>
  <c r="E579" i="1"/>
  <c r="E547" i="98" s="1"/>
  <c r="E1219" i="1"/>
  <c r="E1171" i="98" s="1"/>
  <c r="E466" i="1"/>
  <c r="E438" i="98" s="1"/>
  <c r="E1221" i="1"/>
  <c r="E1173" i="98" s="1"/>
  <c r="E18" i="1"/>
  <c r="E18" i="98" s="1"/>
  <c r="A315" i="6"/>
  <c r="C315" i="6"/>
  <c r="E315" i="6" s="1"/>
  <c r="D315" i="6"/>
  <c r="K315" i="6"/>
  <c r="N315" i="6" s="1"/>
  <c r="O315" i="6" s="1"/>
  <c r="A314" i="6"/>
  <c r="C314" i="6"/>
  <c r="E314" i="6" s="1"/>
  <c r="D314" i="6"/>
  <c r="K314" i="6"/>
  <c r="N314" i="6" s="1"/>
  <c r="O314" i="6" s="1"/>
  <c r="A497" i="1" l="1"/>
  <c r="A468" i="98" s="1"/>
  <c r="C497" i="1"/>
  <c r="C468" i="98" s="1"/>
  <c r="D497" i="1"/>
  <c r="D468" i="98" s="1"/>
  <c r="K497" i="1"/>
  <c r="K468" i="98" s="1"/>
  <c r="M497" i="1"/>
  <c r="M468" i="98" s="1"/>
  <c r="N497" i="1"/>
  <c r="N468" i="98" s="1"/>
  <c r="P497" i="1"/>
  <c r="P468" i="98" s="1"/>
  <c r="A496" i="1"/>
  <c r="A467" i="98" s="1"/>
  <c r="C496" i="1"/>
  <c r="C467" i="98" s="1"/>
  <c r="D496" i="1"/>
  <c r="D467" i="98" s="1"/>
  <c r="K496" i="1"/>
  <c r="K467" i="98" s="1"/>
  <c r="M496" i="1"/>
  <c r="M467" i="98" s="1"/>
  <c r="N496" i="1"/>
  <c r="N467" i="98" s="1"/>
  <c r="P496" i="1"/>
  <c r="P467" i="98" s="1"/>
  <c r="A495" i="1"/>
  <c r="A466" i="98" s="1"/>
  <c r="C495" i="1"/>
  <c r="C466" i="98" s="1"/>
  <c r="D495" i="1"/>
  <c r="D466" i="98" s="1"/>
  <c r="K495" i="1"/>
  <c r="K466" i="98" s="1"/>
  <c r="M495" i="1"/>
  <c r="M466" i="98" s="1"/>
  <c r="N495" i="1"/>
  <c r="N466" i="98" s="1"/>
  <c r="P495" i="1"/>
  <c r="P466" i="98" s="1"/>
  <c r="A498" i="1"/>
  <c r="A469" i="98" s="1"/>
  <c r="C498" i="1"/>
  <c r="C469" i="98" s="1"/>
  <c r="D498" i="1"/>
  <c r="D469" i="98" s="1"/>
  <c r="K498" i="1"/>
  <c r="K469" i="98" s="1"/>
  <c r="M498" i="1"/>
  <c r="M469" i="98" s="1"/>
  <c r="N498" i="1"/>
  <c r="N469" i="98" s="1"/>
  <c r="P498" i="1"/>
  <c r="P469" i="98" s="1"/>
  <c r="A494" i="1"/>
  <c r="A465" i="98" s="1"/>
  <c r="C494" i="1"/>
  <c r="C465" i="98" s="1"/>
  <c r="D494" i="1"/>
  <c r="D465" i="98" s="1"/>
  <c r="K494" i="1"/>
  <c r="K465" i="98" s="1"/>
  <c r="M494" i="1"/>
  <c r="M465" i="98" s="1"/>
  <c r="N494" i="1"/>
  <c r="N465" i="98" s="1"/>
  <c r="P494" i="1"/>
  <c r="P465" i="98" s="1"/>
  <c r="A493" i="1"/>
  <c r="A464" i="98" s="1"/>
  <c r="C493" i="1"/>
  <c r="C464" i="98" s="1"/>
  <c r="D493" i="1"/>
  <c r="D464" i="98" s="1"/>
  <c r="K493" i="1"/>
  <c r="K464" i="98" s="1"/>
  <c r="M493" i="1"/>
  <c r="M464" i="98" s="1"/>
  <c r="N493" i="1"/>
  <c r="N464" i="98" s="1"/>
  <c r="P493" i="1"/>
  <c r="P464" i="98" s="1"/>
  <c r="A480" i="1"/>
  <c r="A451" i="98" s="1"/>
  <c r="A481" i="1"/>
  <c r="A452" i="98" s="1"/>
  <c r="A482" i="1"/>
  <c r="A453" i="98" s="1"/>
  <c r="A483" i="1"/>
  <c r="A454" i="98" s="1"/>
  <c r="A484" i="1"/>
  <c r="A455" i="98" s="1"/>
  <c r="A485" i="1"/>
  <c r="A456" i="98" s="1"/>
  <c r="A486" i="1"/>
  <c r="A457" i="98" s="1"/>
  <c r="A487" i="1"/>
  <c r="A458" i="98" s="1"/>
  <c r="C480" i="1"/>
  <c r="C451" i="98" s="1"/>
  <c r="C481" i="1"/>
  <c r="C452" i="98" s="1"/>
  <c r="C482" i="1"/>
  <c r="C453" i="98" s="1"/>
  <c r="C483" i="1"/>
  <c r="C454" i="98" s="1"/>
  <c r="C484" i="1"/>
  <c r="C455" i="98" s="1"/>
  <c r="C485" i="1"/>
  <c r="C456" i="98" s="1"/>
  <c r="C486" i="1"/>
  <c r="C457" i="98" s="1"/>
  <c r="C487" i="1"/>
  <c r="C458" i="98" s="1"/>
  <c r="D480" i="1"/>
  <c r="D451" i="98" s="1"/>
  <c r="D481" i="1"/>
  <c r="D452" i="98" s="1"/>
  <c r="D482" i="1"/>
  <c r="D453" i="98" s="1"/>
  <c r="D483" i="1"/>
  <c r="D454" i="98" s="1"/>
  <c r="D484" i="1"/>
  <c r="D455" i="98" s="1"/>
  <c r="D485" i="1"/>
  <c r="D456" i="98" s="1"/>
  <c r="D486" i="1"/>
  <c r="D457" i="98" s="1"/>
  <c r="D487" i="1"/>
  <c r="D458" i="98" s="1"/>
  <c r="E480" i="1"/>
  <c r="E451" i="98" s="1"/>
  <c r="K480" i="1"/>
  <c r="K451" i="98" s="1"/>
  <c r="K481" i="1"/>
  <c r="K452" i="98" s="1"/>
  <c r="K482" i="1"/>
  <c r="K453" i="98" s="1"/>
  <c r="K483" i="1"/>
  <c r="K454" i="98" s="1"/>
  <c r="K484" i="1"/>
  <c r="K455" i="98" s="1"/>
  <c r="K485" i="1"/>
  <c r="K456" i="98" s="1"/>
  <c r="K486" i="1"/>
  <c r="K457" i="98" s="1"/>
  <c r="K487" i="1"/>
  <c r="K458" i="98" s="1"/>
  <c r="M480" i="1"/>
  <c r="M451" i="98" s="1"/>
  <c r="M481" i="1"/>
  <c r="M452" i="98" s="1"/>
  <c r="M482" i="1"/>
  <c r="M453" i="98" s="1"/>
  <c r="M483" i="1"/>
  <c r="M454" i="98" s="1"/>
  <c r="M484" i="1"/>
  <c r="M455" i="98" s="1"/>
  <c r="M485" i="1"/>
  <c r="M456" i="98" s="1"/>
  <c r="M486" i="1"/>
  <c r="M457" i="98" s="1"/>
  <c r="M487" i="1"/>
  <c r="M458" i="98" s="1"/>
  <c r="N480" i="1"/>
  <c r="N451" i="98" s="1"/>
  <c r="N481" i="1"/>
  <c r="N452" i="98" s="1"/>
  <c r="N482" i="1"/>
  <c r="N453" i="98" s="1"/>
  <c r="N483" i="1"/>
  <c r="N454" i="98" s="1"/>
  <c r="N484" i="1"/>
  <c r="N455" i="98" s="1"/>
  <c r="N485" i="1"/>
  <c r="N456" i="98" s="1"/>
  <c r="N486" i="1"/>
  <c r="N457" i="98" s="1"/>
  <c r="N487" i="1"/>
  <c r="N458" i="98" s="1"/>
  <c r="P480" i="1"/>
  <c r="P451" i="98" s="1"/>
  <c r="P481" i="1"/>
  <c r="P452" i="98" s="1"/>
  <c r="P482" i="1"/>
  <c r="P453" i="98" s="1"/>
  <c r="P483" i="1"/>
  <c r="P454" i="98" s="1"/>
  <c r="P484" i="1"/>
  <c r="P455" i="98" s="1"/>
  <c r="P485" i="1"/>
  <c r="P456" i="98" s="1"/>
  <c r="P486" i="1"/>
  <c r="P457" i="98" s="1"/>
  <c r="P487" i="1"/>
  <c r="P458" i="98" s="1"/>
  <c r="A492" i="1"/>
  <c r="A463" i="98" s="1"/>
  <c r="C492" i="1"/>
  <c r="C463" i="98" s="1"/>
  <c r="D492" i="1"/>
  <c r="D463" i="98" s="1"/>
  <c r="K492" i="1"/>
  <c r="K463" i="98" s="1"/>
  <c r="M492" i="1"/>
  <c r="M463" i="98" s="1"/>
  <c r="N492" i="1"/>
  <c r="N463" i="98" s="1"/>
  <c r="P492" i="1"/>
  <c r="P463" i="98" s="1"/>
  <c r="A488" i="1"/>
  <c r="A459" i="98" s="1"/>
  <c r="A489" i="1"/>
  <c r="A460" i="98" s="1"/>
  <c r="A490" i="1"/>
  <c r="A461" i="98" s="1"/>
  <c r="A491" i="1"/>
  <c r="A462" i="98" s="1"/>
  <c r="C488" i="1"/>
  <c r="C459" i="98" s="1"/>
  <c r="C489" i="1"/>
  <c r="C460" i="98" s="1"/>
  <c r="C490" i="1"/>
  <c r="C461" i="98" s="1"/>
  <c r="C491" i="1"/>
  <c r="C462" i="98" s="1"/>
  <c r="D488" i="1"/>
  <c r="D459" i="98" s="1"/>
  <c r="D489" i="1"/>
  <c r="D460" i="98" s="1"/>
  <c r="D490" i="1"/>
  <c r="D461" i="98" s="1"/>
  <c r="D491" i="1"/>
  <c r="D462" i="98" s="1"/>
  <c r="K488" i="1"/>
  <c r="K459" i="98" s="1"/>
  <c r="K489" i="1"/>
  <c r="K460" i="98" s="1"/>
  <c r="K490" i="1"/>
  <c r="K461" i="98" s="1"/>
  <c r="K491" i="1"/>
  <c r="K462" i="98" s="1"/>
  <c r="M488" i="1"/>
  <c r="M459" i="98" s="1"/>
  <c r="M489" i="1"/>
  <c r="M460" i="98" s="1"/>
  <c r="M490" i="1"/>
  <c r="M461" i="98" s="1"/>
  <c r="M491" i="1"/>
  <c r="M462" i="98" s="1"/>
  <c r="N488" i="1"/>
  <c r="N459" i="98" s="1"/>
  <c r="N489" i="1"/>
  <c r="N460" i="98" s="1"/>
  <c r="N490" i="1"/>
  <c r="N461" i="98" s="1"/>
  <c r="N491" i="1"/>
  <c r="N462" i="98" s="1"/>
  <c r="P488" i="1"/>
  <c r="P459" i="98" s="1"/>
  <c r="P489" i="1"/>
  <c r="P460" i="98" s="1"/>
  <c r="P490" i="1"/>
  <c r="P461" i="98" s="1"/>
  <c r="P491" i="1"/>
  <c r="P462" i="98" s="1"/>
  <c r="A55" i="5"/>
  <c r="C55" i="5"/>
  <c r="E55" i="5" s="1"/>
  <c r="D55" i="5"/>
  <c r="A54" i="5"/>
  <c r="C54" i="5"/>
  <c r="E54" i="5" s="1"/>
  <c r="D54" i="5"/>
  <c r="A303" i="6"/>
  <c r="A304" i="6"/>
  <c r="A305" i="6"/>
  <c r="A306" i="6"/>
  <c r="A307" i="6"/>
  <c r="A308" i="6"/>
  <c r="A309" i="6"/>
  <c r="A310" i="6"/>
  <c r="A311" i="6"/>
  <c r="A312" i="6"/>
  <c r="A313" i="6"/>
  <c r="C303" i="6"/>
  <c r="E303" i="6" s="1"/>
  <c r="C304" i="6"/>
  <c r="E304" i="6" s="1"/>
  <c r="C305" i="6"/>
  <c r="E305" i="6" s="1"/>
  <c r="C306" i="6"/>
  <c r="E306" i="6" s="1"/>
  <c r="C307" i="6"/>
  <c r="E307" i="6" s="1"/>
  <c r="C308" i="6"/>
  <c r="E308" i="6" s="1"/>
  <c r="C309" i="6"/>
  <c r="E309" i="6" s="1"/>
  <c r="C310" i="6"/>
  <c r="E310" i="6" s="1"/>
  <c r="C311" i="6"/>
  <c r="E311" i="6" s="1"/>
  <c r="C312" i="6"/>
  <c r="E312" i="6" s="1"/>
  <c r="C313" i="6"/>
  <c r="E313" i="6" s="1"/>
  <c r="D303" i="6"/>
  <c r="D304" i="6"/>
  <c r="D305" i="6"/>
  <c r="D306" i="6"/>
  <c r="D307" i="6"/>
  <c r="D308" i="6"/>
  <c r="D309" i="6"/>
  <c r="D310" i="6"/>
  <c r="D311" i="6"/>
  <c r="D312" i="6"/>
  <c r="D313" i="6"/>
  <c r="K303" i="6"/>
  <c r="N303" i="6" s="1"/>
  <c r="O303" i="6" s="1"/>
  <c r="K304" i="6"/>
  <c r="N304" i="6" s="1"/>
  <c r="O304" i="6" s="1"/>
  <c r="K305" i="6"/>
  <c r="N305" i="6" s="1"/>
  <c r="O305" i="6" s="1"/>
  <c r="K306" i="6"/>
  <c r="N306" i="6" s="1"/>
  <c r="O306" i="6" s="1"/>
  <c r="K307" i="6"/>
  <c r="N307" i="6" s="1"/>
  <c r="O307" i="6" s="1"/>
  <c r="K308" i="6"/>
  <c r="N308" i="6" s="1"/>
  <c r="O308" i="6" s="1"/>
  <c r="K309" i="6"/>
  <c r="N309" i="6" s="1"/>
  <c r="O309" i="6" s="1"/>
  <c r="K310" i="6"/>
  <c r="N310" i="6" s="1"/>
  <c r="O310" i="6" s="1"/>
  <c r="K311" i="6"/>
  <c r="N311" i="6" s="1"/>
  <c r="O311" i="6" s="1"/>
  <c r="K312" i="6"/>
  <c r="N312" i="6" s="1"/>
  <c r="O312" i="6" s="1"/>
  <c r="K313" i="6"/>
  <c r="N313" i="6" s="1"/>
  <c r="O313" i="6" s="1"/>
  <c r="A26" i="9"/>
  <c r="C26" i="9"/>
  <c r="D26" i="9"/>
  <c r="E26" i="9"/>
  <c r="M26" i="9"/>
  <c r="P26" i="9"/>
  <c r="R26" i="9"/>
  <c r="S26" i="9"/>
  <c r="U26" i="9"/>
  <c r="A1218" i="1"/>
  <c r="C1218" i="1"/>
  <c r="E1218" i="1" s="1"/>
  <c r="D1218" i="1"/>
  <c r="K1218" i="1"/>
  <c r="M1218" i="1"/>
  <c r="N1218" i="1"/>
  <c r="P1218" i="1"/>
  <c r="A934" i="1"/>
  <c r="A896" i="98" s="1"/>
  <c r="A935" i="1"/>
  <c r="A897" i="98" s="1"/>
  <c r="A936" i="1"/>
  <c r="A898" i="98" s="1"/>
  <c r="A937" i="1"/>
  <c r="A899" i="98" s="1"/>
  <c r="A938" i="1"/>
  <c r="A900" i="98" s="1"/>
  <c r="A939" i="1"/>
  <c r="A901" i="98" s="1"/>
  <c r="A940" i="1"/>
  <c r="A902" i="98" s="1"/>
  <c r="A941" i="1"/>
  <c r="A903" i="98" s="1"/>
  <c r="A942" i="1"/>
  <c r="A904" i="98" s="1"/>
  <c r="C934" i="1"/>
  <c r="C896" i="98" s="1"/>
  <c r="C935" i="1"/>
  <c r="C897" i="98" s="1"/>
  <c r="C936" i="1"/>
  <c r="C898" i="98" s="1"/>
  <c r="C937" i="1"/>
  <c r="C899" i="98" s="1"/>
  <c r="C938" i="1"/>
  <c r="C900" i="98" s="1"/>
  <c r="C939" i="1"/>
  <c r="C901" i="98" s="1"/>
  <c r="C940" i="1"/>
  <c r="C902" i="98" s="1"/>
  <c r="C941" i="1"/>
  <c r="C903" i="98" s="1"/>
  <c r="C942" i="1"/>
  <c r="C904" i="98" s="1"/>
  <c r="D934" i="1"/>
  <c r="D896" i="98" s="1"/>
  <c r="D935" i="1"/>
  <c r="D897" i="98" s="1"/>
  <c r="D936" i="1"/>
  <c r="D898" i="98" s="1"/>
  <c r="D937" i="1"/>
  <c r="D899" i="98" s="1"/>
  <c r="D938" i="1"/>
  <c r="D900" i="98" s="1"/>
  <c r="D939" i="1"/>
  <c r="D901" i="98" s="1"/>
  <c r="D940" i="1"/>
  <c r="D902" i="98" s="1"/>
  <c r="D941" i="1"/>
  <c r="D903" i="98" s="1"/>
  <c r="D942" i="1"/>
  <c r="D904" i="98" s="1"/>
  <c r="K934" i="1"/>
  <c r="K896" i="98" s="1"/>
  <c r="K935" i="1"/>
  <c r="K897" i="98" s="1"/>
  <c r="K936" i="1"/>
  <c r="K898" i="98" s="1"/>
  <c r="K937" i="1"/>
  <c r="K899" i="98" s="1"/>
  <c r="K938" i="1"/>
  <c r="K900" i="98" s="1"/>
  <c r="K939" i="1"/>
  <c r="K901" i="98" s="1"/>
  <c r="K940" i="1"/>
  <c r="K902" i="98" s="1"/>
  <c r="K941" i="1"/>
  <c r="K903" i="98" s="1"/>
  <c r="K942" i="1"/>
  <c r="K904" i="98" s="1"/>
  <c r="M934" i="1"/>
  <c r="M896" i="98" s="1"/>
  <c r="M935" i="1"/>
  <c r="M897" i="98" s="1"/>
  <c r="M936" i="1"/>
  <c r="M898" i="98" s="1"/>
  <c r="M937" i="1"/>
  <c r="M899" i="98" s="1"/>
  <c r="M938" i="1"/>
  <c r="M900" i="98" s="1"/>
  <c r="M939" i="1"/>
  <c r="M901" i="98" s="1"/>
  <c r="M940" i="1"/>
  <c r="M902" i="98" s="1"/>
  <c r="M941" i="1"/>
  <c r="M903" i="98" s="1"/>
  <c r="M942" i="1"/>
  <c r="M904" i="98" s="1"/>
  <c r="N934" i="1"/>
  <c r="N896" i="98" s="1"/>
  <c r="N935" i="1"/>
  <c r="N897" i="98" s="1"/>
  <c r="N936" i="1"/>
  <c r="N898" i="98" s="1"/>
  <c r="N937" i="1"/>
  <c r="N899" i="98" s="1"/>
  <c r="N938" i="1"/>
  <c r="N900" i="98" s="1"/>
  <c r="N939" i="1"/>
  <c r="N901" i="98" s="1"/>
  <c r="N940" i="1"/>
  <c r="N902" i="98" s="1"/>
  <c r="N941" i="1"/>
  <c r="N903" i="98" s="1"/>
  <c r="N942" i="1"/>
  <c r="N904" i="98" s="1"/>
  <c r="P934" i="1"/>
  <c r="P896" i="98" s="1"/>
  <c r="P935" i="1"/>
  <c r="P897" i="98" s="1"/>
  <c r="P936" i="1"/>
  <c r="P898" i="98" s="1"/>
  <c r="P937" i="1"/>
  <c r="P899" i="98" s="1"/>
  <c r="P938" i="1"/>
  <c r="P900" i="98" s="1"/>
  <c r="P939" i="1"/>
  <c r="P901" i="98" s="1"/>
  <c r="P940" i="1"/>
  <c r="P902" i="98" s="1"/>
  <c r="P941" i="1"/>
  <c r="P903" i="98" s="1"/>
  <c r="P942" i="1"/>
  <c r="P904" i="98" s="1"/>
  <c r="A679" i="1"/>
  <c r="A645" i="98" s="1"/>
  <c r="A680" i="1"/>
  <c r="A646" i="98" s="1"/>
  <c r="A681" i="1"/>
  <c r="A647" i="98" s="1"/>
  <c r="A682" i="1"/>
  <c r="A648" i="98" s="1"/>
  <c r="A929" i="1"/>
  <c r="A891" i="98" s="1"/>
  <c r="A930" i="1"/>
  <c r="A892" i="98" s="1"/>
  <c r="A931" i="1"/>
  <c r="A893" i="98" s="1"/>
  <c r="A932" i="1"/>
  <c r="A894" i="98" s="1"/>
  <c r="A933" i="1"/>
  <c r="A895" i="98" s="1"/>
  <c r="C679" i="1"/>
  <c r="C645" i="98" s="1"/>
  <c r="C680" i="1"/>
  <c r="C646" i="98" s="1"/>
  <c r="C681" i="1"/>
  <c r="C647" i="98" s="1"/>
  <c r="C682" i="1"/>
  <c r="C648" i="98" s="1"/>
  <c r="C929" i="1"/>
  <c r="C891" i="98" s="1"/>
  <c r="C930" i="1"/>
  <c r="C892" i="98" s="1"/>
  <c r="C931" i="1"/>
  <c r="C893" i="98" s="1"/>
  <c r="C932" i="1"/>
  <c r="C894" i="98" s="1"/>
  <c r="C933" i="1"/>
  <c r="C895" i="98" s="1"/>
  <c r="D679" i="1"/>
  <c r="D645" i="98" s="1"/>
  <c r="D680" i="1"/>
  <c r="D646" i="98" s="1"/>
  <c r="D681" i="1"/>
  <c r="D647" i="98" s="1"/>
  <c r="D682" i="1"/>
  <c r="D648" i="98" s="1"/>
  <c r="D929" i="1"/>
  <c r="D891" i="98" s="1"/>
  <c r="D930" i="1"/>
  <c r="D892" i="98" s="1"/>
  <c r="D931" i="1"/>
  <c r="D893" i="98" s="1"/>
  <c r="D932" i="1"/>
  <c r="D894" i="98" s="1"/>
  <c r="D933" i="1"/>
  <c r="D895" i="98" s="1"/>
  <c r="K679" i="1"/>
  <c r="K645" i="98" s="1"/>
  <c r="K680" i="1"/>
  <c r="K646" i="98" s="1"/>
  <c r="K681" i="1"/>
  <c r="K647" i="98" s="1"/>
  <c r="K682" i="1"/>
  <c r="K648" i="98" s="1"/>
  <c r="K929" i="1"/>
  <c r="K891" i="98" s="1"/>
  <c r="K930" i="1"/>
  <c r="K892" i="98" s="1"/>
  <c r="K931" i="1"/>
  <c r="K893" i="98" s="1"/>
  <c r="K932" i="1"/>
  <c r="K894" i="98" s="1"/>
  <c r="K933" i="1"/>
  <c r="K895" i="98" s="1"/>
  <c r="M679" i="1"/>
  <c r="M645" i="98" s="1"/>
  <c r="M680" i="1"/>
  <c r="M646" i="98" s="1"/>
  <c r="M681" i="1"/>
  <c r="M647" i="98" s="1"/>
  <c r="M682" i="1"/>
  <c r="M648" i="98" s="1"/>
  <c r="M929" i="1"/>
  <c r="M891" i="98" s="1"/>
  <c r="M930" i="1"/>
  <c r="M892" i="98" s="1"/>
  <c r="M931" i="1"/>
  <c r="M893" i="98" s="1"/>
  <c r="M932" i="1"/>
  <c r="M894" i="98" s="1"/>
  <c r="M933" i="1"/>
  <c r="M895" i="98" s="1"/>
  <c r="N679" i="1"/>
  <c r="N645" i="98" s="1"/>
  <c r="N680" i="1"/>
  <c r="N646" i="98" s="1"/>
  <c r="N681" i="1"/>
  <c r="N647" i="98" s="1"/>
  <c r="N682" i="1"/>
  <c r="N648" i="98" s="1"/>
  <c r="N929" i="1"/>
  <c r="N891" i="98" s="1"/>
  <c r="N930" i="1"/>
  <c r="N892" i="98" s="1"/>
  <c r="N931" i="1"/>
  <c r="N893" i="98" s="1"/>
  <c r="N932" i="1"/>
  <c r="N894" i="98" s="1"/>
  <c r="N933" i="1"/>
  <c r="N895" i="98" s="1"/>
  <c r="P679" i="1"/>
  <c r="P645" i="98" s="1"/>
  <c r="P680" i="1"/>
  <c r="P646" i="98" s="1"/>
  <c r="P681" i="1"/>
  <c r="P647" i="98" s="1"/>
  <c r="P682" i="1"/>
  <c r="P648" i="98" s="1"/>
  <c r="P929" i="1"/>
  <c r="P891" i="98" s="1"/>
  <c r="P930" i="1"/>
  <c r="P892" i="98" s="1"/>
  <c r="P931" i="1"/>
  <c r="P893" i="98" s="1"/>
  <c r="P932" i="1"/>
  <c r="P894" i="98" s="1"/>
  <c r="P933" i="1"/>
  <c r="P895" i="98" s="1"/>
  <c r="A927" i="1"/>
  <c r="A889" i="98" s="1"/>
  <c r="A928" i="1"/>
  <c r="A890" i="98" s="1"/>
  <c r="C927" i="1"/>
  <c r="C889" i="98" s="1"/>
  <c r="C928" i="1"/>
  <c r="C890" i="98" s="1"/>
  <c r="D927" i="1"/>
  <c r="D889" i="98" s="1"/>
  <c r="D928" i="1"/>
  <c r="D890" i="98" s="1"/>
  <c r="K927" i="1"/>
  <c r="K889" i="98" s="1"/>
  <c r="K928" i="1"/>
  <c r="K890" i="98" s="1"/>
  <c r="M927" i="1"/>
  <c r="M889" i="98" s="1"/>
  <c r="M928" i="1"/>
  <c r="M890" i="98" s="1"/>
  <c r="N927" i="1"/>
  <c r="N889" i="98" s="1"/>
  <c r="N928" i="1"/>
  <c r="N890" i="98" s="1"/>
  <c r="P927" i="1"/>
  <c r="P889" i="98" s="1"/>
  <c r="P928" i="1"/>
  <c r="P890" i="98" s="1"/>
  <c r="A678" i="1"/>
  <c r="A644" i="98" s="1"/>
  <c r="A926" i="1"/>
  <c r="A888" i="98" s="1"/>
  <c r="C678" i="1"/>
  <c r="C644" i="98" s="1"/>
  <c r="C926" i="1"/>
  <c r="C888" i="98" s="1"/>
  <c r="D678" i="1"/>
  <c r="D644" i="98" s="1"/>
  <c r="D926" i="1"/>
  <c r="D888" i="98" s="1"/>
  <c r="K678" i="1"/>
  <c r="K644" i="98" s="1"/>
  <c r="K926" i="1"/>
  <c r="K888" i="98" s="1"/>
  <c r="M678" i="1"/>
  <c r="M644" i="98" s="1"/>
  <c r="M926" i="1"/>
  <c r="M888" i="98" s="1"/>
  <c r="N678" i="1"/>
  <c r="N644" i="98" s="1"/>
  <c r="N926" i="1"/>
  <c r="N888" i="98" s="1"/>
  <c r="P678" i="1"/>
  <c r="P644" i="98" s="1"/>
  <c r="P926" i="1"/>
  <c r="P888" i="98" s="1"/>
  <c r="A959" i="1"/>
  <c r="A921" i="98" s="1"/>
  <c r="C959" i="1"/>
  <c r="C921" i="98" s="1"/>
  <c r="D959" i="1"/>
  <c r="D921" i="98" s="1"/>
  <c r="K959" i="1"/>
  <c r="K921" i="98" s="1"/>
  <c r="M959" i="1"/>
  <c r="M921" i="98" s="1"/>
  <c r="N959" i="1"/>
  <c r="N921" i="98" s="1"/>
  <c r="P959" i="1"/>
  <c r="P921" i="98" s="1"/>
  <c r="A923" i="1"/>
  <c r="A885" i="98" s="1"/>
  <c r="A924" i="1"/>
  <c r="A886" i="98" s="1"/>
  <c r="A925" i="1"/>
  <c r="A887" i="98" s="1"/>
  <c r="C923" i="1"/>
  <c r="C885" i="98" s="1"/>
  <c r="C924" i="1"/>
  <c r="C886" i="98" s="1"/>
  <c r="C925" i="1"/>
  <c r="C887" i="98" s="1"/>
  <c r="D923" i="1"/>
  <c r="D885" i="98" s="1"/>
  <c r="D924" i="1"/>
  <c r="D886" i="98" s="1"/>
  <c r="D925" i="1"/>
  <c r="D887" i="98" s="1"/>
  <c r="K923" i="1"/>
  <c r="K885" i="98" s="1"/>
  <c r="K924" i="1"/>
  <c r="K886" i="98" s="1"/>
  <c r="K925" i="1"/>
  <c r="K887" i="98" s="1"/>
  <c r="M923" i="1"/>
  <c r="M885" i="98" s="1"/>
  <c r="M924" i="1"/>
  <c r="M886" i="98" s="1"/>
  <c r="M925" i="1"/>
  <c r="M887" i="98" s="1"/>
  <c r="N923" i="1"/>
  <c r="N885" i="98" s="1"/>
  <c r="N924" i="1"/>
  <c r="N886" i="98" s="1"/>
  <c r="N925" i="1"/>
  <c r="N887" i="98" s="1"/>
  <c r="P923" i="1"/>
  <c r="P885" i="98" s="1"/>
  <c r="P924" i="1"/>
  <c r="P886" i="98" s="1"/>
  <c r="P925" i="1"/>
  <c r="P887" i="98" s="1"/>
  <c r="A957" i="1"/>
  <c r="A919" i="98" s="1"/>
  <c r="A958" i="1"/>
  <c r="A920" i="98" s="1"/>
  <c r="A922" i="1"/>
  <c r="A884" i="98" s="1"/>
  <c r="C957" i="1"/>
  <c r="C919" i="98" s="1"/>
  <c r="C958" i="1"/>
  <c r="C920" i="98" s="1"/>
  <c r="C922" i="1"/>
  <c r="C884" i="98" s="1"/>
  <c r="D957" i="1"/>
  <c r="D919" i="98" s="1"/>
  <c r="D958" i="1"/>
  <c r="D920" i="98" s="1"/>
  <c r="D922" i="1"/>
  <c r="D884" i="98" s="1"/>
  <c r="K957" i="1"/>
  <c r="K919" i="98" s="1"/>
  <c r="K958" i="1"/>
  <c r="K920" i="98" s="1"/>
  <c r="K922" i="1"/>
  <c r="K884" i="98" s="1"/>
  <c r="M957" i="1"/>
  <c r="M919" i="98" s="1"/>
  <c r="M958" i="1"/>
  <c r="M920" i="98" s="1"/>
  <c r="M922" i="1"/>
  <c r="M884" i="98" s="1"/>
  <c r="N957" i="1"/>
  <c r="N919" i="98" s="1"/>
  <c r="N958" i="1"/>
  <c r="N920" i="98" s="1"/>
  <c r="N922" i="1"/>
  <c r="N884" i="98" s="1"/>
  <c r="P957" i="1"/>
  <c r="P919" i="98" s="1"/>
  <c r="P958" i="1"/>
  <c r="P920" i="98" s="1"/>
  <c r="P922" i="1"/>
  <c r="P884" i="98" s="1"/>
  <c r="A916" i="1"/>
  <c r="A878" i="98" s="1"/>
  <c r="A917" i="1"/>
  <c r="A879" i="98" s="1"/>
  <c r="A918" i="1"/>
  <c r="A880" i="98" s="1"/>
  <c r="A919" i="1"/>
  <c r="A881" i="98" s="1"/>
  <c r="A920" i="1"/>
  <c r="A882" i="98" s="1"/>
  <c r="A921" i="1"/>
  <c r="A883" i="98" s="1"/>
  <c r="C916" i="1"/>
  <c r="C878" i="98" s="1"/>
  <c r="C917" i="1"/>
  <c r="C879" i="98" s="1"/>
  <c r="C918" i="1"/>
  <c r="C880" i="98" s="1"/>
  <c r="C919" i="1"/>
  <c r="C881" i="98" s="1"/>
  <c r="C920" i="1"/>
  <c r="C882" i="98" s="1"/>
  <c r="C921" i="1"/>
  <c r="C883" i="98" s="1"/>
  <c r="D916" i="1"/>
  <c r="D878" i="98" s="1"/>
  <c r="D917" i="1"/>
  <c r="D879" i="98" s="1"/>
  <c r="D918" i="1"/>
  <c r="D880" i="98" s="1"/>
  <c r="D919" i="1"/>
  <c r="D881" i="98" s="1"/>
  <c r="D920" i="1"/>
  <c r="D882" i="98" s="1"/>
  <c r="D921" i="1"/>
  <c r="D883" i="98" s="1"/>
  <c r="K916" i="1"/>
  <c r="K878" i="98" s="1"/>
  <c r="K917" i="1"/>
  <c r="K879" i="98" s="1"/>
  <c r="K918" i="1"/>
  <c r="K880" i="98" s="1"/>
  <c r="K919" i="1"/>
  <c r="K881" i="98" s="1"/>
  <c r="K920" i="1"/>
  <c r="K882" i="98" s="1"/>
  <c r="K921" i="1"/>
  <c r="K883" i="98" s="1"/>
  <c r="M916" i="1"/>
  <c r="M878" i="98" s="1"/>
  <c r="M917" i="1"/>
  <c r="M879" i="98" s="1"/>
  <c r="M918" i="1"/>
  <c r="M880" i="98" s="1"/>
  <c r="M919" i="1"/>
  <c r="M881" i="98" s="1"/>
  <c r="M920" i="1"/>
  <c r="M882" i="98" s="1"/>
  <c r="M921" i="1"/>
  <c r="M883" i="98" s="1"/>
  <c r="N916" i="1"/>
  <c r="N878" i="98" s="1"/>
  <c r="N917" i="1"/>
  <c r="N879" i="98" s="1"/>
  <c r="N918" i="1"/>
  <c r="N880" i="98" s="1"/>
  <c r="N919" i="1"/>
  <c r="N881" i="98" s="1"/>
  <c r="N920" i="1"/>
  <c r="N882" i="98" s="1"/>
  <c r="N921" i="1"/>
  <c r="N883" i="98" s="1"/>
  <c r="P916" i="1"/>
  <c r="P878" i="98" s="1"/>
  <c r="P917" i="1"/>
  <c r="P879" i="98" s="1"/>
  <c r="P918" i="1"/>
  <c r="P880" i="98" s="1"/>
  <c r="P919" i="1"/>
  <c r="P881" i="98" s="1"/>
  <c r="P920" i="1"/>
  <c r="P882" i="98" s="1"/>
  <c r="P921" i="1"/>
  <c r="P883" i="98" s="1"/>
  <c r="A943" i="1"/>
  <c r="A905" i="98" s="1"/>
  <c r="A944" i="1"/>
  <c r="A906" i="98" s="1"/>
  <c r="A945" i="1"/>
  <c r="A907" i="98" s="1"/>
  <c r="A946" i="1"/>
  <c r="A908" i="98" s="1"/>
  <c r="A947" i="1"/>
  <c r="A909" i="98" s="1"/>
  <c r="A948" i="1"/>
  <c r="A910" i="98" s="1"/>
  <c r="A949" i="1"/>
  <c r="A911" i="98" s="1"/>
  <c r="A950" i="1"/>
  <c r="A912" i="98" s="1"/>
  <c r="A951" i="1"/>
  <c r="A913" i="98" s="1"/>
  <c r="A952" i="1"/>
  <c r="A914" i="98" s="1"/>
  <c r="A953" i="1"/>
  <c r="A915" i="98" s="1"/>
  <c r="A954" i="1"/>
  <c r="A916" i="98" s="1"/>
  <c r="A955" i="1"/>
  <c r="A917" i="98" s="1"/>
  <c r="A956" i="1"/>
  <c r="A918" i="98" s="1"/>
  <c r="C943" i="1"/>
  <c r="C905" i="98" s="1"/>
  <c r="C944" i="1"/>
  <c r="C906" i="98" s="1"/>
  <c r="C945" i="1"/>
  <c r="C907" i="98" s="1"/>
  <c r="C946" i="1"/>
  <c r="C908" i="98" s="1"/>
  <c r="C947" i="1"/>
  <c r="C909" i="98" s="1"/>
  <c r="C948" i="1"/>
  <c r="C910" i="98" s="1"/>
  <c r="C949" i="1"/>
  <c r="C911" i="98" s="1"/>
  <c r="C950" i="1"/>
  <c r="C912" i="98" s="1"/>
  <c r="C951" i="1"/>
  <c r="C913" i="98" s="1"/>
  <c r="C952" i="1"/>
  <c r="C914" i="98" s="1"/>
  <c r="C953" i="1"/>
  <c r="C915" i="98" s="1"/>
  <c r="C954" i="1"/>
  <c r="C916" i="98" s="1"/>
  <c r="C955" i="1"/>
  <c r="C917" i="98" s="1"/>
  <c r="C956" i="1"/>
  <c r="C918" i="98" s="1"/>
  <c r="D943" i="1"/>
  <c r="D905" i="98" s="1"/>
  <c r="D944" i="1"/>
  <c r="D906" i="98" s="1"/>
  <c r="D945" i="1"/>
  <c r="D907" i="98" s="1"/>
  <c r="D946" i="1"/>
  <c r="D908" i="98" s="1"/>
  <c r="D947" i="1"/>
  <c r="D909" i="98" s="1"/>
  <c r="D948" i="1"/>
  <c r="D910" i="98" s="1"/>
  <c r="D949" i="1"/>
  <c r="D911" i="98" s="1"/>
  <c r="D950" i="1"/>
  <c r="D912" i="98" s="1"/>
  <c r="D951" i="1"/>
  <c r="D913" i="98" s="1"/>
  <c r="D952" i="1"/>
  <c r="D914" i="98" s="1"/>
  <c r="D953" i="1"/>
  <c r="D915" i="98" s="1"/>
  <c r="D954" i="1"/>
  <c r="D916" i="98" s="1"/>
  <c r="D955" i="1"/>
  <c r="D917" i="98" s="1"/>
  <c r="D956" i="1"/>
  <c r="D918" i="98" s="1"/>
  <c r="K943" i="1"/>
  <c r="K905" i="98" s="1"/>
  <c r="K944" i="1"/>
  <c r="K906" i="98" s="1"/>
  <c r="K945" i="1"/>
  <c r="K907" i="98" s="1"/>
  <c r="K946" i="1"/>
  <c r="K908" i="98" s="1"/>
  <c r="K947" i="1"/>
  <c r="K909" i="98" s="1"/>
  <c r="K948" i="1"/>
  <c r="K910" i="98" s="1"/>
  <c r="K949" i="1"/>
  <c r="K911" i="98" s="1"/>
  <c r="K950" i="1"/>
  <c r="K912" i="98" s="1"/>
  <c r="K951" i="1"/>
  <c r="K913" i="98" s="1"/>
  <c r="K952" i="1"/>
  <c r="K914" i="98" s="1"/>
  <c r="K953" i="1"/>
  <c r="K915" i="98" s="1"/>
  <c r="K954" i="1"/>
  <c r="K916" i="98" s="1"/>
  <c r="K955" i="1"/>
  <c r="K917" i="98" s="1"/>
  <c r="K956" i="1"/>
  <c r="K918" i="98" s="1"/>
  <c r="M943" i="1"/>
  <c r="M905" i="98" s="1"/>
  <c r="M944" i="1"/>
  <c r="M906" i="98" s="1"/>
  <c r="M945" i="1"/>
  <c r="M907" i="98" s="1"/>
  <c r="M946" i="1"/>
  <c r="M908" i="98" s="1"/>
  <c r="M947" i="1"/>
  <c r="M909" i="98" s="1"/>
  <c r="M948" i="1"/>
  <c r="M910" i="98" s="1"/>
  <c r="M949" i="1"/>
  <c r="M911" i="98" s="1"/>
  <c r="M950" i="1"/>
  <c r="M912" i="98" s="1"/>
  <c r="M951" i="1"/>
  <c r="M913" i="98" s="1"/>
  <c r="M952" i="1"/>
  <c r="M914" i="98" s="1"/>
  <c r="M953" i="1"/>
  <c r="M915" i="98" s="1"/>
  <c r="M954" i="1"/>
  <c r="M916" i="98" s="1"/>
  <c r="M955" i="1"/>
  <c r="M917" i="98" s="1"/>
  <c r="M956" i="1"/>
  <c r="M918" i="98" s="1"/>
  <c r="N943" i="1"/>
  <c r="N905" i="98" s="1"/>
  <c r="N944" i="1"/>
  <c r="N906" i="98" s="1"/>
  <c r="N945" i="1"/>
  <c r="N907" i="98" s="1"/>
  <c r="N946" i="1"/>
  <c r="N908" i="98" s="1"/>
  <c r="N947" i="1"/>
  <c r="N909" i="98" s="1"/>
  <c r="N948" i="1"/>
  <c r="N910" i="98" s="1"/>
  <c r="N949" i="1"/>
  <c r="N911" i="98" s="1"/>
  <c r="N950" i="1"/>
  <c r="N912" i="98" s="1"/>
  <c r="N951" i="1"/>
  <c r="N913" i="98" s="1"/>
  <c r="N952" i="1"/>
  <c r="N914" i="98" s="1"/>
  <c r="N953" i="1"/>
  <c r="N915" i="98" s="1"/>
  <c r="N954" i="1"/>
  <c r="N916" i="98" s="1"/>
  <c r="N955" i="1"/>
  <c r="N917" i="98" s="1"/>
  <c r="N956" i="1"/>
  <c r="N918" i="98" s="1"/>
  <c r="P943" i="1"/>
  <c r="P905" i="98" s="1"/>
  <c r="P944" i="1"/>
  <c r="P906" i="98" s="1"/>
  <c r="P945" i="1"/>
  <c r="P907" i="98" s="1"/>
  <c r="P946" i="1"/>
  <c r="P908" i="98" s="1"/>
  <c r="P947" i="1"/>
  <c r="P909" i="98" s="1"/>
  <c r="P948" i="1"/>
  <c r="P910" i="98" s="1"/>
  <c r="P949" i="1"/>
  <c r="P911" i="98" s="1"/>
  <c r="P950" i="1"/>
  <c r="P912" i="98" s="1"/>
  <c r="P951" i="1"/>
  <c r="P913" i="98" s="1"/>
  <c r="P952" i="1"/>
  <c r="P914" i="98" s="1"/>
  <c r="P953" i="1"/>
  <c r="P915" i="98" s="1"/>
  <c r="P954" i="1"/>
  <c r="P916" i="98" s="1"/>
  <c r="P955" i="1"/>
  <c r="P917" i="98" s="1"/>
  <c r="P956" i="1"/>
  <c r="P918" i="98" s="1"/>
  <c r="A913" i="1"/>
  <c r="A875" i="98" s="1"/>
  <c r="A914" i="1"/>
  <c r="A876" i="98" s="1"/>
  <c r="A677" i="1"/>
  <c r="A643" i="98" s="1"/>
  <c r="A915" i="1"/>
  <c r="A877" i="98" s="1"/>
  <c r="C913" i="1"/>
  <c r="C875" i="98" s="1"/>
  <c r="C914" i="1"/>
  <c r="C876" i="98" s="1"/>
  <c r="C677" i="1"/>
  <c r="C643" i="98" s="1"/>
  <c r="C915" i="1"/>
  <c r="C877" i="98" s="1"/>
  <c r="D913" i="1"/>
  <c r="D875" i="98" s="1"/>
  <c r="D914" i="1"/>
  <c r="D876" i="98" s="1"/>
  <c r="D677" i="1"/>
  <c r="D643" i="98" s="1"/>
  <c r="D915" i="1"/>
  <c r="D877" i="98" s="1"/>
  <c r="K913" i="1"/>
  <c r="K875" i="98" s="1"/>
  <c r="K914" i="1"/>
  <c r="K876" i="98" s="1"/>
  <c r="K677" i="1"/>
  <c r="K643" i="98" s="1"/>
  <c r="K915" i="1"/>
  <c r="K877" i="98" s="1"/>
  <c r="M913" i="1"/>
  <c r="M875" i="98" s="1"/>
  <c r="M914" i="1"/>
  <c r="M876" i="98" s="1"/>
  <c r="M677" i="1"/>
  <c r="M643" i="98" s="1"/>
  <c r="M915" i="1"/>
  <c r="M877" i="98" s="1"/>
  <c r="N913" i="1"/>
  <c r="N875" i="98" s="1"/>
  <c r="N914" i="1"/>
  <c r="N876" i="98" s="1"/>
  <c r="N677" i="1"/>
  <c r="N643" i="98" s="1"/>
  <c r="N915" i="1"/>
  <c r="N877" i="98" s="1"/>
  <c r="P913" i="1"/>
  <c r="P875" i="98" s="1"/>
  <c r="P914" i="1"/>
  <c r="P876" i="98" s="1"/>
  <c r="P677" i="1"/>
  <c r="P643" i="98" s="1"/>
  <c r="P915" i="1"/>
  <c r="P877" i="98" s="1"/>
  <c r="A907" i="1"/>
  <c r="A869" i="98" s="1"/>
  <c r="A908" i="1"/>
  <c r="A870" i="98" s="1"/>
  <c r="A909" i="1"/>
  <c r="A871" i="98" s="1"/>
  <c r="A910" i="1"/>
  <c r="A872" i="98" s="1"/>
  <c r="A911" i="1"/>
  <c r="A873" i="98" s="1"/>
  <c r="A912" i="1"/>
  <c r="A874" i="98" s="1"/>
  <c r="C907" i="1"/>
  <c r="C869" i="98" s="1"/>
  <c r="C908" i="1"/>
  <c r="C870" i="98" s="1"/>
  <c r="C909" i="1"/>
  <c r="C871" i="98" s="1"/>
  <c r="C910" i="1"/>
  <c r="C872" i="98" s="1"/>
  <c r="C911" i="1"/>
  <c r="C873" i="98" s="1"/>
  <c r="C912" i="1"/>
  <c r="C874" i="98" s="1"/>
  <c r="D907" i="1"/>
  <c r="D869" i="98" s="1"/>
  <c r="D908" i="1"/>
  <c r="D870" i="98" s="1"/>
  <c r="D909" i="1"/>
  <c r="D871" i="98" s="1"/>
  <c r="D910" i="1"/>
  <c r="D872" i="98" s="1"/>
  <c r="D911" i="1"/>
  <c r="D873" i="98" s="1"/>
  <c r="D912" i="1"/>
  <c r="D874" i="98" s="1"/>
  <c r="K907" i="1"/>
  <c r="K869" i="98" s="1"/>
  <c r="K908" i="1"/>
  <c r="K870" i="98" s="1"/>
  <c r="K909" i="1"/>
  <c r="K871" i="98" s="1"/>
  <c r="K910" i="1"/>
  <c r="K872" i="98" s="1"/>
  <c r="K911" i="1"/>
  <c r="K873" i="98" s="1"/>
  <c r="K912" i="1"/>
  <c r="K874" i="98" s="1"/>
  <c r="M907" i="1"/>
  <c r="M869" i="98" s="1"/>
  <c r="M908" i="1"/>
  <c r="M870" i="98" s="1"/>
  <c r="M909" i="1"/>
  <c r="M871" i="98" s="1"/>
  <c r="M910" i="1"/>
  <c r="M872" i="98" s="1"/>
  <c r="M911" i="1"/>
  <c r="M873" i="98" s="1"/>
  <c r="M912" i="1"/>
  <c r="M874" i="98" s="1"/>
  <c r="N907" i="1"/>
  <c r="N869" i="98" s="1"/>
  <c r="N908" i="1"/>
  <c r="N870" i="98" s="1"/>
  <c r="N909" i="1"/>
  <c r="N871" i="98" s="1"/>
  <c r="N910" i="1"/>
  <c r="N872" i="98" s="1"/>
  <c r="N911" i="1"/>
  <c r="N873" i="98" s="1"/>
  <c r="N912" i="1"/>
  <c r="N874" i="98" s="1"/>
  <c r="P907" i="1"/>
  <c r="P869" i="98" s="1"/>
  <c r="P908" i="1"/>
  <c r="P870" i="98" s="1"/>
  <c r="P909" i="1"/>
  <c r="P871" i="98" s="1"/>
  <c r="P910" i="1"/>
  <c r="P872" i="98" s="1"/>
  <c r="P911" i="1"/>
  <c r="P873" i="98" s="1"/>
  <c r="P912" i="1"/>
  <c r="P874" i="98" s="1"/>
  <c r="A52" i="5"/>
  <c r="A53" i="5"/>
  <c r="C52" i="5"/>
  <c r="E52" i="5" s="1"/>
  <c r="C53" i="5"/>
  <c r="E53" i="5" s="1"/>
  <c r="D52" i="5"/>
  <c r="D53" i="5"/>
  <c r="A302" i="6"/>
  <c r="C302" i="6"/>
  <c r="E302" i="6" s="1"/>
  <c r="D302" i="6"/>
  <c r="K302" i="6"/>
  <c r="N302" i="6" s="1"/>
  <c r="O302" i="6" s="1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C287" i="6"/>
  <c r="E287" i="6" s="1"/>
  <c r="C288" i="6"/>
  <c r="E288" i="6" s="1"/>
  <c r="C289" i="6"/>
  <c r="E289" i="6" s="1"/>
  <c r="C290" i="6"/>
  <c r="E290" i="6" s="1"/>
  <c r="C291" i="6"/>
  <c r="E291" i="6" s="1"/>
  <c r="C292" i="6"/>
  <c r="E292" i="6" s="1"/>
  <c r="C293" i="6"/>
  <c r="E293" i="6" s="1"/>
  <c r="C294" i="6"/>
  <c r="E294" i="6" s="1"/>
  <c r="C295" i="6"/>
  <c r="E295" i="6" s="1"/>
  <c r="C296" i="6"/>
  <c r="E296" i="6" s="1"/>
  <c r="C297" i="6"/>
  <c r="E297" i="6" s="1"/>
  <c r="C298" i="6"/>
  <c r="E298" i="6" s="1"/>
  <c r="C299" i="6"/>
  <c r="E299" i="6" s="1"/>
  <c r="C300" i="6"/>
  <c r="E300" i="6" s="1"/>
  <c r="C301" i="6"/>
  <c r="E301" i="6" s="1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O287" i="6"/>
  <c r="K288" i="6"/>
  <c r="K289" i="6"/>
  <c r="N289" i="6" s="1"/>
  <c r="O289" i="6" s="1"/>
  <c r="K290" i="6"/>
  <c r="N290" i="6" s="1"/>
  <c r="O290" i="6" s="1"/>
  <c r="K291" i="6"/>
  <c r="N291" i="6" s="1"/>
  <c r="O291" i="6" s="1"/>
  <c r="N292" i="6"/>
  <c r="O292" i="6" s="1"/>
  <c r="K293" i="6"/>
  <c r="N293" i="6" s="1"/>
  <c r="O293" i="6" s="1"/>
  <c r="K294" i="6"/>
  <c r="N294" i="6" s="1"/>
  <c r="O294" i="6" s="1"/>
  <c r="N295" i="6"/>
  <c r="O295" i="6" s="1"/>
  <c r="K296" i="6"/>
  <c r="N296" i="6" s="1"/>
  <c r="O296" i="6" s="1"/>
  <c r="K297" i="6"/>
  <c r="N297" i="6" s="1"/>
  <c r="O297" i="6" s="1"/>
  <c r="K298" i="6"/>
  <c r="N298" i="6" s="1"/>
  <c r="O298" i="6" s="1"/>
  <c r="K299" i="6"/>
  <c r="N299" i="6" s="1"/>
  <c r="O299" i="6" s="1"/>
  <c r="K300" i="6"/>
  <c r="N300" i="6" s="1"/>
  <c r="O300" i="6" s="1"/>
  <c r="K301" i="6"/>
  <c r="N301" i="6" s="1"/>
  <c r="O301" i="6" s="1"/>
  <c r="E481" i="1" l="1"/>
  <c r="E452" i="98" s="1"/>
  <c r="E954" i="1"/>
  <c r="E916" i="98" s="1"/>
  <c r="E939" i="1"/>
  <c r="E901" i="98" s="1"/>
  <c r="E488" i="1"/>
  <c r="E459" i="98" s="1"/>
  <c r="E485" i="1"/>
  <c r="E456" i="98" s="1"/>
  <c r="E495" i="1"/>
  <c r="E466" i="98" s="1"/>
  <c r="E911" i="1"/>
  <c r="E873" i="98" s="1"/>
  <c r="E677" i="1"/>
  <c r="E643" i="98" s="1"/>
  <c r="E953" i="1"/>
  <c r="E915" i="98" s="1"/>
  <c r="E945" i="1"/>
  <c r="E907" i="98" s="1"/>
  <c r="E920" i="1"/>
  <c r="E882" i="98" s="1"/>
  <c r="E924" i="1"/>
  <c r="E886" i="98" s="1"/>
  <c r="E930" i="1"/>
  <c r="E892" i="98" s="1"/>
  <c r="E938" i="1"/>
  <c r="E900" i="98" s="1"/>
  <c r="E484" i="1"/>
  <c r="E455" i="98" s="1"/>
  <c r="E498" i="1"/>
  <c r="E469" i="98" s="1"/>
  <c r="E931" i="1"/>
  <c r="E893" i="98" s="1"/>
  <c r="E919" i="1"/>
  <c r="E881" i="98" s="1"/>
  <c r="E923" i="1"/>
  <c r="E885" i="98" s="1"/>
  <c r="E929" i="1"/>
  <c r="E891" i="98" s="1"/>
  <c r="E937" i="1"/>
  <c r="E899" i="98" s="1"/>
  <c r="E492" i="1"/>
  <c r="E463" i="98" s="1"/>
  <c r="E483" i="1"/>
  <c r="E454" i="98" s="1"/>
  <c r="E494" i="1"/>
  <c r="E465" i="98" s="1"/>
  <c r="E921" i="1"/>
  <c r="E883" i="98" s="1"/>
  <c r="E944" i="1"/>
  <c r="E906" i="98" s="1"/>
  <c r="E909" i="1"/>
  <c r="E871" i="98" s="1"/>
  <c r="E913" i="1"/>
  <c r="E875" i="98" s="1"/>
  <c r="E951" i="1"/>
  <c r="E913" i="98" s="1"/>
  <c r="E943" i="1"/>
  <c r="E905" i="98" s="1"/>
  <c r="E918" i="1"/>
  <c r="E880" i="98" s="1"/>
  <c r="E922" i="1"/>
  <c r="E884" i="98" s="1"/>
  <c r="E959" i="1"/>
  <c r="E921" i="98" s="1"/>
  <c r="E682" i="1"/>
  <c r="E648" i="98" s="1"/>
  <c r="E936" i="1"/>
  <c r="E898" i="98" s="1"/>
  <c r="E482" i="1"/>
  <c r="E453" i="98" s="1"/>
  <c r="E493" i="1"/>
  <c r="E464" i="98" s="1"/>
  <c r="E678" i="1"/>
  <c r="E644" i="98" s="1"/>
  <c r="E914" i="1"/>
  <c r="E876" i="98" s="1"/>
  <c r="E952" i="1"/>
  <c r="E914" i="98" s="1"/>
  <c r="E908" i="1"/>
  <c r="E870" i="98" s="1"/>
  <c r="E950" i="1"/>
  <c r="E912" i="98" s="1"/>
  <c r="E917" i="1"/>
  <c r="E879" i="98" s="1"/>
  <c r="E958" i="1"/>
  <c r="E920" i="98" s="1"/>
  <c r="E681" i="1"/>
  <c r="E647" i="98" s="1"/>
  <c r="E935" i="1"/>
  <c r="E897" i="98" s="1"/>
  <c r="E946" i="1"/>
  <c r="E908" i="98" s="1"/>
  <c r="E916" i="1"/>
  <c r="E878" i="98" s="1"/>
  <c r="E957" i="1"/>
  <c r="E919" i="98" s="1"/>
  <c r="E928" i="1"/>
  <c r="E890" i="98" s="1"/>
  <c r="E680" i="1"/>
  <c r="E646" i="98" s="1"/>
  <c r="E942" i="1"/>
  <c r="E904" i="98" s="1"/>
  <c r="E934" i="1"/>
  <c r="E896" i="98" s="1"/>
  <c r="E491" i="1"/>
  <c r="E462" i="98" s="1"/>
  <c r="E915" i="1"/>
  <c r="E877" i="98" s="1"/>
  <c r="E910" i="1"/>
  <c r="E872" i="98" s="1"/>
  <c r="E907" i="1"/>
  <c r="E869" i="98" s="1"/>
  <c r="E948" i="1"/>
  <c r="E910" i="98" s="1"/>
  <c r="E927" i="1"/>
  <c r="E889" i="98" s="1"/>
  <c r="E933" i="1"/>
  <c r="E895" i="98" s="1"/>
  <c r="E679" i="1"/>
  <c r="E645" i="98" s="1"/>
  <c r="E941" i="1"/>
  <c r="E903" i="98" s="1"/>
  <c r="E490" i="1"/>
  <c r="E461" i="98" s="1"/>
  <c r="E487" i="1"/>
  <c r="E458" i="98" s="1"/>
  <c r="E497" i="1"/>
  <c r="E468" i="98" s="1"/>
  <c r="E912" i="1"/>
  <c r="E874" i="98" s="1"/>
  <c r="E925" i="1"/>
  <c r="E887" i="98" s="1"/>
  <c r="E949" i="1"/>
  <c r="E911" i="98" s="1"/>
  <c r="E956" i="1"/>
  <c r="E918" i="98" s="1"/>
  <c r="E955" i="1"/>
  <c r="E917" i="98" s="1"/>
  <c r="E947" i="1"/>
  <c r="E909" i="98" s="1"/>
  <c r="E926" i="1"/>
  <c r="E888" i="98" s="1"/>
  <c r="E932" i="1"/>
  <c r="E894" i="98" s="1"/>
  <c r="E940" i="1"/>
  <c r="E902" i="98" s="1"/>
  <c r="E489" i="1"/>
  <c r="E460" i="98" s="1"/>
  <c r="E486" i="1"/>
  <c r="E457" i="98" s="1"/>
  <c r="E496" i="1"/>
  <c r="E467" i="98" s="1"/>
  <c r="N288" i="6"/>
  <c r="O288" i="6" s="1"/>
  <c r="A1217" i="1"/>
  <c r="A1170" i="98" s="1"/>
  <c r="C1217" i="1"/>
  <c r="C1170" i="98" s="1"/>
  <c r="D1217" i="1"/>
  <c r="D1170" i="98" s="1"/>
  <c r="K1217" i="1"/>
  <c r="K1170" i="98" s="1"/>
  <c r="M1217" i="1"/>
  <c r="M1170" i="98" s="1"/>
  <c r="N1217" i="1"/>
  <c r="N1170" i="98" s="1"/>
  <c r="P1217" i="1"/>
  <c r="P1170" i="98" s="1"/>
  <c r="A1216" i="1"/>
  <c r="A1169" i="98" s="1"/>
  <c r="C1216" i="1"/>
  <c r="C1169" i="98" s="1"/>
  <c r="D1216" i="1"/>
  <c r="D1169" i="98" s="1"/>
  <c r="K1216" i="1"/>
  <c r="K1169" i="98" s="1"/>
  <c r="M1216" i="1"/>
  <c r="M1169" i="98" s="1"/>
  <c r="N1216" i="1"/>
  <c r="N1169" i="98" s="1"/>
  <c r="P1216" i="1"/>
  <c r="P1169" i="98" s="1"/>
  <c r="A1213" i="1"/>
  <c r="A1166" i="98" s="1"/>
  <c r="A1214" i="1"/>
  <c r="A1167" i="98" s="1"/>
  <c r="A1215" i="1"/>
  <c r="A1168" i="98" s="1"/>
  <c r="C1213" i="1"/>
  <c r="C1166" i="98" s="1"/>
  <c r="C1214" i="1"/>
  <c r="C1167" i="98" s="1"/>
  <c r="C1215" i="1"/>
  <c r="C1168" i="98" s="1"/>
  <c r="D1213" i="1"/>
  <c r="D1166" i="98" s="1"/>
  <c r="D1214" i="1"/>
  <c r="D1167" i="98" s="1"/>
  <c r="D1215" i="1"/>
  <c r="D1168" i="98" s="1"/>
  <c r="K1213" i="1"/>
  <c r="K1166" i="98" s="1"/>
  <c r="K1214" i="1"/>
  <c r="K1167" i="98" s="1"/>
  <c r="K1215" i="1"/>
  <c r="K1168" i="98" s="1"/>
  <c r="M1213" i="1"/>
  <c r="M1166" i="98" s="1"/>
  <c r="M1214" i="1"/>
  <c r="M1167" i="98" s="1"/>
  <c r="M1215" i="1"/>
  <c r="M1168" i="98" s="1"/>
  <c r="N1213" i="1"/>
  <c r="N1166" i="98" s="1"/>
  <c r="N1214" i="1"/>
  <c r="N1167" i="98" s="1"/>
  <c r="N1215" i="1"/>
  <c r="N1168" i="98" s="1"/>
  <c r="P1213" i="1"/>
  <c r="P1166" i="98" s="1"/>
  <c r="P1214" i="1"/>
  <c r="P1167" i="98" s="1"/>
  <c r="P1215" i="1"/>
  <c r="P1168" i="98" s="1"/>
  <c r="A1212" i="1"/>
  <c r="A1165" i="98" s="1"/>
  <c r="C1212" i="1"/>
  <c r="C1165" i="98" s="1"/>
  <c r="D1212" i="1"/>
  <c r="D1165" i="98" s="1"/>
  <c r="K1212" i="1"/>
  <c r="K1165" i="98" s="1"/>
  <c r="M1212" i="1"/>
  <c r="M1165" i="98" s="1"/>
  <c r="N1212" i="1"/>
  <c r="N1165" i="98" s="1"/>
  <c r="P1212" i="1"/>
  <c r="P1165" i="98" s="1"/>
  <c r="A1210" i="1"/>
  <c r="A1163" i="98" s="1"/>
  <c r="A1211" i="1"/>
  <c r="A1164" i="98" s="1"/>
  <c r="C1210" i="1"/>
  <c r="C1163" i="98" s="1"/>
  <c r="C1211" i="1"/>
  <c r="C1164" i="98" s="1"/>
  <c r="D1210" i="1"/>
  <c r="D1163" i="98" s="1"/>
  <c r="D1211" i="1"/>
  <c r="D1164" i="98" s="1"/>
  <c r="K1210" i="1"/>
  <c r="K1163" i="98" s="1"/>
  <c r="K1211" i="1"/>
  <c r="K1164" i="98" s="1"/>
  <c r="M1210" i="1"/>
  <c r="M1163" i="98" s="1"/>
  <c r="M1211" i="1"/>
  <c r="M1164" i="98" s="1"/>
  <c r="N1210" i="1"/>
  <c r="N1163" i="98" s="1"/>
  <c r="N1211" i="1"/>
  <c r="N1164" i="98" s="1"/>
  <c r="P1210" i="1"/>
  <c r="P1163" i="98" s="1"/>
  <c r="P1211" i="1"/>
  <c r="P1164" i="98" s="1"/>
  <c r="A1208" i="1"/>
  <c r="A1161" i="98" s="1"/>
  <c r="A1209" i="1"/>
  <c r="A1162" i="98" s="1"/>
  <c r="C1208" i="1"/>
  <c r="C1161" i="98" s="1"/>
  <c r="C1209" i="1"/>
  <c r="C1162" i="98" s="1"/>
  <c r="D1208" i="1"/>
  <c r="D1161" i="98" s="1"/>
  <c r="D1209" i="1"/>
  <c r="D1162" i="98" s="1"/>
  <c r="K1208" i="1"/>
  <c r="K1161" i="98" s="1"/>
  <c r="K1209" i="1"/>
  <c r="K1162" i="98" s="1"/>
  <c r="M1208" i="1"/>
  <c r="M1161" i="98" s="1"/>
  <c r="M1209" i="1"/>
  <c r="M1162" i="98" s="1"/>
  <c r="N1208" i="1"/>
  <c r="N1161" i="98" s="1"/>
  <c r="N1209" i="1"/>
  <c r="N1162" i="98" s="1"/>
  <c r="P1208" i="1"/>
  <c r="P1161" i="98" s="1"/>
  <c r="P1209" i="1"/>
  <c r="P1162" i="98" s="1"/>
  <c r="A1206" i="1"/>
  <c r="A1159" i="98" s="1"/>
  <c r="A1207" i="1"/>
  <c r="A1160" i="98" s="1"/>
  <c r="C1206" i="1"/>
  <c r="C1159" i="98" s="1"/>
  <c r="C1207" i="1"/>
  <c r="C1160" i="98" s="1"/>
  <c r="D1206" i="1"/>
  <c r="D1159" i="98" s="1"/>
  <c r="D1207" i="1"/>
  <c r="D1160" i="98" s="1"/>
  <c r="K1206" i="1"/>
  <c r="K1159" i="98" s="1"/>
  <c r="K1207" i="1"/>
  <c r="K1160" i="98" s="1"/>
  <c r="M1206" i="1"/>
  <c r="M1159" i="98" s="1"/>
  <c r="M1207" i="1"/>
  <c r="M1160" i="98" s="1"/>
  <c r="N1206" i="1"/>
  <c r="N1159" i="98" s="1"/>
  <c r="N1207" i="1"/>
  <c r="N1160" i="98" s="1"/>
  <c r="P1206" i="1"/>
  <c r="P1159" i="98" s="1"/>
  <c r="P1207" i="1"/>
  <c r="P1160" i="98" s="1"/>
  <c r="A1204" i="1"/>
  <c r="A1157" i="98" s="1"/>
  <c r="A1205" i="1"/>
  <c r="A1158" i="98" s="1"/>
  <c r="C1204" i="1"/>
  <c r="C1157" i="98" s="1"/>
  <c r="C1205" i="1"/>
  <c r="C1158" i="98" s="1"/>
  <c r="D1204" i="1"/>
  <c r="D1157" i="98" s="1"/>
  <c r="D1205" i="1"/>
  <c r="D1158" i="98" s="1"/>
  <c r="K1204" i="1"/>
  <c r="K1157" i="98" s="1"/>
  <c r="K1205" i="1"/>
  <c r="K1158" i="98" s="1"/>
  <c r="M1204" i="1"/>
  <c r="M1157" i="98" s="1"/>
  <c r="M1205" i="1"/>
  <c r="M1158" i="98" s="1"/>
  <c r="N1204" i="1"/>
  <c r="N1157" i="98" s="1"/>
  <c r="N1205" i="1"/>
  <c r="N1158" i="98" s="1"/>
  <c r="P1204" i="1"/>
  <c r="P1157" i="98" s="1"/>
  <c r="P1205" i="1"/>
  <c r="P1158" i="98" s="1"/>
  <c r="A1222" i="1"/>
  <c r="A1174" i="98" s="1"/>
  <c r="A1223" i="1"/>
  <c r="A1175" i="98" s="1"/>
  <c r="A1224" i="1"/>
  <c r="A1176" i="98" s="1"/>
  <c r="A1225" i="1"/>
  <c r="A1177" i="98" s="1"/>
  <c r="A1226" i="1"/>
  <c r="A1178" i="98" s="1"/>
  <c r="A1227" i="1"/>
  <c r="A1179" i="98" s="1"/>
  <c r="A1228" i="1"/>
  <c r="A1180" i="98" s="1"/>
  <c r="A1229" i="1"/>
  <c r="A1181" i="98" s="1"/>
  <c r="C1222" i="1"/>
  <c r="C1174" i="98" s="1"/>
  <c r="C1223" i="1"/>
  <c r="C1175" i="98" s="1"/>
  <c r="C1224" i="1"/>
  <c r="C1176" i="98" s="1"/>
  <c r="C1225" i="1"/>
  <c r="C1177" i="98" s="1"/>
  <c r="C1226" i="1"/>
  <c r="C1178" i="98" s="1"/>
  <c r="C1227" i="1"/>
  <c r="C1179" i="98" s="1"/>
  <c r="C1228" i="1"/>
  <c r="C1180" i="98" s="1"/>
  <c r="C1229" i="1"/>
  <c r="C1181" i="98" s="1"/>
  <c r="D1222" i="1"/>
  <c r="D1174" i="98" s="1"/>
  <c r="D1223" i="1"/>
  <c r="D1175" i="98" s="1"/>
  <c r="D1224" i="1"/>
  <c r="D1176" i="98" s="1"/>
  <c r="D1225" i="1"/>
  <c r="D1177" i="98" s="1"/>
  <c r="D1226" i="1"/>
  <c r="D1178" i="98" s="1"/>
  <c r="D1227" i="1"/>
  <c r="D1179" i="98" s="1"/>
  <c r="D1228" i="1"/>
  <c r="D1180" i="98" s="1"/>
  <c r="D1229" i="1"/>
  <c r="D1181" i="98" s="1"/>
  <c r="K1222" i="1"/>
  <c r="K1174" i="98" s="1"/>
  <c r="K1223" i="1"/>
  <c r="K1175" i="98" s="1"/>
  <c r="K1224" i="1"/>
  <c r="K1176" i="98" s="1"/>
  <c r="K1225" i="1"/>
  <c r="K1177" i="98" s="1"/>
  <c r="K1226" i="1"/>
  <c r="K1178" i="98" s="1"/>
  <c r="K1227" i="1"/>
  <c r="K1179" i="98" s="1"/>
  <c r="K1228" i="1"/>
  <c r="K1180" i="98" s="1"/>
  <c r="K1229" i="1"/>
  <c r="K1181" i="98" s="1"/>
  <c r="M1222" i="1"/>
  <c r="M1174" i="98" s="1"/>
  <c r="M1223" i="1"/>
  <c r="M1175" i="98" s="1"/>
  <c r="M1224" i="1"/>
  <c r="M1176" i="98" s="1"/>
  <c r="M1225" i="1"/>
  <c r="M1177" i="98" s="1"/>
  <c r="M1226" i="1"/>
  <c r="M1178" i="98" s="1"/>
  <c r="M1227" i="1"/>
  <c r="M1179" i="98" s="1"/>
  <c r="M1228" i="1"/>
  <c r="M1180" i="98" s="1"/>
  <c r="M1229" i="1"/>
  <c r="M1181" i="98" s="1"/>
  <c r="N1222" i="1"/>
  <c r="N1174" i="98" s="1"/>
  <c r="N1223" i="1"/>
  <c r="N1175" i="98" s="1"/>
  <c r="N1224" i="1"/>
  <c r="N1176" i="98" s="1"/>
  <c r="N1225" i="1"/>
  <c r="N1177" i="98" s="1"/>
  <c r="N1226" i="1"/>
  <c r="N1178" i="98" s="1"/>
  <c r="N1227" i="1"/>
  <c r="N1179" i="98" s="1"/>
  <c r="N1228" i="1"/>
  <c r="N1180" i="98" s="1"/>
  <c r="N1229" i="1"/>
  <c r="N1181" i="98" s="1"/>
  <c r="P1222" i="1"/>
  <c r="P1174" i="98" s="1"/>
  <c r="P1223" i="1"/>
  <c r="P1175" i="98" s="1"/>
  <c r="P1224" i="1"/>
  <c r="P1176" i="98" s="1"/>
  <c r="P1225" i="1"/>
  <c r="P1177" i="98" s="1"/>
  <c r="P1226" i="1"/>
  <c r="P1178" i="98" s="1"/>
  <c r="P1227" i="1"/>
  <c r="P1179" i="98" s="1"/>
  <c r="P1228" i="1"/>
  <c r="P1180" i="98" s="1"/>
  <c r="P1229" i="1"/>
  <c r="P1181" i="98" s="1"/>
  <c r="A1203" i="1"/>
  <c r="A1156" i="98" s="1"/>
  <c r="C1203" i="1"/>
  <c r="C1156" i="98" s="1"/>
  <c r="D1203" i="1"/>
  <c r="D1156" i="98" s="1"/>
  <c r="K1203" i="1"/>
  <c r="K1156" i="98" s="1"/>
  <c r="M1203" i="1"/>
  <c r="M1156" i="98" s="1"/>
  <c r="N1203" i="1"/>
  <c r="N1156" i="98" s="1"/>
  <c r="P1203" i="1"/>
  <c r="P1156" i="98" s="1"/>
  <c r="A1199" i="1"/>
  <c r="A1152" i="98" s="1"/>
  <c r="A1200" i="1"/>
  <c r="A1153" i="98" s="1"/>
  <c r="A1201" i="1"/>
  <c r="A1154" i="98" s="1"/>
  <c r="A1202" i="1"/>
  <c r="A1155" i="98" s="1"/>
  <c r="C1199" i="1"/>
  <c r="C1152" i="98" s="1"/>
  <c r="C1200" i="1"/>
  <c r="C1153" i="98" s="1"/>
  <c r="C1201" i="1"/>
  <c r="C1154" i="98" s="1"/>
  <c r="C1202" i="1"/>
  <c r="C1155" i="98" s="1"/>
  <c r="D1199" i="1"/>
  <c r="D1152" i="98" s="1"/>
  <c r="D1200" i="1"/>
  <c r="D1153" i="98" s="1"/>
  <c r="D1201" i="1"/>
  <c r="D1154" i="98" s="1"/>
  <c r="D1202" i="1"/>
  <c r="D1155" i="98" s="1"/>
  <c r="K1199" i="1"/>
  <c r="K1152" i="98" s="1"/>
  <c r="K1200" i="1"/>
  <c r="K1153" i="98" s="1"/>
  <c r="K1201" i="1"/>
  <c r="K1154" i="98" s="1"/>
  <c r="K1202" i="1"/>
  <c r="K1155" i="98" s="1"/>
  <c r="M1199" i="1"/>
  <c r="M1152" i="98" s="1"/>
  <c r="M1200" i="1"/>
  <c r="M1153" i="98" s="1"/>
  <c r="M1201" i="1"/>
  <c r="M1154" i="98" s="1"/>
  <c r="M1202" i="1"/>
  <c r="M1155" i="98" s="1"/>
  <c r="N1199" i="1"/>
  <c r="N1152" i="98" s="1"/>
  <c r="N1200" i="1"/>
  <c r="N1153" i="98" s="1"/>
  <c r="N1201" i="1"/>
  <c r="N1154" i="98" s="1"/>
  <c r="N1202" i="1"/>
  <c r="N1155" i="98" s="1"/>
  <c r="P1199" i="1"/>
  <c r="P1152" i="98" s="1"/>
  <c r="P1200" i="1"/>
  <c r="P1153" i="98" s="1"/>
  <c r="P1201" i="1"/>
  <c r="P1154" i="98" s="1"/>
  <c r="P1202" i="1"/>
  <c r="P1155" i="98" s="1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C264" i="6"/>
  <c r="E264" i="6" s="1"/>
  <c r="C265" i="6"/>
  <c r="E265" i="6" s="1"/>
  <c r="C266" i="6"/>
  <c r="E266" i="6" s="1"/>
  <c r="C267" i="6"/>
  <c r="E267" i="6" s="1"/>
  <c r="C268" i="6"/>
  <c r="E268" i="6" s="1"/>
  <c r="C269" i="6"/>
  <c r="E269" i="6" s="1"/>
  <c r="C270" i="6"/>
  <c r="E270" i="6" s="1"/>
  <c r="C271" i="6"/>
  <c r="E271" i="6" s="1"/>
  <c r="C272" i="6"/>
  <c r="E272" i="6" s="1"/>
  <c r="C273" i="6"/>
  <c r="E273" i="6" s="1"/>
  <c r="C274" i="6"/>
  <c r="E274" i="6" s="1"/>
  <c r="C275" i="6"/>
  <c r="E275" i="6" s="1"/>
  <c r="C276" i="6"/>
  <c r="E276" i="6" s="1"/>
  <c r="C277" i="6"/>
  <c r="E277" i="6" s="1"/>
  <c r="C278" i="6"/>
  <c r="E278" i="6" s="1"/>
  <c r="C279" i="6"/>
  <c r="E279" i="6" s="1"/>
  <c r="C280" i="6"/>
  <c r="E280" i="6" s="1"/>
  <c r="C281" i="6"/>
  <c r="E281" i="6" s="1"/>
  <c r="C282" i="6"/>
  <c r="E282" i="6" s="1"/>
  <c r="C283" i="6"/>
  <c r="E283" i="6" s="1"/>
  <c r="C284" i="6"/>
  <c r="E284" i="6" s="1"/>
  <c r="C285" i="6"/>
  <c r="E285" i="6" s="1"/>
  <c r="C286" i="6"/>
  <c r="E286" i="6" s="1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K264" i="6"/>
  <c r="K265" i="6"/>
  <c r="N265" i="6" s="1"/>
  <c r="O265" i="6" s="1"/>
  <c r="K266" i="6"/>
  <c r="N266" i="6" s="1"/>
  <c r="O266" i="6" s="1"/>
  <c r="K267" i="6"/>
  <c r="N267" i="6" s="1"/>
  <c r="O267" i="6" s="1"/>
  <c r="K268" i="6"/>
  <c r="N268" i="6" s="1"/>
  <c r="O268" i="6" s="1"/>
  <c r="K269" i="6"/>
  <c r="N269" i="6" s="1"/>
  <c r="O269" i="6" s="1"/>
  <c r="K270" i="6"/>
  <c r="N270" i="6" s="1"/>
  <c r="O270" i="6" s="1"/>
  <c r="K271" i="6"/>
  <c r="N271" i="6" s="1"/>
  <c r="O271" i="6" s="1"/>
  <c r="K272" i="6"/>
  <c r="N272" i="6" s="1"/>
  <c r="O272" i="6" s="1"/>
  <c r="K273" i="6"/>
  <c r="N273" i="6" s="1"/>
  <c r="O273" i="6" s="1"/>
  <c r="K274" i="6"/>
  <c r="N274" i="6" s="1"/>
  <c r="O274" i="6" s="1"/>
  <c r="K275" i="6"/>
  <c r="N275" i="6" s="1"/>
  <c r="O275" i="6" s="1"/>
  <c r="K276" i="6"/>
  <c r="N276" i="6" s="1"/>
  <c r="O276" i="6" s="1"/>
  <c r="K277" i="6"/>
  <c r="N277" i="6" s="1"/>
  <c r="O277" i="6" s="1"/>
  <c r="K278" i="6"/>
  <c r="N278" i="6" s="1"/>
  <c r="O278" i="6" s="1"/>
  <c r="K279" i="6"/>
  <c r="N279" i="6" s="1"/>
  <c r="O279" i="6" s="1"/>
  <c r="K280" i="6"/>
  <c r="N280" i="6" s="1"/>
  <c r="O280" i="6" s="1"/>
  <c r="K281" i="6"/>
  <c r="N281" i="6" s="1"/>
  <c r="O281" i="6" s="1"/>
  <c r="K282" i="6"/>
  <c r="N282" i="6" s="1"/>
  <c r="O282" i="6" s="1"/>
  <c r="K283" i="6"/>
  <c r="N283" i="6" s="1"/>
  <c r="O283" i="6" s="1"/>
  <c r="K284" i="6"/>
  <c r="N284" i="6" s="1"/>
  <c r="O284" i="6" s="1"/>
  <c r="K285" i="6"/>
  <c r="N285" i="6" s="1"/>
  <c r="O285" i="6" s="1"/>
  <c r="K286" i="6"/>
  <c r="N286" i="6" s="1"/>
  <c r="O286" i="6" s="1"/>
  <c r="H1104" i="1"/>
  <c r="H1059" i="98" s="1"/>
  <c r="A1104" i="1"/>
  <c r="A1059" i="98" s="1"/>
  <c r="C1104" i="1"/>
  <c r="C1059" i="98" s="1"/>
  <c r="D1104" i="1"/>
  <c r="D1059" i="98" s="1"/>
  <c r="K1104" i="1"/>
  <c r="K1059" i="98" s="1"/>
  <c r="M1104" i="1"/>
  <c r="M1059" i="98" s="1"/>
  <c r="N1104" i="1"/>
  <c r="N1059" i="98" s="1"/>
  <c r="P1104" i="1"/>
  <c r="P1059" i="98" s="1"/>
  <c r="E1200" i="1" l="1"/>
  <c r="E1153" i="98" s="1"/>
  <c r="E1199" i="1"/>
  <c r="E1152" i="98" s="1"/>
  <c r="E1204" i="1"/>
  <c r="E1157" i="98" s="1"/>
  <c r="E1224" i="1"/>
  <c r="E1176" i="98" s="1"/>
  <c r="E1210" i="1"/>
  <c r="E1163" i="98" s="1"/>
  <c r="E1212" i="1"/>
  <c r="E1165" i="98" s="1"/>
  <c r="E1225" i="1"/>
  <c r="E1177" i="98" s="1"/>
  <c r="E1211" i="1"/>
  <c r="E1164" i="98" s="1"/>
  <c r="E1223" i="1"/>
  <c r="E1175" i="98" s="1"/>
  <c r="E1209" i="1"/>
  <c r="E1162" i="98" s="1"/>
  <c r="E1201" i="1"/>
  <c r="E1154" i="98" s="1"/>
  <c r="E1104" i="1"/>
  <c r="E1059" i="98" s="1"/>
  <c r="E1203" i="1"/>
  <c r="E1156" i="98" s="1"/>
  <c r="E1215" i="1"/>
  <c r="E1168" i="98" s="1"/>
  <c r="E1222" i="1"/>
  <c r="E1174" i="98" s="1"/>
  <c r="E1208" i="1"/>
  <c r="E1161" i="98" s="1"/>
  <c r="E1214" i="1"/>
  <c r="E1167" i="98" s="1"/>
  <c r="E1213" i="1"/>
  <c r="E1166" i="98" s="1"/>
  <c r="E1217" i="1"/>
  <c r="E1170" i="98" s="1"/>
  <c r="E1226" i="1"/>
  <c r="E1178" i="98" s="1"/>
  <c r="E1229" i="1"/>
  <c r="E1181" i="98" s="1"/>
  <c r="E1207" i="1"/>
  <c r="E1160" i="98" s="1"/>
  <c r="E1202" i="1"/>
  <c r="E1155" i="98" s="1"/>
  <c r="E1228" i="1"/>
  <c r="E1180" i="98" s="1"/>
  <c r="E1206" i="1"/>
  <c r="E1159" i="98" s="1"/>
  <c r="E1216" i="1"/>
  <c r="E1169" i="98" s="1"/>
  <c r="E1227" i="1"/>
  <c r="E1179" i="98" s="1"/>
  <c r="E1205" i="1"/>
  <c r="E1158" i="98" s="1"/>
  <c r="N264" i="6"/>
  <c r="O264" i="6" s="1"/>
  <c r="A1237" i="1"/>
  <c r="C1237" i="1"/>
  <c r="E1237" i="1" s="1"/>
  <c r="D1237" i="1"/>
  <c r="K1237" i="1"/>
  <c r="N1237" i="1"/>
  <c r="P1237" i="1"/>
  <c r="A413" i="1"/>
  <c r="A385" i="98" s="1"/>
  <c r="C413" i="1"/>
  <c r="C385" i="98" s="1"/>
  <c r="D413" i="1"/>
  <c r="D385" i="98" s="1"/>
  <c r="K413" i="1"/>
  <c r="K385" i="98" s="1"/>
  <c r="M413" i="1"/>
  <c r="M385" i="98" s="1"/>
  <c r="N413" i="1"/>
  <c r="N385" i="98" s="1"/>
  <c r="P413" i="1"/>
  <c r="P385" i="98" s="1"/>
  <c r="A412" i="1"/>
  <c r="A384" i="98" s="1"/>
  <c r="C412" i="1"/>
  <c r="C384" i="98" s="1"/>
  <c r="D412" i="1"/>
  <c r="D384" i="98" s="1"/>
  <c r="K412" i="1"/>
  <c r="K384" i="98" s="1"/>
  <c r="M412" i="1"/>
  <c r="M384" i="98" s="1"/>
  <c r="N412" i="1"/>
  <c r="N384" i="98" s="1"/>
  <c r="P412" i="1"/>
  <c r="P384" i="98" s="1"/>
  <c r="A411" i="1"/>
  <c r="A383" i="98" s="1"/>
  <c r="C411" i="1"/>
  <c r="C383" i="98" s="1"/>
  <c r="D411" i="1"/>
  <c r="D383" i="98" s="1"/>
  <c r="K411" i="1"/>
  <c r="K383" i="98" s="1"/>
  <c r="M411" i="1"/>
  <c r="M383" i="98" s="1"/>
  <c r="N411" i="1"/>
  <c r="N383" i="98" s="1"/>
  <c r="P411" i="1"/>
  <c r="P383" i="98" s="1"/>
  <c r="A409" i="1"/>
  <c r="A381" i="98" s="1"/>
  <c r="A410" i="1"/>
  <c r="A382" i="98" s="1"/>
  <c r="C409" i="1"/>
  <c r="C381" i="98" s="1"/>
  <c r="C410" i="1"/>
  <c r="C382" i="98" s="1"/>
  <c r="D409" i="1"/>
  <c r="D381" i="98" s="1"/>
  <c r="D410" i="1"/>
  <c r="D382" i="98" s="1"/>
  <c r="K409" i="1"/>
  <c r="K381" i="98" s="1"/>
  <c r="K410" i="1"/>
  <c r="K382" i="98" s="1"/>
  <c r="M409" i="1"/>
  <c r="M381" i="98" s="1"/>
  <c r="M410" i="1"/>
  <c r="M382" i="98" s="1"/>
  <c r="N409" i="1"/>
  <c r="N381" i="98" s="1"/>
  <c r="N410" i="1"/>
  <c r="N382" i="98" s="1"/>
  <c r="P409" i="1"/>
  <c r="P381" i="98" s="1"/>
  <c r="P410" i="1"/>
  <c r="P382" i="98" s="1"/>
  <c r="A408" i="1"/>
  <c r="A380" i="98" s="1"/>
  <c r="C408" i="1"/>
  <c r="C380" i="98" s="1"/>
  <c r="D408" i="1"/>
  <c r="D380" i="98" s="1"/>
  <c r="K408" i="1"/>
  <c r="K380" i="98" s="1"/>
  <c r="M408" i="1"/>
  <c r="M380" i="98" s="1"/>
  <c r="N408" i="1"/>
  <c r="N380" i="98" s="1"/>
  <c r="P408" i="1"/>
  <c r="P380" i="98" s="1"/>
  <c r="A51" i="5"/>
  <c r="C51" i="5"/>
  <c r="E51" i="5" s="1"/>
  <c r="D51" i="5"/>
  <c r="A263" i="6"/>
  <c r="C263" i="6"/>
  <c r="E263" i="6" s="1"/>
  <c r="D263" i="6"/>
  <c r="K263" i="6"/>
  <c r="N263" i="6" s="1"/>
  <c r="O263" i="6" s="1"/>
  <c r="E410" i="1" l="1"/>
  <c r="E382" i="98" s="1"/>
  <c r="E412" i="1"/>
  <c r="E384" i="98" s="1"/>
  <c r="E413" i="1"/>
  <c r="E385" i="98" s="1"/>
  <c r="E409" i="1"/>
  <c r="E381" i="98" s="1"/>
  <c r="E411" i="1"/>
  <c r="E383" i="98" s="1"/>
  <c r="E408" i="1"/>
  <c r="E380" i="98" s="1"/>
  <c r="A25" i="9"/>
  <c r="C25" i="9"/>
  <c r="D25" i="9"/>
  <c r="E25" i="9"/>
  <c r="M25" i="9"/>
  <c r="P25" i="9"/>
  <c r="R25" i="9"/>
  <c r="S25" i="9"/>
  <c r="U25" i="9"/>
  <c r="A24" i="9"/>
  <c r="C24" i="9"/>
  <c r="D24" i="9"/>
  <c r="E24" i="9"/>
  <c r="P24" i="9"/>
  <c r="R24" i="9"/>
  <c r="S24" i="9"/>
  <c r="U24" i="9"/>
  <c r="A23" i="9"/>
  <c r="C23" i="9"/>
  <c r="D23" i="9"/>
  <c r="E23" i="9"/>
  <c r="P23" i="9"/>
  <c r="R23" i="9"/>
  <c r="S23" i="9"/>
  <c r="U23" i="9"/>
  <c r="A13" i="9"/>
  <c r="C13" i="9"/>
  <c r="D13" i="9"/>
  <c r="E13" i="9"/>
  <c r="M13" i="9"/>
  <c r="P13" i="9"/>
  <c r="R13" i="9"/>
  <c r="S13" i="9"/>
  <c r="U13" i="9"/>
  <c r="A1256" i="1"/>
  <c r="A1206" i="98" s="1"/>
  <c r="C1256" i="1"/>
  <c r="C1206" i="98" s="1"/>
  <c r="D1256" i="1"/>
  <c r="D1206" i="98" s="1"/>
  <c r="K1256" i="1"/>
  <c r="K1206" i="98" s="1"/>
  <c r="M1256" i="1"/>
  <c r="M1206" i="98" s="1"/>
  <c r="N1256" i="1"/>
  <c r="N1206" i="98" s="1"/>
  <c r="P1256" i="1"/>
  <c r="P1206" i="98" s="1"/>
  <c r="A1165" i="1"/>
  <c r="A1118" i="98" s="1"/>
  <c r="A1166" i="1"/>
  <c r="A1119" i="98" s="1"/>
  <c r="C1165" i="1"/>
  <c r="C1118" i="98" s="1"/>
  <c r="C1166" i="1"/>
  <c r="C1119" i="98" s="1"/>
  <c r="D1165" i="1"/>
  <c r="D1118" i="98" s="1"/>
  <c r="D1166" i="1"/>
  <c r="D1119" i="98" s="1"/>
  <c r="K1165" i="1"/>
  <c r="K1118" i="98" s="1"/>
  <c r="K1166" i="1"/>
  <c r="K1119" i="98" s="1"/>
  <c r="M1165" i="1"/>
  <c r="M1118" i="98" s="1"/>
  <c r="M1166" i="1"/>
  <c r="M1119" i="98" s="1"/>
  <c r="N1165" i="1"/>
  <c r="N1118" i="98" s="1"/>
  <c r="N1166" i="1"/>
  <c r="N1119" i="98" s="1"/>
  <c r="P1165" i="1"/>
  <c r="P1118" i="98" s="1"/>
  <c r="P1166" i="1"/>
  <c r="P1119" i="98" s="1"/>
  <c r="A1164" i="1"/>
  <c r="A1117" i="98" s="1"/>
  <c r="C1164" i="1"/>
  <c r="C1117" i="98" s="1"/>
  <c r="D1164" i="1"/>
  <c r="D1117" i="98" s="1"/>
  <c r="K1164" i="1"/>
  <c r="K1117" i="98" s="1"/>
  <c r="M1164" i="1"/>
  <c r="M1117" i="98" s="1"/>
  <c r="N1164" i="1"/>
  <c r="N1117" i="98" s="1"/>
  <c r="P1164" i="1"/>
  <c r="P1117" i="98" s="1"/>
  <c r="A1163" i="1"/>
  <c r="A1116" i="98" s="1"/>
  <c r="C1163" i="1"/>
  <c r="C1116" i="98" s="1"/>
  <c r="D1163" i="1"/>
  <c r="D1116" i="98" s="1"/>
  <c r="K1163" i="1"/>
  <c r="K1116" i="98" s="1"/>
  <c r="M1163" i="1"/>
  <c r="M1116" i="98" s="1"/>
  <c r="N1163" i="1"/>
  <c r="N1116" i="98" s="1"/>
  <c r="P1163" i="1"/>
  <c r="P1116" i="98" s="1"/>
  <c r="A1162" i="1"/>
  <c r="A1115" i="98" s="1"/>
  <c r="C1162" i="1"/>
  <c r="C1115" i="98" s="1"/>
  <c r="D1162" i="1"/>
  <c r="D1115" i="98" s="1"/>
  <c r="K1162" i="1"/>
  <c r="K1115" i="98" s="1"/>
  <c r="M1162" i="1"/>
  <c r="M1115" i="98" s="1"/>
  <c r="N1162" i="1"/>
  <c r="N1115" i="98" s="1"/>
  <c r="P1162" i="1"/>
  <c r="P1115" i="98" s="1"/>
  <c r="A1161" i="1"/>
  <c r="A1114" i="98" s="1"/>
  <c r="C1161" i="1"/>
  <c r="C1114" i="98" s="1"/>
  <c r="D1161" i="1"/>
  <c r="D1114" i="98" s="1"/>
  <c r="K1161" i="1"/>
  <c r="K1114" i="98" s="1"/>
  <c r="M1161" i="1"/>
  <c r="M1114" i="98" s="1"/>
  <c r="N1161" i="1"/>
  <c r="N1114" i="98" s="1"/>
  <c r="P1161" i="1"/>
  <c r="P1114" i="98" s="1"/>
  <c r="A1160" i="1"/>
  <c r="A1113" i="98" s="1"/>
  <c r="C1160" i="1"/>
  <c r="C1113" i="98" s="1"/>
  <c r="D1160" i="1"/>
  <c r="D1113" i="98" s="1"/>
  <c r="K1160" i="1"/>
  <c r="K1113" i="98" s="1"/>
  <c r="M1160" i="1"/>
  <c r="M1113" i="98" s="1"/>
  <c r="N1160" i="1"/>
  <c r="N1113" i="98" s="1"/>
  <c r="P1160" i="1"/>
  <c r="P1113" i="98" s="1"/>
  <c r="A1159" i="1"/>
  <c r="A1112" i="98" s="1"/>
  <c r="C1159" i="1"/>
  <c r="C1112" i="98" s="1"/>
  <c r="D1159" i="1"/>
  <c r="D1112" i="98" s="1"/>
  <c r="K1159" i="1"/>
  <c r="K1112" i="98" s="1"/>
  <c r="M1159" i="1"/>
  <c r="M1112" i="98" s="1"/>
  <c r="N1159" i="1"/>
  <c r="N1112" i="98" s="1"/>
  <c r="P1159" i="1"/>
  <c r="P1112" i="98" s="1"/>
  <c r="A1152" i="1"/>
  <c r="A1105" i="98" s="1"/>
  <c r="A1153" i="1"/>
  <c r="A1106" i="98" s="1"/>
  <c r="A1154" i="1"/>
  <c r="A1107" i="98" s="1"/>
  <c r="A1155" i="1"/>
  <c r="A1108" i="98" s="1"/>
  <c r="A1156" i="1"/>
  <c r="A1109" i="98" s="1"/>
  <c r="A1157" i="1"/>
  <c r="A1110" i="98" s="1"/>
  <c r="A1158" i="1"/>
  <c r="A1111" i="98" s="1"/>
  <c r="C1152" i="1"/>
  <c r="C1105" i="98" s="1"/>
  <c r="C1153" i="1"/>
  <c r="C1106" i="98" s="1"/>
  <c r="C1154" i="1"/>
  <c r="C1107" i="98" s="1"/>
  <c r="C1155" i="1"/>
  <c r="C1108" i="98" s="1"/>
  <c r="C1156" i="1"/>
  <c r="C1109" i="98" s="1"/>
  <c r="C1157" i="1"/>
  <c r="C1110" i="98" s="1"/>
  <c r="C1158" i="1"/>
  <c r="C1111" i="98" s="1"/>
  <c r="D1152" i="1"/>
  <c r="D1105" i="98" s="1"/>
  <c r="D1153" i="1"/>
  <c r="D1106" i="98" s="1"/>
  <c r="D1154" i="1"/>
  <c r="D1107" i="98" s="1"/>
  <c r="D1155" i="1"/>
  <c r="D1108" i="98" s="1"/>
  <c r="D1156" i="1"/>
  <c r="D1109" i="98" s="1"/>
  <c r="D1157" i="1"/>
  <c r="D1110" i="98" s="1"/>
  <c r="D1158" i="1"/>
  <c r="D1111" i="98" s="1"/>
  <c r="K1152" i="1"/>
  <c r="K1105" i="98" s="1"/>
  <c r="K1153" i="1"/>
  <c r="K1106" i="98" s="1"/>
  <c r="K1154" i="1"/>
  <c r="K1107" i="98" s="1"/>
  <c r="K1155" i="1"/>
  <c r="K1108" i="98" s="1"/>
  <c r="K1156" i="1"/>
  <c r="K1109" i="98" s="1"/>
  <c r="K1157" i="1"/>
  <c r="K1110" i="98" s="1"/>
  <c r="K1158" i="1"/>
  <c r="K1111" i="98" s="1"/>
  <c r="M1152" i="1"/>
  <c r="M1105" i="98" s="1"/>
  <c r="M1153" i="1"/>
  <c r="M1106" i="98" s="1"/>
  <c r="M1154" i="1"/>
  <c r="M1107" i="98" s="1"/>
  <c r="M1155" i="1"/>
  <c r="M1108" i="98" s="1"/>
  <c r="M1156" i="1"/>
  <c r="M1109" i="98" s="1"/>
  <c r="M1157" i="1"/>
  <c r="M1110" i="98" s="1"/>
  <c r="M1158" i="1"/>
  <c r="M1111" i="98" s="1"/>
  <c r="N1152" i="1"/>
  <c r="N1105" i="98" s="1"/>
  <c r="N1153" i="1"/>
  <c r="N1106" i="98" s="1"/>
  <c r="N1154" i="1"/>
  <c r="N1107" i="98" s="1"/>
  <c r="N1155" i="1"/>
  <c r="N1108" i="98" s="1"/>
  <c r="N1156" i="1"/>
  <c r="N1109" i="98" s="1"/>
  <c r="N1157" i="1"/>
  <c r="N1110" i="98" s="1"/>
  <c r="N1158" i="1"/>
  <c r="N1111" i="98" s="1"/>
  <c r="P1152" i="1"/>
  <c r="P1105" i="98" s="1"/>
  <c r="P1153" i="1"/>
  <c r="P1106" i="98" s="1"/>
  <c r="P1154" i="1"/>
  <c r="P1107" i="98" s="1"/>
  <c r="P1155" i="1"/>
  <c r="P1108" i="98" s="1"/>
  <c r="P1156" i="1"/>
  <c r="P1109" i="98" s="1"/>
  <c r="P1157" i="1"/>
  <c r="P1110" i="98" s="1"/>
  <c r="P1158" i="1"/>
  <c r="P1111" i="98" s="1"/>
  <c r="A1174" i="1"/>
  <c r="A1127" i="98" s="1"/>
  <c r="A1175" i="1"/>
  <c r="A1128" i="98" s="1"/>
  <c r="C1174" i="1"/>
  <c r="C1127" i="98" s="1"/>
  <c r="C1175" i="1"/>
  <c r="C1128" i="98" s="1"/>
  <c r="D1174" i="1"/>
  <c r="D1127" i="98" s="1"/>
  <c r="D1175" i="1"/>
  <c r="D1128" i="98" s="1"/>
  <c r="K1174" i="1"/>
  <c r="K1127" i="98" s="1"/>
  <c r="K1175" i="1"/>
  <c r="K1128" i="98" s="1"/>
  <c r="M1174" i="1"/>
  <c r="M1127" i="98" s="1"/>
  <c r="M1175" i="1"/>
  <c r="M1128" i="98" s="1"/>
  <c r="N1174" i="1"/>
  <c r="N1127" i="98" s="1"/>
  <c r="N1175" i="1"/>
  <c r="N1128" i="98" s="1"/>
  <c r="P1174" i="1"/>
  <c r="P1127" i="98" s="1"/>
  <c r="P1175" i="1"/>
  <c r="P1128" i="98" s="1"/>
  <c r="A1151" i="1"/>
  <c r="A1104" i="98" s="1"/>
  <c r="C1151" i="1"/>
  <c r="C1104" i="98" s="1"/>
  <c r="D1151" i="1"/>
  <c r="D1104" i="98" s="1"/>
  <c r="K1151" i="1"/>
  <c r="K1104" i="98" s="1"/>
  <c r="M1151" i="1"/>
  <c r="M1104" i="98" s="1"/>
  <c r="N1151" i="1"/>
  <c r="N1104" i="98" s="1"/>
  <c r="P1151" i="1"/>
  <c r="P1104" i="98" s="1"/>
  <c r="A1167" i="1"/>
  <c r="A1120" i="98" s="1"/>
  <c r="A1168" i="1"/>
  <c r="A1121" i="98" s="1"/>
  <c r="A1169" i="1"/>
  <c r="A1122" i="98" s="1"/>
  <c r="A1170" i="1"/>
  <c r="A1123" i="98" s="1"/>
  <c r="A1171" i="1"/>
  <c r="A1124" i="98" s="1"/>
  <c r="A1172" i="1"/>
  <c r="A1125" i="98" s="1"/>
  <c r="A1173" i="1"/>
  <c r="A1126" i="98" s="1"/>
  <c r="C1167" i="1"/>
  <c r="C1120" i="98" s="1"/>
  <c r="C1168" i="1"/>
  <c r="C1121" i="98" s="1"/>
  <c r="C1169" i="1"/>
  <c r="C1122" i="98" s="1"/>
  <c r="C1170" i="1"/>
  <c r="C1123" i="98" s="1"/>
  <c r="C1171" i="1"/>
  <c r="C1124" i="98" s="1"/>
  <c r="C1172" i="1"/>
  <c r="C1125" i="98" s="1"/>
  <c r="C1173" i="1"/>
  <c r="C1126" i="98" s="1"/>
  <c r="D1167" i="1"/>
  <c r="D1120" i="98" s="1"/>
  <c r="D1168" i="1"/>
  <c r="D1121" i="98" s="1"/>
  <c r="D1169" i="1"/>
  <c r="D1122" i="98" s="1"/>
  <c r="D1170" i="1"/>
  <c r="D1123" i="98" s="1"/>
  <c r="D1171" i="1"/>
  <c r="D1124" i="98" s="1"/>
  <c r="D1172" i="1"/>
  <c r="D1125" i="98" s="1"/>
  <c r="D1173" i="1"/>
  <c r="D1126" i="98" s="1"/>
  <c r="K1167" i="1"/>
  <c r="K1120" i="98" s="1"/>
  <c r="K1168" i="1"/>
  <c r="K1121" i="98" s="1"/>
  <c r="K1169" i="1"/>
  <c r="K1122" i="98" s="1"/>
  <c r="K1170" i="1"/>
  <c r="K1123" i="98" s="1"/>
  <c r="K1171" i="1"/>
  <c r="K1124" i="98" s="1"/>
  <c r="K1172" i="1"/>
  <c r="K1125" i="98" s="1"/>
  <c r="K1173" i="1"/>
  <c r="K1126" i="98" s="1"/>
  <c r="M1167" i="1"/>
  <c r="M1120" i="98" s="1"/>
  <c r="M1168" i="1"/>
  <c r="M1121" i="98" s="1"/>
  <c r="M1169" i="1"/>
  <c r="M1122" i="98" s="1"/>
  <c r="M1170" i="1"/>
  <c r="M1123" i="98" s="1"/>
  <c r="M1171" i="1"/>
  <c r="M1124" i="98" s="1"/>
  <c r="M1172" i="1"/>
  <c r="M1125" i="98" s="1"/>
  <c r="M1173" i="1"/>
  <c r="M1126" i="98" s="1"/>
  <c r="N1167" i="1"/>
  <c r="N1120" i="98" s="1"/>
  <c r="N1168" i="1"/>
  <c r="N1121" i="98" s="1"/>
  <c r="N1169" i="1"/>
  <c r="N1122" i="98" s="1"/>
  <c r="N1170" i="1"/>
  <c r="N1123" i="98" s="1"/>
  <c r="N1171" i="1"/>
  <c r="N1124" i="98" s="1"/>
  <c r="N1172" i="1"/>
  <c r="N1125" i="98" s="1"/>
  <c r="N1173" i="1"/>
  <c r="N1126" i="98" s="1"/>
  <c r="P1167" i="1"/>
  <c r="P1120" i="98" s="1"/>
  <c r="P1168" i="1"/>
  <c r="P1121" i="98" s="1"/>
  <c r="P1169" i="1"/>
  <c r="P1122" i="98" s="1"/>
  <c r="P1170" i="1"/>
  <c r="P1123" i="98" s="1"/>
  <c r="P1171" i="1"/>
  <c r="P1124" i="98" s="1"/>
  <c r="P1172" i="1"/>
  <c r="P1125" i="98" s="1"/>
  <c r="P1173" i="1"/>
  <c r="P1126" i="98" s="1"/>
  <c r="A1150" i="1"/>
  <c r="A1103" i="98" s="1"/>
  <c r="C1150" i="1"/>
  <c r="C1103" i="98" s="1"/>
  <c r="D1150" i="1"/>
  <c r="D1103" i="98" s="1"/>
  <c r="K1150" i="1"/>
  <c r="K1103" i="98" s="1"/>
  <c r="M1150" i="1"/>
  <c r="M1103" i="98" s="1"/>
  <c r="N1150" i="1"/>
  <c r="N1103" i="98" s="1"/>
  <c r="P1150" i="1"/>
  <c r="P1103" i="98" s="1"/>
  <c r="A1147" i="1"/>
  <c r="A1100" i="98" s="1"/>
  <c r="A1148" i="1"/>
  <c r="A1101" i="98" s="1"/>
  <c r="A1149" i="1"/>
  <c r="A1102" i="98" s="1"/>
  <c r="C1147" i="1"/>
  <c r="C1100" i="98" s="1"/>
  <c r="C1148" i="1"/>
  <c r="C1101" i="98" s="1"/>
  <c r="C1149" i="1"/>
  <c r="C1102" i="98" s="1"/>
  <c r="D1147" i="1"/>
  <c r="D1100" i="98" s="1"/>
  <c r="D1148" i="1"/>
  <c r="D1101" i="98" s="1"/>
  <c r="D1149" i="1"/>
  <c r="D1102" i="98" s="1"/>
  <c r="K1147" i="1"/>
  <c r="K1100" i="98" s="1"/>
  <c r="K1148" i="1"/>
  <c r="K1101" i="98" s="1"/>
  <c r="K1149" i="1"/>
  <c r="K1102" i="98" s="1"/>
  <c r="M1147" i="1"/>
  <c r="M1100" i="98" s="1"/>
  <c r="M1148" i="1"/>
  <c r="M1101" i="98" s="1"/>
  <c r="M1149" i="1"/>
  <c r="M1102" i="98" s="1"/>
  <c r="N1147" i="1"/>
  <c r="N1100" i="98" s="1"/>
  <c r="N1148" i="1"/>
  <c r="N1101" i="98" s="1"/>
  <c r="N1149" i="1"/>
  <c r="N1102" i="98" s="1"/>
  <c r="P1147" i="1"/>
  <c r="P1100" i="98" s="1"/>
  <c r="P1148" i="1"/>
  <c r="P1101" i="98" s="1"/>
  <c r="P1149" i="1"/>
  <c r="P1102" i="98" s="1"/>
  <c r="A262" i="6"/>
  <c r="C262" i="6"/>
  <c r="E262" i="6" s="1"/>
  <c r="D262" i="6"/>
  <c r="K262" i="6"/>
  <c r="N262" i="6" s="1"/>
  <c r="O262" i="6" s="1"/>
  <c r="A256" i="6"/>
  <c r="A257" i="6"/>
  <c r="A258" i="6"/>
  <c r="A259" i="6"/>
  <c r="A260" i="6"/>
  <c r="A261" i="6"/>
  <c r="C256" i="6"/>
  <c r="E256" i="6" s="1"/>
  <c r="C257" i="6"/>
  <c r="E257" i="6" s="1"/>
  <c r="C258" i="6"/>
  <c r="E258" i="6" s="1"/>
  <c r="C259" i="6"/>
  <c r="E259" i="6" s="1"/>
  <c r="C260" i="6"/>
  <c r="E260" i="6" s="1"/>
  <c r="C261" i="6"/>
  <c r="E261" i="6" s="1"/>
  <c r="D256" i="6"/>
  <c r="D257" i="6"/>
  <c r="D258" i="6"/>
  <c r="D259" i="6"/>
  <c r="D260" i="6"/>
  <c r="D261" i="6"/>
  <c r="K256" i="6"/>
  <c r="N256" i="6" s="1"/>
  <c r="O256" i="6" s="1"/>
  <c r="K257" i="6"/>
  <c r="N257" i="6" s="1"/>
  <c r="O257" i="6" s="1"/>
  <c r="K258" i="6"/>
  <c r="N258" i="6" s="1"/>
  <c r="O258" i="6" s="1"/>
  <c r="K259" i="6"/>
  <c r="N259" i="6" s="1"/>
  <c r="O259" i="6" s="1"/>
  <c r="K260" i="6"/>
  <c r="N260" i="6" s="1"/>
  <c r="O260" i="6" s="1"/>
  <c r="K261" i="6"/>
  <c r="N261" i="6" s="1"/>
  <c r="O261" i="6" s="1"/>
  <c r="A22" i="9"/>
  <c r="C22" i="9"/>
  <c r="D22" i="9"/>
  <c r="E22" i="9"/>
  <c r="M22" i="9"/>
  <c r="P22" i="9"/>
  <c r="R22" i="9"/>
  <c r="S22" i="9"/>
  <c r="U22" i="9"/>
  <c r="E1165" i="1" l="1"/>
  <c r="E1118" i="98" s="1"/>
  <c r="E1256" i="1"/>
  <c r="E1206" i="98" s="1"/>
  <c r="E1147" i="1"/>
  <c r="E1100" i="98" s="1"/>
  <c r="E1171" i="1"/>
  <c r="E1124" i="98" s="1"/>
  <c r="E1154" i="1"/>
  <c r="E1107" i="98" s="1"/>
  <c r="E1170" i="1"/>
  <c r="E1123" i="98" s="1"/>
  <c r="E1151" i="1"/>
  <c r="E1104" i="98" s="1"/>
  <c r="E1153" i="1"/>
  <c r="E1106" i="98" s="1"/>
  <c r="E1172" i="1"/>
  <c r="E1125" i="98" s="1"/>
  <c r="E1159" i="1"/>
  <c r="E1112" i="98" s="1"/>
  <c r="E1150" i="1"/>
  <c r="E1103" i="98" s="1"/>
  <c r="E1169" i="1"/>
  <c r="E1122" i="98" s="1"/>
  <c r="E1152" i="1"/>
  <c r="E1105" i="98" s="1"/>
  <c r="E1164" i="1"/>
  <c r="E1117" i="98" s="1"/>
  <c r="E1148" i="1"/>
  <c r="E1101" i="98" s="1"/>
  <c r="E1155" i="1"/>
  <c r="E1108" i="98" s="1"/>
  <c r="E1168" i="1"/>
  <c r="E1121" i="98" s="1"/>
  <c r="E1163" i="1"/>
  <c r="E1116" i="98" s="1"/>
  <c r="E1167" i="1"/>
  <c r="E1120" i="98" s="1"/>
  <c r="E1158" i="1"/>
  <c r="E1111" i="98" s="1"/>
  <c r="E1162" i="1"/>
  <c r="E1115" i="98" s="1"/>
  <c r="E1175" i="1"/>
  <c r="E1128" i="98" s="1"/>
  <c r="E1157" i="1"/>
  <c r="E1110" i="98" s="1"/>
  <c r="E1161" i="1"/>
  <c r="E1114" i="98" s="1"/>
  <c r="E1149" i="1"/>
  <c r="E1102" i="98" s="1"/>
  <c r="E1173" i="1"/>
  <c r="E1126" i="98" s="1"/>
  <c r="E1174" i="1"/>
  <c r="E1127" i="98" s="1"/>
  <c r="E1156" i="1"/>
  <c r="E1109" i="98" s="1"/>
  <c r="E1160" i="1"/>
  <c r="E1113" i="98" s="1"/>
  <c r="E1166" i="1"/>
  <c r="E1119" i="98" s="1"/>
  <c r="A21" i="9"/>
  <c r="C21" i="9"/>
  <c r="D21" i="9"/>
  <c r="E21" i="9"/>
  <c r="M21" i="9"/>
  <c r="P21" i="9"/>
  <c r="R21" i="9"/>
  <c r="S21" i="9"/>
  <c r="U21" i="9"/>
  <c r="A1134" i="1"/>
  <c r="A1088" i="98" s="1"/>
  <c r="C1134" i="1"/>
  <c r="C1088" i="98" s="1"/>
  <c r="D1134" i="1"/>
  <c r="D1088" i="98" s="1"/>
  <c r="K1134" i="1"/>
  <c r="K1088" i="98" s="1"/>
  <c r="M1134" i="1"/>
  <c r="M1088" i="98" s="1"/>
  <c r="N1134" i="1"/>
  <c r="N1088" i="98" s="1"/>
  <c r="P1134" i="1"/>
  <c r="P1088" i="98" s="1"/>
  <c r="A1133" i="1"/>
  <c r="A1087" i="98" s="1"/>
  <c r="C1133" i="1"/>
  <c r="C1087" i="98" s="1"/>
  <c r="D1133" i="1"/>
  <c r="D1087" i="98" s="1"/>
  <c r="K1133" i="1"/>
  <c r="K1087" i="98" s="1"/>
  <c r="M1133" i="1"/>
  <c r="M1087" i="98" s="1"/>
  <c r="N1133" i="1"/>
  <c r="N1087" i="98" s="1"/>
  <c r="P1133" i="1"/>
  <c r="P1087" i="98" s="1"/>
  <c r="A1128" i="1"/>
  <c r="A1082" i="98" s="1"/>
  <c r="A1129" i="1"/>
  <c r="A1083" i="98" s="1"/>
  <c r="A1130" i="1"/>
  <c r="A1084" i="98" s="1"/>
  <c r="A1131" i="1"/>
  <c r="A1085" i="98" s="1"/>
  <c r="A1132" i="1"/>
  <c r="A1086" i="98" s="1"/>
  <c r="C1128" i="1"/>
  <c r="C1082" i="98" s="1"/>
  <c r="C1129" i="1"/>
  <c r="C1083" i="98" s="1"/>
  <c r="C1130" i="1"/>
  <c r="C1084" i="98" s="1"/>
  <c r="C1131" i="1"/>
  <c r="C1085" i="98" s="1"/>
  <c r="C1132" i="1"/>
  <c r="C1086" i="98" s="1"/>
  <c r="D1128" i="1"/>
  <c r="D1082" i="98" s="1"/>
  <c r="D1129" i="1"/>
  <c r="D1083" i="98" s="1"/>
  <c r="D1130" i="1"/>
  <c r="D1084" i="98" s="1"/>
  <c r="D1131" i="1"/>
  <c r="D1085" i="98" s="1"/>
  <c r="D1132" i="1"/>
  <c r="D1086" i="98" s="1"/>
  <c r="K1128" i="1"/>
  <c r="K1082" i="98" s="1"/>
  <c r="K1129" i="1"/>
  <c r="K1083" i="98" s="1"/>
  <c r="K1130" i="1"/>
  <c r="K1084" i="98" s="1"/>
  <c r="K1131" i="1"/>
  <c r="K1085" i="98" s="1"/>
  <c r="K1132" i="1"/>
  <c r="K1086" i="98" s="1"/>
  <c r="M1128" i="1"/>
  <c r="M1082" i="98" s="1"/>
  <c r="M1129" i="1"/>
  <c r="M1083" i="98" s="1"/>
  <c r="M1130" i="1"/>
  <c r="M1084" i="98" s="1"/>
  <c r="M1131" i="1"/>
  <c r="M1085" i="98" s="1"/>
  <c r="M1132" i="1"/>
  <c r="M1086" i="98" s="1"/>
  <c r="N1128" i="1"/>
  <c r="N1082" i="98" s="1"/>
  <c r="N1129" i="1"/>
  <c r="N1083" i="98" s="1"/>
  <c r="N1130" i="1"/>
  <c r="N1084" i="98" s="1"/>
  <c r="N1131" i="1"/>
  <c r="N1085" i="98" s="1"/>
  <c r="N1132" i="1"/>
  <c r="N1086" i="98" s="1"/>
  <c r="P1128" i="1"/>
  <c r="P1082" i="98" s="1"/>
  <c r="P1129" i="1"/>
  <c r="P1083" i="98" s="1"/>
  <c r="P1130" i="1"/>
  <c r="P1084" i="98" s="1"/>
  <c r="P1131" i="1"/>
  <c r="P1085" i="98" s="1"/>
  <c r="P1132" i="1"/>
  <c r="P1086" i="98" s="1"/>
  <c r="A1127" i="1"/>
  <c r="A1081" i="98" s="1"/>
  <c r="C1127" i="1"/>
  <c r="C1081" i="98" s="1"/>
  <c r="D1127" i="1"/>
  <c r="D1081" i="98" s="1"/>
  <c r="K1127" i="1"/>
  <c r="K1081" i="98" s="1"/>
  <c r="M1127" i="1"/>
  <c r="M1081" i="98" s="1"/>
  <c r="N1127" i="1"/>
  <c r="N1081" i="98" s="1"/>
  <c r="P1127" i="1"/>
  <c r="P1081" i="98" s="1"/>
  <c r="A1145" i="1"/>
  <c r="A1099" i="98" s="1"/>
  <c r="C1145" i="1"/>
  <c r="C1099" i="98" s="1"/>
  <c r="D1145" i="1"/>
  <c r="D1099" i="98" s="1"/>
  <c r="K1145" i="1"/>
  <c r="K1099" i="98" s="1"/>
  <c r="M1145" i="1"/>
  <c r="M1099" i="98" s="1"/>
  <c r="N1145" i="1"/>
  <c r="N1099" i="98" s="1"/>
  <c r="P1145" i="1"/>
  <c r="P1099" i="98" s="1"/>
  <c r="A1125" i="1"/>
  <c r="A1079" i="98" s="1"/>
  <c r="A1126" i="1"/>
  <c r="A1080" i="98" s="1"/>
  <c r="C1125" i="1"/>
  <c r="C1079" i="98" s="1"/>
  <c r="C1126" i="1"/>
  <c r="C1080" i="98" s="1"/>
  <c r="D1125" i="1"/>
  <c r="D1079" i="98" s="1"/>
  <c r="D1126" i="1"/>
  <c r="D1080" i="98" s="1"/>
  <c r="K1125" i="1"/>
  <c r="K1079" i="98" s="1"/>
  <c r="K1126" i="1"/>
  <c r="K1080" i="98" s="1"/>
  <c r="M1125" i="1"/>
  <c r="M1079" i="98" s="1"/>
  <c r="M1126" i="1"/>
  <c r="M1080" i="98" s="1"/>
  <c r="N1125" i="1"/>
  <c r="N1079" i="98" s="1"/>
  <c r="N1126" i="1"/>
  <c r="N1080" i="98" s="1"/>
  <c r="P1125" i="1"/>
  <c r="P1079" i="98" s="1"/>
  <c r="P1126" i="1"/>
  <c r="P1080" i="98" s="1"/>
  <c r="A1135" i="1"/>
  <c r="A1089" i="98" s="1"/>
  <c r="A1136" i="1"/>
  <c r="A1090" i="98" s="1"/>
  <c r="A1137" i="1"/>
  <c r="A1091" i="98" s="1"/>
  <c r="A1138" i="1"/>
  <c r="A1092" i="98" s="1"/>
  <c r="A1139" i="1"/>
  <c r="A1093" i="98" s="1"/>
  <c r="A1140" i="1"/>
  <c r="A1094" i="98" s="1"/>
  <c r="A1141" i="1"/>
  <c r="A1095" i="98" s="1"/>
  <c r="A1142" i="1"/>
  <c r="A1096" i="98" s="1"/>
  <c r="A1143" i="1"/>
  <c r="A1097" i="98" s="1"/>
  <c r="A1144" i="1"/>
  <c r="A1098" i="98" s="1"/>
  <c r="C1135" i="1"/>
  <c r="C1089" i="98" s="1"/>
  <c r="C1136" i="1"/>
  <c r="C1090" i="98" s="1"/>
  <c r="C1137" i="1"/>
  <c r="C1091" i="98" s="1"/>
  <c r="C1138" i="1"/>
  <c r="C1092" i="98" s="1"/>
  <c r="C1139" i="1"/>
  <c r="C1093" i="98" s="1"/>
  <c r="C1140" i="1"/>
  <c r="C1094" i="98" s="1"/>
  <c r="C1141" i="1"/>
  <c r="C1095" i="98" s="1"/>
  <c r="C1142" i="1"/>
  <c r="C1096" i="98" s="1"/>
  <c r="C1143" i="1"/>
  <c r="C1097" i="98" s="1"/>
  <c r="C1144" i="1"/>
  <c r="C1098" i="98" s="1"/>
  <c r="D1135" i="1"/>
  <c r="D1089" i="98" s="1"/>
  <c r="D1136" i="1"/>
  <c r="D1090" i="98" s="1"/>
  <c r="D1137" i="1"/>
  <c r="D1091" i="98" s="1"/>
  <c r="D1138" i="1"/>
  <c r="D1092" i="98" s="1"/>
  <c r="D1139" i="1"/>
  <c r="D1093" i="98" s="1"/>
  <c r="D1140" i="1"/>
  <c r="D1094" i="98" s="1"/>
  <c r="D1141" i="1"/>
  <c r="D1095" i="98" s="1"/>
  <c r="D1142" i="1"/>
  <c r="D1096" i="98" s="1"/>
  <c r="D1143" i="1"/>
  <c r="D1097" i="98" s="1"/>
  <c r="D1144" i="1"/>
  <c r="D1098" i="98" s="1"/>
  <c r="K1135" i="1"/>
  <c r="K1089" i="98" s="1"/>
  <c r="K1136" i="1"/>
  <c r="K1090" i="98" s="1"/>
  <c r="K1137" i="1"/>
  <c r="K1091" i="98" s="1"/>
  <c r="K1138" i="1"/>
  <c r="K1092" i="98" s="1"/>
  <c r="K1139" i="1"/>
  <c r="K1093" i="98" s="1"/>
  <c r="K1140" i="1"/>
  <c r="K1094" i="98" s="1"/>
  <c r="K1141" i="1"/>
  <c r="K1095" i="98" s="1"/>
  <c r="K1142" i="1"/>
  <c r="K1096" i="98" s="1"/>
  <c r="K1143" i="1"/>
  <c r="K1097" i="98" s="1"/>
  <c r="K1144" i="1"/>
  <c r="K1098" i="98" s="1"/>
  <c r="M1135" i="1"/>
  <c r="M1089" i="98" s="1"/>
  <c r="M1136" i="1"/>
  <c r="M1090" i="98" s="1"/>
  <c r="M1137" i="1"/>
  <c r="M1091" i="98" s="1"/>
  <c r="M1138" i="1"/>
  <c r="M1092" i="98" s="1"/>
  <c r="M1139" i="1"/>
  <c r="M1093" i="98" s="1"/>
  <c r="M1140" i="1"/>
  <c r="M1094" i="98" s="1"/>
  <c r="M1141" i="1"/>
  <c r="M1095" i="98" s="1"/>
  <c r="M1142" i="1"/>
  <c r="M1096" i="98" s="1"/>
  <c r="M1143" i="1"/>
  <c r="M1097" i="98" s="1"/>
  <c r="M1144" i="1"/>
  <c r="M1098" i="98" s="1"/>
  <c r="N1135" i="1"/>
  <c r="N1089" i="98" s="1"/>
  <c r="N1136" i="1"/>
  <c r="N1090" i="98" s="1"/>
  <c r="N1137" i="1"/>
  <c r="N1091" i="98" s="1"/>
  <c r="N1138" i="1"/>
  <c r="N1092" i="98" s="1"/>
  <c r="N1139" i="1"/>
  <c r="N1093" i="98" s="1"/>
  <c r="N1140" i="1"/>
  <c r="N1094" i="98" s="1"/>
  <c r="N1141" i="1"/>
  <c r="N1095" i="98" s="1"/>
  <c r="N1142" i="1"/>
  <c r="N1096" i="98" s="1"/>
  <c r="N1143" i="1"/>
  <c r="N1097" i="98" s="1"/>
  <c r="N1144" i="1"/>
  <c r="N1098" i="98" s="1"/>
  <c r="P1135" i="1"/>
  <c r="P1089" i="98" s="1"/>
  <c r="P1136" i="1"/>
  <c r="P1090" i="98" s="1"/>
  <c r="P1137" i="1"/>
  <c r="P1091" i="98" s="1"/>
  <c r="P1138" i="1"/>
  <c r="P1092" i="98" s="1"/>
  <c r="P1139" i="1"/>
  <c r="P1093" i="98" s="1"/>
  <c r="P1140" i="1"/>
  <c r="P1094" i="98" s="1"/>
  <c r="P1141" i="1"/>
  <c r="P1095" i="98" s="1"/>
  <c r="P1142" i="1"/>
  <c r="P1096" i="98" s="1"/>
  <c r="P1143" i="1"/>
  <c r="P1097" i="98" s="1"/>
  <c r="P1144" i="1"/>
  <c r="P1098" i="98" s="1"/>
  <c r="A1123" i="1"/>
  <c r="A1077" i="98" s="1"/>
  <c r="A1124" i="1"/>
  <c r="A1078" i="98" s="1"/>
  <c r="C1123" i="1"/>
  <c r="C1077" i="98" s="1"/>
  <c r="C1124" i="1"/>
  <c r="C1078" i="98" s="1"/>
  <c r="D1123" i="1"/>
  <c r="D1077" i="98" s="1"/>
  <c r="D1124" i="1"/>
  <c r="D1078" i="98" s="1"/>
  <c r="K1123" i="1"/>
  <c r="K1077" i="98" s="1"/>
  <c r="K1124" i="1"/>
  <c r="K1078" i="98" s="1"/>
  <c r="M1123" i="1"/>
  <c r="M1077" i="98" s="1"/>
  <c r="M1124" i="1"/>
  <c r="M1078" i="98" s="1"/>
  <c r="N1123" i="1"/>
  <c r="N1077" i="98" s="1"/>
  <c r="N1124" i="1"/>
  <c r="N1078" i="98" s="1"/>
  <c r="P1123" i="1"/>
  <c r="P1077" i="98" s="1"/>
  <c r="P1124" i="1"/>
  <c r="P1078" i="98" s="1"/>
  <c r="A1120" i="1"/>
  <c r="A1074" i="98" s="1"/>
  <c r="A1121" i="1"/>
  <c r="A1075" i="98" s="1"/>
  <c r="A1122" i="1"/>
  <c r="A1076" i="98" s="1"/>
  <c r="C1120" i="1"/>
  <c r="C1074" i="98" s="1"/>
  <c r="C1121" i="1"/>
  <c r="C1075" i="98" s="1"/>
  <c r="C1122" i="1"/>
  <c r="C1076" i="98" s="1"/>
  <c r="D1120" i="1"/>
  <c r="D1074" i="98" s="1"/>
  <c r="D1121" i="1"/>
  <c r="D1075" i="98" s="1"/>
  <c r="D1122" i="1"/>
  <c r="D1076" i="98" s="1"/>
  <c r="K1120" i="1"/>
  <c r="K1074" i="98" s="1"/>
  <c r="K1121" i="1"/>
  <c r="K1075" i="98" s="1"/>
  <c r="K1122" i="1"/>
  <c r="K1076" i="98" s="1"/>
  <c r="M1120" i="1"/>
  <c r="M1074" i="98" s="1"/>
  <c r="M1121" i="1"/>
  <c r="M1075" i="98" s="1"/>
  <c r="M1122" i="1"/>
  <c r="M1076" i="98" s="1"/>
  <c r="N1120" i="1"/>
  <c r="N1074" i="98" s="1"/>
  <c r="N1121" i="1"/>
  <c r="N1075" i="98" s="1"/>
  <c r="N1122" i="1"/>
  <c r="N1076" i="98" s="1"/>
  <c r="P1120" i="1"/>
  <c r="P1074" i="98" s="1"/>
  <c r="P1121" i="1"/>
  <c r="P1075" i="98" s="1"/>
  <c r="P1122" i="1"/>
  <c r="P1076" i="98" s="1"/>
  <c r="A1119" i="1"/>
  <c r="A1073" i="98" s="1"/>
  <c r="C1119" i="1"/>
  <c r="C1073" i="98" s="1"/>
  <c r="D1119" i="1"/>
  <c r="D1073" i="98" s="1"/>
  <c r="K1119" i="1"/>
  <c r="K1073" i="98" s="1"/>
  <c r="M1119" i="1"/>
  <c r="M1073" i="98" s="1"/>
  <c r="N1119" i="1"/>
  <c r="N1073" i="98" s="1"/>
  <c r="P1119" i="1"/>
  <c r="P1073" i="98" s="1"/>
  <c r="A50" i="5"/>
  <c r="C50" i="5"/>
  <c r="E50" i="5" s="1"/>
  <c r="D50" i="5"/>
  <c r="A255" i="6"/>
  <c r="C255" i="6"/>
  <c r="E255" i="6" s="1"/>
  <c r="D255" i="6"/>
  <c r="K255" i="6"/>
  <c r="N255" i="6" s="1"/>
  <c r="O255" i="6" s="1"/>
  <c r="A250" i="6"/>
  <c r="A251" i="6"/>
  <c r="A252" i="6"/>
  <c r="A253" i="6"/>
  <c r="A254" i="6"/>
  <c r="C250" i="6"/>
  <c r="E250" i="6" s="1"/>
  <c r="C251" i="6"/>
  <c r="E251" i="6" s="1"/>
  <c r="C252" i="6"/>
  <c r="E252" i="6" s="1"/>
  <c r="C253" i="6"/>
  <c r="E253" i="6" s="1"/>
  <c r="C254" i="6"/>
  <c r="E254" i="6" s="1"/>
  <c r="D250" i="6"/>
  <c r="D251" i="6"/>
  <c r="D252" i="6"/>
  <c r="D253" i="6"/>
  <c r="D254" i="6"/>
  <c r="K250" i="6"/>
  <c r="N250" i="6" s="1"/>
  <c r="O250" i="6" s="1"/>
  <c r="K251" i="6"/>
  <c r="N251" i="6" s="1"/>
  <c r="O251" i="6" s="1"/>
  <c r="K252" i="6"/>
  <c r="N252" i="6" s="1"/>
  <c r="O252" i="6" s="1"/>
  <c r="K253" i="6"/>
  <c r="N253" i="6" s="1"/>
  <c r="O253" i="6" s="1"/>
  <c r="K254" i="6"/>
  <c r="N254" i="6" s="1"/>
  <c r="O254" i="6" s="1"/>
  <c r="A264" i="1"/>
  <c r="A243" i="98" s="1"/>
  <c r="C264" i="1"/>
  <c r="C243" i="98" s="1"/>
  <c r="D264" i="1"/>
  <c r="D243" i="98" s="1"/>
  <c r="K264" i="1"/>
  <c r="K243" i="98" s="1"/>
  <c r="M264" i="1"/>
  <c r="M243" i="98" s="1"/>
  <c r="N264" i="1"/>
  <c r="N243" i="98" s="1"/>
  <c r="P264" i="1"/>
  <c r="P243" i="98" s="1"/>
  <c r="A1146" i="1"/>
  <c r="A26" i="96" s="1"/>
  <c r="C1146" i="1"/>
  <c r="D1146" i="1"/>
  <c r="D26" i="96" s="1"/>
  <c r="K1146" i="1"/>
  <c r="K26" i="96" s="1"/>
  <c r="M1146" i="1"/>
  <c r="M26" i="96" s="1"/>
  <c r="N1146" i="1"/>
  <c r="N26" i="96" s="1"/>
  <c r="P1146" i="1"/>
  <c r="P26" i="96" s="1"/>
  <c r="E1138" i="1" l="1"/>
  <c r="E1092" i="98" s="1"/>
  <c r="E1137" i="1"/>
  <c r="E1091" i="98" s="1"/>
  <c r="E1125" i="1"/>
  <c r="E1079" i="98" s="1"/>
  <c r="E1145" i="1"/>
  <c r="E1099" i="98" s="1"/>
  <c r="E1134" i="1"/>
  <c r="E1088" i="98" s="1"/>
  <c r="E1144" i="1"/>
  <c r="E1098" i="98" s="1"/>
  <c r="E1136" i="1"/>
  <c r="E1090" i="98" s="1"/>
  <c r="E1133" i="1"/>
  <c r="E1087" i="98" s="1"/>
  <c r="E1119" i="1"/>
  <c r="E1073" i="98" s="1"/>
  <c r="E1143" i="1"/>
  <c r="E1097" i="98" s="1"/>
  <c r="E264" i="1"/>
  <c r="E243" i="98" s="1"/>
  <c r="E1135" i="1"/>
  <c r="E1089" i="98" s="1"/>
  <c r="E1132" i="1"/>
  <c r="E1086" i="98" s="1"/>
  <c r="E1122" i="1"/>
  <c r="E1076" i="98" s="1"/>
  <c r="E1124" i="1"/>
  <c r="E1078" i="98" s="1"/>
  <c r="E1142" i="1"/>
  <c r="E1096" i="98" s="1"/>
  <c r="E1131" i="1"/>
  <c r="E1085" i="98" s="1"/>
  <c r="E1126" i="1"/>
  <c r="E1080" i="98" s="1"/>
  <c r="E1121" i="1"/>
  <c r="E1075" i="98" s="1"/>
  <c r="E1130" i="1"/>
  <c r="E1084" i="98" s="1"/>
  <c r="E1127" i="1"/>
  <c r="E1081" i="98" s="1"/>
  <c r="E1123" i="1"/>
  <c r="E1077" i="98" s="1"/>
  <c r="E1141" i="1"/>
  <c r="E1095" i="98" s="1"/>
  <c r="E1120" i="1"/>
  <c r="E1074" i="98" s="1"/>
  <c r="E1140" i="1"/>
  <c r="E1094" i="98" s="1"/>
  <c r="E1129" i="1"/>
  <c r="E1083" i="98" s="1"/>
  <c r="E1139" i="1"/>
  <c r="E1093" i="98" s="1"/>
  <c r="E1128" i="1"/>
  <c r="E1082" i="98" s="1"/>
  <c r="E1146" i="1"/>
  <c r="E26" i="96" s="1"/>
  <c r="C26" i="96"/>
  <c r="A532" i="1"/>
  <c r="A500" i="98" s="1"/>
  <c r="C532" i="1"/>
  <c r="C500" i="98" s="1"/>
  <c r="D532" i="1"/>
  <c r="D500" i="98" s="1"/>
  <c r="K532" i="1"/>
  <c r="K500" i="98" s="1"/>
  <c r="M532" i="1"/>
  <c r="M500" i="98" s="1"/>
  <c r="N532" i="1"/>
  <c r="N500" i="98" s="1"/>
  <c r="P532" i="1"/>
  <c r="P500" i="98" s="1"/>
  <c r="A531" i="1"/>
  <c r="A499" i="98" s="1"/>
  <c r="C531" i="1"/>
  <c r="C499" i="98" s="1"/>
  <c r="D531" i="1"/>
  <c r="D499" i="98" s="1"/>
  <c r="K531" i="1"/>
  <c r="K499" i="98" s="1"/>
  <c r="M531" i="1"/>
  <c r="M499" i="98" s="1"/>
  <c r="N531" i="1"/>
  <c r="N499" i="98" s="1"/>
  <c r="P531" i="1"/>
  <c r="P499" i="98" s="1"/>
  <c r="A533" i="1"/>
  <c r="A501" i="98" s="1"/>
  <c r="C533" i="1"/>
  <c r="C501" i="98" s="1"/>
  <c r="D533" i="1"/>
  <c r="D501" i="98" s="1"/>
  <c r="K533" i="1"/>
  <c r="K501" i="98" s="1"/>
  <c r="M533" i="1"/>
  <c r="M501" i="98" s="1"/>
  <c r="N533" i="1"/>
  <c r="N501" i="98" s="1"/>
  <c r="P533" i="1"/>
  <c r="P501" i="98" s="1"/>
  <c r="A530" i="1"/>
  <c r="A498" i="98" s="1"/>
  <c r="C530" i="1"/>
  <c r="C498" i="98" s="1"/>
  <c r="D530" i="1"/>
  <c r="D498" i="98" s="1"/>
  <c r="K530" i="1"/>
  <c r="K498" i="98" s="1"/>
  <c r="M530" i="1"/>
  <c r="M498" i="98" s="1"/>
  <c r="N530" i="1"/>
  <c r="N498" i="98" s="1"/>
  <c r="P530" i="1"/>
  <c r="P498" i="98" s="1"/>
  <c r="A527" i="1"/>
  <c r="A495" i="98" s="1"/>
  <c r="C527" i="1"/>
  <c r="C495" i="98" s="1"/>
  <c r="D527" i="1"/>
  <c r="D495" i="98" s="1"/>
  <c r="K527" i="1"/>
  <c r="K495" i="98" s="1"/>
  <c r="M527" i="1"/>
  <c r="M495" i="98" s="1"/>
  <c r="N527" i="1"/>
  <c r="N495" i="98" s="1"/>
  <c r="P527" i="1"/>
  <c r="P495" i="98" s="1"/>
  <c r="A529" i="1"/>
  <c r="A497" i="98" s="1"/>
  <c r="C529" i="1"/>
  <c r="C497" i="98" s="1"/>
  <c r="D529" i="1"/>
  <c r="D497" i="98" s="1"/>
  <c r="K529" i="1"/>
  <c r="K497" i="98" s="1"/>
  <c r="M529" i="1"/>
  <c r="M497" i="98" s="1"/>
  <c r="N529" i="1"/>
  <c r="N497" i="98" s="1"/>
  <c r="P529" i="1"/>
  <c r="P497" i="98" s="1"/>
  <c r="A528" i="1"/>
  <c r="A496" i="98" s="1"/>
  <c r="C528" i="1"/>
  <c r="C496" i="98" s="1"/>
  <c r="D528" i="1"/>
  <c r="D496" i="98" s="1"/>
  <c r="K528" i="1"/>
  <c r="K496" i="98" s="1"/>
  <c r="M528" i="1"/>
  <c r="M496" i="98" s="1"/>
  <c r="N528" i="1"/>
  <c r="N496" i="98" s="1"/>
  <c r="P528" i="1"/>
  <c r="P496" i="98" s="1"/>
  <c r="A249" i="6"/>
  <c r="C249" i="6"/>
  <c r="E249" i="6" s="1"/>
  <c r="D249" i="6"/>
  <c r="K249" i="6"/>
  <c r="N249" i="6" s="1"/>
  <c r="O249" i="6" s="1"/>
  <c r="A248" i="6"/>
  <c r="C248" i="6"/>
  <c r="E248" i="6" s="1"/>
  <c r="D248" i="6"/>
  <c r="K248" i="6"/>
  <c r="N248" i="6" s="1"/>
  <c r="O248" i="6" s="1"/>
  <c r="E529" i="1" l="1"/>
  <c r="E497" i="98" s="1"/>
  <c r="E527" i="1"/>
  <c r="E495" i="98" s="1"/>
  <c r="E528" i="1"/>
  <c r="E496" i="98" s="1"/>
  <c r="E530" i="1"/>
  <c r="E498" i="98" s="1"/>
  <c r="E532" i="1"/>
  <c r="E500" i="98" s="1"/>
  <c r="E531" i="1"/>
  <c r="E499" i="98" s="1"/>
  <c r="E533" i="1"/>
  <c r="E501" i="98" s="1"/>
  <c r="A393" i="1"/>
  <c r="A365" i="98" s="1"/>
  <c r="C393" i="1"/>
  <c r="C365" i="98" s="1"/>
  <c r="D393" i="1"/>
  <c r="D365" i="98" s="1"/>
  <c r="K393" i="1"/>
  <c r="K365" i="98" s="1"/>
  <c r="M393" i="1"/>
  <c r="M365" i="98" s="1"/>
  <c r="N393" i="1"/>
  <c r="N365" i="98" s="1"/>
  <c r="P393" i="1"/>
  <c r="P365" i="98" s="1"/>
  <c r="A392" i="1"/>
  <c r="A364" i="98" s="1"/>
  <c r="C392" i="1"/>
  <c r="C364" i="98" s="1"/>
  <c r="D392" i="1"/>
  <c r="D364" i="98" s="1"/>
  <c r="K392" i="1"/>
  <c r="K364" i="98" s="1"/>
  <c r="M392" i="1"/>
  <c r="M364" i="98" s="1"/>
  <c r="N392" i="1"/>
  <c r="N364" i="98" s="1"/>
  <c r="P392" i="1"/>
  <c r="P364" i="98" s="1"/>
  <c r="A391" i="1"/>
  <c r="A363" i="98" s="1"/>
  <c r="C391" i="1"/>
  <c r="C363" i="98" s="1"/>
  <c r="D391" i="1"/>
  <c r="D363" i="98" s="1"/>
  <c r="K391" i="1"/>
  <c r="K363" i="98" s="1"/>
  <c r="M391" i="1"/>
  <c r="M363" i="98" s="1"/>
  <c r="N391" i="1"/>
  <c r="N363" i="98" s="1"/>
  <c r="P391" i="1"/>
  <c r="P363" i="98" s="1"/>
  <c r="A394" i="1"/>
  <c r="A366" i="98" s="1"/>
  <c r="C394" i="1"/>
  <c r="C366" i="98" s="1"/>
  <c r="D394" i="1"/>
  <c r="D366" i="98" s="1"/>
  <c r="K394" i="1"/>
  <c r="K366" i="98" s="1"/>
  <c r="M394" i="1"/>
  <c r="M366" i="98" s="1"/>
  <c r="N394" i="1"/>
  <c r="N366" i="98" s="1"/>
  <c r="P394" i="1"/>
  <c r="P366" i="98" s="1"/>
  <c r="A388" i="1"/>
  <c r="A360" i="98" s="1"/>
  <c r="C388" i="1"/>
  <c r="C360" i="98" s="1"/>
  <c r="D388" i="1"/>
  <c r="D360" i="98" s="1"/>
  <c r="K388" i="1"/>
  <c r="K360" i="98" s="1"/>
  <c r="M388" i="1"/>
  <c r="M360" i="98" s="1"/>
  <c r="N388" i="1"/>
  <c r="N360" i="98" s="1"/>
  <c r="P388" i="1"/>
  <c r="P360" i="98" s="1"/>
  <c r="A390" i="1"/>
  <c r="A362" i="98" s="1"/>
  <c r="C390" i="1"/>
  <c r="C362" i="98" s="1"/>
  <c r="D390" i="1"/>
  <c r="D362" i="98" s="1"/>
  <c r="K390" i="1"/>
  <c r="K362" i="98" s="1"/>
  <c r="M390" i="1"/>
  <c r="M362" i="98" s="1"/>
  <c r="N390" i="1"/>
  <c r="N362" i="98" s="1"/>
  <c r="P390" i="1"/>
  <c r="P362" i="98" s="1"/>
  <c r="A389" i="1"/>
  <c r="A361" i="98" s="1"/>
  <c r="C389" i="1"/>
  <c r="C361" i="98" s="1"/>
  <c r="D389" i="1"/>
  <c r="D361" i="98" s="1"/>
  <c r="K389" i="1"/>
  <c r="K361" i="98" s="1"/>
  <c r="M389" i="1"/>
  <c r="M361" i="98" s="1"/>
  <c r="N389" i="1"/>
  <c r="N361" i="98" s="1"/>
  <c r="P389" i="1"/>
  <c r="P361" i="98" s="1"/>
  <c r="E393" i="1" l="1"/>
  <c r="E365" i="98" s="1"/>
  <c r="E392" i="1"/>
  <c r="E364" i="98" s="1"/>
  <c r="E391" i="1"/>
  <c r="E363" i="98" s="1"/>
  <c r="E388" i="1"/>
  <c r="E360" i="98" s="1"/>
  <c r="E390" i="1"/>
  <c r="E362" i="98" s="1"/>
  <c r="E394" i="1"/>
  <c r="E366" i="98" s="1"/>
  <c r="E389" i="1"/>
  <c r="E361" i="98" s="1"/>
  <c r="A1094" i="1"/>
  <c r="A1050" i="98" s="1"/>
  <c r="C1094" i="1"/>
  <c r="C1050" i="98" s="1"/>
  <c r="D1094" i="1"/>
  <c r="D1050" i="98" s="1"/>
  <c r="K1094" i="1"/>
  <c r="K1050" i="98" s="1"/>
  <c r="M1094" i="1"/>
  <c r="M1050" i="98" s="1"/>
  <c r="N1094" i="1"/>
  <c r="N1050" i="98" s="1"/>
  <c r="P1094" i="1"/>
  <c r="P1050" i="98" s="1"/>
  <c r="E1094" i="1" l="1"/>
  <c r="E1050" i="98" s="1"/>
  <c r="A1088" i="1"/>
  <c r="A1044" i="98" s="1"/>
  <c r="C1088" i="1"/>
  <c r="C1044" i="98" s="1"/>
  <c r="D1088" i="1"/>
  <c r="D1044" i="98" s="1"/>
  <c r="K1088" i="1"/>
  <c r="K1044" i="98" s="1"/>
  <c r="M1088" i="1"/>
  <c r="M1044" i="98" s="1"/>
  <c r="N1088" i="1"/>
  <c r="N1044" i="98" s="1"/>
  <c r="P1088" i="1"/>
  <c r="P1044" i="98" s="1"/>
  <c r="A1083" i="1"/>
  <c r="A1039" i="98" s="1"/>
  <c r="A1084" i="1"/>
  <c r="A1040" i="98" s="1"/>
  <c r="A1085" i="1"/>
  <c r="A1041" i="98" s="1"/>
  <c r="A1086" i="1"/>
  <c r="A1042" i="98" s="1"/>
  <c r="A1087" i="1"/>
  <c r="A1043" i="98" s="1"/>
  <c r="C1083" i="1"/>
  <c r="C1039" i="98" s="1"/>
  <c r="C1084" i="1"/>
  <c r="C1040" i="98" s="1"/>
  <c r="C1085" i="1"/>
  <c r="C1041" i="98" s="1"/>
  <c r="C1086" i="1"/>
  <c r="C1042" i="98" s="1"/>
  <c r="C1087" i="1"/>
  <c r="C1043" i="98" s="1"/>
  <c r="D1083" i="1"/>
  <c r="D1039" i="98" s="1"/>
  <c r="D1084" i="1"/>
  <c r="D1040" i="98" s="1"/>
  <c r="D1085" i="1"/>
  <c r="D1041" i="98" s="1"/>
  <c r="D1086" i="1"/>
  <c r="D1042" i="98" s="1"/>
  <c r="D1087" i="1"/>
  <c r="D1043" i="98" s="1"/>
  <c r="K1083" i="1"/>
  <c r="K1039" i="98" s="1"/>
  <c r="K1084" i="1"/>
  <c r="K1040" i="98" s="1"/>
  <c r="K1085" i="1"/>
  <c r="K1041" i="98" s="1"/>
  <c r="K1086" i="1"/>
  <c r="K1042" i="98" s="1"/>
  <c r="K1087" i="1"/>
  <c r="K1043" i="98" s="1"/>
  <c r="M1083" i="1"/>
  <c r="M1039" i="98" s="1"/>
  <c r="M1084" i="1"/>
  <c r="M1040" i="98" s="1"/>
  <c r="M1085" i="1"/>
  <c r="M1041" i="98" s="1"/>
  <c r="M1086" i="1"/>
  <c r="M1042" i="98" s="1"/>
  <c r="M1087" i="1"/>
  <c r="M1043" i="98" s="1"/>
  <c r="N1083" i="1"/>
  <c r="N1039" i="98" s="1"/>
  <c r="N1084" i="1"/>
  <c r="N1040" i="98" s="1"/>
  <c r="N1085" i="1"/>
  <c r="N1041" i="98" s="1"/>
  <c r="N1086" i="1"/>
  <c r="N1042" i="98" s="1"/>
  <c r="N1087" i="1"/>
  <c r="N1043" i="98" s="1"/>
  <c r="P1083" i="1"/>
  <c r="P1039" i="98" s="1"/>
  <c r="P1084" i="1"/>
  <c r="P1040" i="98" s="1"/>
  <c r="P1085" i="1"/>
  <c r="P1041" i="98" s="1"/>
  <c r="P1086" i="1"/>
  <c r="P1042" i="98" s="1"/>
  <c r="P1087" i="1"/>
  <c r="P1043" i="98" s="1"/>
  <c r="A1047" i="1"/>
  <c r="C1047" i="1"/>
  <c r="E1047" i="1" s="1"/>
  <c r="D1047" i="1"/>
  <c r="K1047" i="1"/>
  <c r="M1047" i="1"/>
  <c r="N1047" i="1"/>
  <c r="P1047" i="1"/>
  <c r="A247" i="6"/>
  <c r="C247" i="6"/>
  <c r="E247" i="6" s="1"/>
  <c r="D247" i="6"/>
  <c r="K247" i="6"/>
  <c r="N247" i="6" s="1"/>
  <c r="O247" i="6" s="1"/>
  <c r="A1046" i="1"/>
  <c r="A1004" i="98" s="1"/>
  <c r="C1046" i="1"/>
  <c r="C1004" i="98" s="1"/>
  <c r="D1046" i="1"/>
  <c r="D1004" i="98" s="1"/>
  <c r="K1046" i="1"/>
  <c r="K1004" i="98" s="1"/>
  <c r="M1046" i="1"/>
  <c r="M1004" i="98" s="1"/>
  <c r="N1046" i="1"/>
  <c r="N1004" i="98" s="1"/>
  <c r="P1046" i="1"/>
  <c r="P1004" i="98" s="1"/>
  <c r="A1045" i="1"/>
  <c r="A1003" i="98" s="1"/>
  <c r="C1045" i="1"/>
  <c r="C1003" i="98" s="1"/>
  <c r="D1045" i="1"/>
  <c r="D1003" i="98" s="1"/>
  <c r="K1045" i="1"/>
  <c r="K1003" i="98" s="1"/>
  <c r="M1045" i="1"/>
  <c r="M1003" i="98" s="1"/>
  <c r="N1045" i="1"/>
  <c r="N1003" i="98" s="1"/>
  <c r="P1045" i="1"/>
  <c r="P1003" i="98" s="1"/>
  <c r="A1044" i="1"/>
  <c r="A1002" i="98" s="1"/>
  <c r="C1044" i="1"/>
  <c r="C1002" i="98" s="1"/>
  <c r="D1044" i="1"/>
  <c r="D1002" i="98" s="1"/>
  <c r="K1044" i="1"/>
  <c r="K1002" i="98" s="1"/>
  <c r="M1044" i="1"/>
  <c r="M1002" i="98" s="1"/>
  <c r="N1044" i="1"/>
  <c r="N1002" i="98" s="1"/>
  <c r="P1044" i="1"/>
  <c r="P1002" i="98" s="1"/>
  <c r="E1083" i="1" l="1"/>
  <c r="E1039" i="98" s="1"/>
  <c r="E1045" i="1"/>
  <c r="E1003" i="98" s="1"/>
  <c r="E1044" i="1"/>
  <c r="E1002" i="98" s="1"/>
  <c r="E1088" i="1"/>
  <c r="E1044" i="98" s="1"/>
  <c r="E1084" i="1"/>
  <c r="E1040" i="98" s="1"/>
  <c r="E1087" i="1"/>
  <c r="E1043" i="98" s="1"/>
  <c r="E1086" i="1"/>
  <c r="E1042" i="98" s="1"/>
  <c r="E1046" i="1"/>
  <c r="E1004" i="98" s="1"/>
  <c r="E1085" i="1"/>
  <c r="E1041" i="98" s="1"/>
  <c r="A1013" i="1"/>
  <c r="C1013" i="1"/>
  <c r="E1013" i="1" s="1"/>
  <c r="D1013" i="1"/>
  <c r="K1013" i="1"/>
  <c r="M1013" i="1"/>
  <c r="N1013" i="1"/>
  <c r="P1013" i="1"/>
  <c r="A1012" i="1"/>
  <c r="A1043" i="1"/>
  <c r="A752" i="1"/>
  <c r="C1012" i="1"/>
  <c r="E1012" i="1" s="1"/>
  <c r="C1043" i="1"/>
  <c r="E1043" i="1" s="1"/>
  <c r="C752" i="1"/>
  <c r="E752" i="1" s="1"/>
  <c r="D1012" i="1"/>
  <c r="D1043" i="1"/>
  <c r="D752" i="1"/>
  <c r="K1012" i="1"/>
  <c r="K1043" i="1"/>
  <c r="K752" i="1"/>
  <c r="M1012" i="1"/>
  <c r="M1043" i="1"/>
  <c r="M752" i="1"/>
  <c r="N1012" i="1"/>
  <c r="N1043" i="1"/>
  <c r="N752" i="1"/>
  <c r="P1012" i="1"/>
  <c r="P1043" i="1"/>
  <c r="P752" i="1"/>
  <c r="A751" i="1"/>
  <c r="A717" i="98" s="1"/>
  <c r="C751" i="1"/>
  <c r="C717" i="98" s="1"/>
  <c r="D751" i="1"/>
  <c r="D717" i="98" s="1"/>
  <c r="K751" i="1"/>
  <c r="K717" i="98" s="1"/>
  <c r="M751" i="1"/>
  <c r="M717" i="98" s="1"/>
  <c r="N751" i="1"/>
  <c r="N717" i="98" s="1"/>
  <c r="P751" i="1"/>
  <c r="P717" i="98" s="1"/>
  <c r="A1042" i="1"/>
  <c r="A1001" i="98" s="1"/>
  <c r="C1042" i="1"/>
  <c r="C1001" i="98" s="1"/>
  <c r="D1042" i="1"/>
  <c r="D1001" i="98" s="1"/>
  <c r="K1042" i="1"/>
  <c r="K1001" i="98" s="1"/>
  <c r="M1042" i="1"/>
  <c r="M1001" i="98" s="1"/>
  <c r="N1042" i="1"/>
  <c r="N1001" i="98" s="1"/>
  <c r="P1042" i="1"/>
  <c r="P1001" i="98" s="1"/>
  <c r="E751" i="1" l="1"/>
  <c r="E717" i="98" s="1"/>
  <c r="E1042" i="1"/>
  <c r="E1001" i="98" s="1"/>
  <c r="A1011" i="1"/>
  <c r="A972" i="98" s="1"/>
  <c r="C1011" i="1"/>
  <c r="C972" i="98" s="1"/>
  <c r="D1011" i="1"/>
  <c r="D972" i="98" s="1"/>
  <c r="K1011" i="1"/>
  <c r="K972" i="98" s="1"/>
  <c r="M1011" i="1"/>
  <c r="M972" i="98" s="1"/>
  <c r="N1011" i="1"/>
  <c r="N972" i="98" s="1"/>
  <c r="P1011" i="1"/>
  <c r="P972" i="98" s="1"/>
  <c r="A1093" i="1"/>
  <c r="A1049" i="98" s="1"/>
  <c r="C1093" i="1"/>
  <c r="C1049" i="98" s="1"/>
  <c r="D1093" i="1"/>
  <c r="D1049" i="98" s="1"/>
  <c r="K1093" i="1"/>
  <c r="K1049" i="98" s="1"/>
  <c r="M1093" i="1"/>
  <c r="M1049" i="98" s="1"/>
  <c r="N1093" i="1"/>
  <c r="N1049" i="98" s="1"/>
  <c r="P1093" i="1"/>
  <c r="P1049" i="98" s="1"/>
  <c r="A20" i="9"/>
  <c r="C20" i="9"/>
  <c r="D20" i="9"/>
  <c r="E20" i="9"/>
  <c r="M20" i="9"/>
  <c r="P20" i="9"/>
  <c r="R20" i="9"/>
  <c r="S20" i="9"/>
  <c r="U20" i="9"/>
  <c r="E1011" i="1" l="1"/>
  <c r="E972" i="98" s="1"/>
  <c r="E1093" i="1"/>
  <c r="E1049" i="98" s="1"/>
  <c r="A1092" i="1"/>
  <c r="A1048" i="98" s="1"/>
  <c r="C1092" i="1"/>
  <c r="C1048" i="98" s="1"/>
  <c r="D1092" i="1"/>
  <c r="D1048" i="98" s="1"/>
  <c r="K1092" i="1"/>
  <c r="K1048" i="98" s="1"/>
  <c r="M1092" i="1"/>
  <c r="M1048" i="98" s="1"/>
  <c r="N1092" i="1"/>
  <c r="N1048" i="98" s="1"/>
  <c r="P1092" i="1"/>
  <c r="P1048" i="98" s="1"/>
  <c r="A1091" i="1"/>
  <c r="A1047" i="98" s="1"/>
  <c r="C1091" i="1"/>
  <c r="C1047" i="98" s="1"/>
  <c r="D1091" i="1"/>
  <c r="D1047" i="98" s="1"/>
  <c r="K1091" i="1"/>
  <c r="K1047" i="98" s="1"/>
  <c r="M1091" i="1"/>
  <c r="M1047" i="98" s="1"/>
  <c r="N1091" i="1"/>
  <c r="N1047" i="98" s="1"/>
  <c r="P1091" i="1"/>
  <c r="P1047" i="98" s="1"/>
  <c r="A1090" i="1"/>
  <c r="A1046" i="98" s="1"/>
  <c r="C1090" i="1"/>
  <c r="C1046" i="98" s="1"/>
  <c r="D1090" i="1"/>
  <c r="D1046" i="98" s="1"/>
  <c r="K1090" i="1"/>
  <c r="K1046" i="98" s="1"/>
  <c r="M1090" i="1"/>
  <c r="M1046" i="98" s="1"/>
  <c r="N1090" i="1"/>
  <c r="N1046" i="98" s="1"/>
  <c r="P1090" i="1"/>
  <c r="P1046" i="98" s="1"/>
  <c r="A1089" i="1"/>
  <c r="A1045" i="98" s="1"/>
  <c r="C1089" i="1"/>
  <c r="C1045" i="98" s="1"/>
  <c r="D1089" i="1"/>
  <c r="D1045" i="98" s="1"/>
  <c r="K1089" i="1"/>
  <c r="K1045" i="98" s="1"/>
  <c r="M1089" i="1"/>
  <c r="M1045" i="98" s="1"/>
  <c r="N1089" i="1"/>
  <c r="N1045" i="98" s="1"/>
  <c r="P1089" i="1"/>
  <c r="P1045" i="98" s="1"/>
  <c r="A246" i="6"/>
  <c r="C246" i="6"/>
  <c r="E246" i="6" s="1"/>
  <c r="D246" i="6"/>
  <c r="K246" i="6"/>
  <c r="N246" i="6" s="1"/>
  <c r="O246" i="6" s="1"/>
  <c r="A245" i="6"/>
  <c r="C245" i="6"/>
  <c r="E245" i="6" s="1"/>
  <c r="D245" i="6"/>
  <c r="K245" i="6"/>
  <c r="N245" i="6" s="1"/>
  <c r="O245" i="6" s="1"/>
  <c r="A244" i="6"/>
  <c r="C244" i="6"/>
  <c r="E244" i="6" s="1"/>
  <c r="D244" i="6"/>
  <c r="K244" i="6"/>
  <c r="N244" i="6" s="1"/>
  <c r="O244" i="6" s="1"/>
  <c r="A1032" i="1"/>
  <c r="A991" i="98" s="1"/>
  <c r="C1032" i="1"/>
  <c r="C991" i="98" s="1"/>
  <c r="D1032" i="1"/>
  <c r="D991" i="98" s="1"/>
  <c r="K1032" i="1"/>
  <c r="K991" i="98" s="1"/>
  <c r="M1032" i="1"/>
  <c r="M991" i="98" s="1"/>
  <c r="N1032" i="1"/>
  <c r="N991" i="98" s="1"/>
  <c r="P1032" i="1"/>
  <c r="P991" i="98" s="1"/>
  <c r="A1026" i="1"/>
  <c r="A985" i="98" s="1"/>
  <c r="A1027" i="1"/>
  <c r="A986" i="98" s="1"/>
  <c r="A1028" i="1"/>
  <c r="A987" i="98" s="1"/>
  <c r="A1029" i="1"/>
  <c r="A988" i="98" s="1"/>
  <c r="A1030" i="1"/>
  <c r="A989" i="98" s="1"/>
  <c r="A1031" i="1"/>
  <c r="A990" i="98" s="1"/>
  <c r="C1026" i="1"/>
  <c r="C985" i="98" s="1"/>
  <c r="C1027" i="1"/>
  <c r="C986" i="98" s="1"/>
  <c r="C1028" i="1"/>
  <c r="C987" i="98" s="1"/>
  <c r="C1029" i="1"/>
  <c r="C988" i="98" s="1"/>
  <c r="C1030" i="1"/>
  <c r="C989" i="98" s="1"/>
  <c r="C1031" i="1"/>
  <c r="C990" i="98" s="1"/>
  <c r="D1026" i="1"/>
  <c r="D985" i="98" s="1"/>
  <c r="D1027" i="1"/>
  <c r="D986" i="98" s="1"/>
  <c r="D1028" i="1"/>
  <c r="D987" i="98" s="1"/>
  <c r="D1029" i="1"/>
  <c r="D988" i="98" s="1"/>
  <c r="D1030" i="1"/>
  <c r="D989" i="98" s="1"/>
  <c r="D1031" i="1"/>
  <c r="D990" i="98" s="1"/>
  <c r="K1026" i="1"/>
  <c r="K985" i="98" s="1"/>
  <c r="K1027" i="1"/>
  <c r="K986" i="98" s="1"/>
  <c r="K1028" i="1"/>
  <c r="K987" i="98" s="1"/>
  <c r="K1029" i="1"/>
  <c r="K988" i="98" s="1"/>
  <c r="K1030" i="1"/>
  <c r="K989" i="98" s="1"/>
  <c r="K1031" i="1"/>
  <c r="K990" i="98" s="1"/>
  <c r="M1026" i="1"/>
  <c r="M985" i="98" s="1"/>
  <c r="M1027" i="1"/>
  <c r="M986" i="98" s="1"/>
  <c r="M1028" i="1"/>
  <c r="M987" i="98" s="1"/>
  <c r="M1029" i="1"/>
  <c r="M988" i="98" s="1"/>
  <c r="M1030" i="1"/>
  <c r="M989" i="98" s="1"/>
  <c r="M1031" i="1"/>
  <c r="M990" i="98" s="1"/>
  <c r="N1026" i="1"/>
  <c r="N985" i="98" s="1"/>
  <c r="N1027" i="1"/>
  <c r="N986" i="98" s="1"/>
  <c r="N1028" i="1"/>
  <c r="N987" i="98" s="1"/>
  <c r="N1029" i="1"/>
  <c r="N988" i="98" s="1"/>
  <c r="N1030" i="1"/>
  <c r="N989" i="98" s="1"/>
  <c r="N1031" i="1"/>
  <c r="N990" i="98" s="1"/>
  <c r="P1026" i="1"/>
  <c r="P985" i="98" s="1"/>
  <c r="P1027" i="1"/>
  <c r="P986" i="98" s="1"/>
  <c r="P1028" i="1"/>
  <c r="P987" i="98" s="1"/>
  <c r="P1029" i="1"/>
  <c r="P988" i="98" s="1"/>
  <c r="P1030" i="1"/>
  <c r="P989" i="98" s="1"/>
  <c r="P1031" i="1"/>
  <c r="P990" i="98" s="1"/>
  <c r="A1025" i="1"/>
  <c r="A984" i="98" s="1"/>
  <c r="C1025" i="1"/>
  <c r="C984" i="98" s="1"/>
  <c r="D1025" i="1"/>
  <c r="D984" i="98" s="1"/>
  <c r="K1025" i="1"/>
  <c r="K984" i="98" s="1"/>
  <c r="M1025" i="1"/>
  <c r="M984" i="98" s="1"/>
  <c r="N1025" i="1"/>
  <c r="N984" i="98" s="1"/>
  <c r="P1025" i="1"/>
  <c r="P984" i="98" s="1"/>
  <c r="A1023" i="1"/>
  <c r="A982" i="98" s="1"/>
  <c r="C1023" i="1"/>
  <c r="C982" i="98" s="1"/>
  <c r="D1023" i="1"/>
  <c r="D982" i="98" s="1"/>
  <c r="K1023" i="1"/>
  <c r="K982" i="98" s="1"/>
  <c r="M1023" i="1"/>
  <c r="M982" i="98" s="1"/>
  <c r="N1023" i="1"/>
  <c r="N982" i="98" s="1"/>
  <c r="P1023" i="1"/>
  <c r="P982" i="98" s="1"/>
  <c r="A1019" i="1"/>
  <c r="A978" i="98" s="1"/>
  <c r="A1020" i="1"/>
  <c r="A979" i="98" s="1"/>
  <c r="A1021" i="1"/>
  <c r="A980" i="98" s="1"/>
  <c r="A1022" i="1"/>
  <c r="A981" i="98" s="1"/>
  <c r="C1019" i="1"/>
  <c r="C978" i="98" s="1"/>
  <c r="C1020" i="1"/>
  <c r="C979" i="98" s="1"/>
  <c r="C1021" i="1"/>
  <c r="C980" i="98" s="1"/>
  <c r="C1022" i="1"/>
  <c r="C981" i="98" s="1"/>
  <c r="D1019" i="1"/>
  <c r="D978" i="98" s="1"/>
  <c r="D1020" i="1"/>
  <c r="D979" i="98" s="1"/>
  <c r="D1021" i="1"/>
  <c r="D980" i="98" s="1"/>
  <c r="D1022" i="1"/>
  <c r="D981" i="98" s="1"/>
  <c r="K1019" i="1"/>
  <c r="K978" i="98" s="1"/>
  <c r="K1020" i="1"/>
  <c r="K979" i="98" s="1"/>
  <c r="K1021" i="1"/>
  <c r="K980" i="98" s="1"/>
  <c r="K1022" i="1"/>
  <c r="K981" i="98" s="1"/>
  <c r="M1019" i="1"/>
  <c r="M978" i="98" s="1"/>
  <c r="M1020" i="1"/>
  <c r="M979" i="98" s="1"/>
  <c r="M1021" i="1"/>
  <c r="M980" i="98" s="1"/>
  <c r="M1022" i="1"/>
  <c r="M981" i="98" s="1"/>
  <c r="N1019" i="1"/>
  <c r="N978" i="98" s="1"/>
  <c r="N1020" i="1"/>
  <c r="N979" i="98" s="1"/>
  <c r="N1021" i="1"/>
  <c r="N980" i="98" s="1"/>
  <c r="N1022" i="1"/>
  <c r="N981" i="98" s="1"/>
  <c r="P1019" i="1"/>
  <c r="P978" i="98" s="1"/>
  <c r="P1020" i="1"/>
  <c r="P979" i="98" s="1"/>
  <c r="P1021" i="1"/>
  <c r="P980" i="98" s="1"/>
  <c r="P1022" i="1"/>
  <c r="P981" i="98" s="1"/>
  <c r="A1040" i="1"/>
  <c r="A999" i="98" s="1"/>
  <c r="C1040" i="1"/>
  <c r="C999" i="98" s="1"/>
  <c r="D1040" i="1"/>
  <c r="D999" i="98" s="1"/>
  <c r="K1040" i="1"/>
  <c r="K999" i="98" s="1"/>
  <c r="M1040" i="1"/>
  <c r="M999" i="98" s="1"/>
  <c r="N1040" i="1"/>
  <c r="N999" i="98" s="1"/>
  <c r="P1040" i="1"/>
  <c r="P999" i="98" s="1"/>
  <c r="A1017" i="1"/>
  <c r="A976" i="98" s="1"/>
  <c r="A1018" i="1"/>
  <c r="A977" i="98" s="1"/>
  <c r="C1017" i="1"/>
  <c r="C976" i="98" s="1"/>
  <c r="C1018" i="1"/>
  <c r="C977" i="98" s="1"/>
  <c r="D1017" i="1"/>
  <c r="D976" i="98" s="1"/>
  <c r="D1018" i="1"/>
  <c r="D977" i="98" s="1"/>
  <c r="K1017" i="1"/>
  <c r="K976" i="98" s="1"/>
  <c r="K1018" i="1"/>
  <c r="K977" i="98" s="1"/>
  <c r="M1017" i="1"/>
  <c r="M976" i="98" s="1"/>
  <c r="M1018" i="1"/>
  <c r="M977" i="98" s="1"/>
  <c r="N1017" i="1"/>
  <c r="N976" i="98" s="1"/>
  <c r="N1018" i="1"/>
  <c r="N977" i="98" s="1"/>
  <c r="P1017" i="1"/>
  <c r="P976" i="98" s="1"/>
  <c r="P1018" i="1"/>
  <c r="P977" i="98" s="1"/>
  <c r="A1033" i="1"/>
  <c r="A992" i="98" s="1"/>
  <c r="A1034" i="1"/>
  <c r="A993" i="98" s="1"/>
  <c r="A1035" i="1"/>
  <c r="A994" i="98" s="1"/>
  <c r="A1036" i="1"/>
  <c r="A995" i="98" s="1"/>
  <c r="A1037" i="1"/>
  <c r="A996" i="98" s="1"/>
  <c r="A1038" i="1"/>
  <c r="A997" i="98" s="1"/>
  <c r="A1039" i="1"/>
  <c r="A998" i="98" s="1"/>
  <c r="C1033" i="1"/>
  <c r="C992" i="98" s="1"/>
  <c r="C1034" i="1"/>
  <c r="C993" i="98" s="1"/>
  <c r="C1035" i="1"/>
  <c r="C994" i="98" s="1"/>
  <c r="C1036" i="1"/>
  <c r="C995" i="98" s="1"/>
  <c r="C1037" i="1"/>
  <c r="C996" i="98" s="1"/>
  <c r="C1038" i="1"/>
  <c r="C997" i="98" s="1"/>
  <c r="C1039" i="1"/>
  <c r="C998" i="98" s="1"/>
  <c r="D1033" i="1"/>
  <c r="D992" i="98" s="1"/>
  <c r="D1034" i="1"/>
  <c r="D993" i="98" s="1"/>
  <c r="D1035" i="1"/>
  <c r="D994" i="98" s="1"/>
  <c r="D1036" i="1"/>
  <c r="D995" i="98" s="1"/>
  <c r="D1037" i="1"/>
  <c r="D996" i="98" s="1"/>
  <c r="D1038" i="1"/>
  <c r="D997" i="98" s="1"/>
  <c r="D1039" i="1"/>
  <c r="D998" i="98" s="1"/>
  <c r="K1033" i="1"/>
  <c r="K992" i="98" s="1"/>
  <c r="K1034" i="1"/>
  <c r="K993" i="98" s="1"/>
  <c r="K1035" i="1"/>
  <c r="K994" i="98" s="1"/>
  <c r="K1036" i="1"/>
  <c r="K995" i="98" s="1"/>
  <c r="K1037" i="1"/>
  <c r="K996" i="98" s="1"/>
  <c r="K1038" i="1"/>
  <c r="K997" i="98" s="1"/>
  <c r="K1039" i="1"/>
  <c r="K998" i="98" s="1"/>
  <c r="M1033" i="1"/>
  <c r="M992" i="98" s="1"/>
  <c r="M1034" i="1"/>
  <c r="M993" i="98" s="1"/>
  <c r="M1035" i="1"/>
  <c r="M994" i="98" s="1"/>
  <c r="M1036" i="1"/>
  <c r="M995" i="98" s="1"/>
  <c r="M1037" i="1"/>
  <c r="M996" i="98" s="1"/>
  <c r="M1038" i="1"/>
  <c r="M997" i="98" s="1"/>
  <c r="M1039" i="1"/>
  <c r="M998" i="98" s="1"/>
  <c r="N1033" i="1"/>
  <c r="N992" i="98" s="1"/>
  <c r="N1034" i="1"/>
  <c r="N993" i="98" s="1"/>
  <c r="N1035" i="1"/>
  <c r="N994" i="98" s="1"/>
  <c r="N1036" i="1"/>
  <c r="N995" i="98" s="1"/>
  <c r="N1037" i="1"/>
  <c r="N996" i="98" s="1"/>
  <c r="N1038" i="1"/>
  <c r="N997" i="98" s="1"/>
  <c r="N1039" i="1"/>
  <c r="N998" i="98" s="1"/>
  <c r="P1033" i="1"/>
  <c r="P992" i="98" s="1"/>
  <c r="P1034" i="1"/>
  <c r="P993" i="98" s="1"/>
  <c r="P1035" i="1"/>
  <c r="P994" i="98" s="1"/>
  <c r="P1036" i="1"/>
  <c r="P995" i="98" s="1"/>
  <c r="P1037" i="1"/>
  <c r="P996" i="98" s="1"/>
  <c r="P1038" i="1"/>
  <c r="P997" i="98" s="1"/>
  <c r="P1039" i="1"/>
  <c r="P998" i="98" s="1"/>
  <c r="A1015" i="1"/>
  <c r="A974" i="98" s="1"/>
  <c r="C1015" i="1"/>
  <c r="C974" i="98" s="1"/>
  <c r="D1015" i="1"/>
  <c r="D974" i="98" s="1"/>
  <c r="K1015" i="1"/>
  <c r="K974" i="98" s="1"/>
  <c r="M1015" i="1"/>
  <c r="M974" i="98" s="1"/>
  <c r="N1015" i="1"/>
  <c r="N974" i="98" s="1"/>
  <c r="P1015" i="1"/>
  <c r="P974" i="98" s="1"/>
  <c r="A1014" i="1"/>
  <c r="A973" i="98" s="1"/>
  <c r="C1014" i="1"/>
  <c r="C973" i="98" s="1"/>
  <c r="D1014" i="1"/>
  <c r="D973" i="98" s="1"/>
  <c r="K1014" i="1"/>
  <c r="K973" i="98" s="1"/>
  <c r="M1014" i="1"/>
  <c r="M973" i="98" s="1"/>
  <c r="N1014" i="1"/>
  <c r="N973" i="98" s="1"/>
  <c r="P1014" i="1"/>
  <c r="P973" i="98" s="1"/>
  <c r="A243" i="6"/>
  <c r="C243" i="6"/>
  <c r="E243" i="6" s="1"/>
  <c r="D243" i="6"/>
  <c r="K243" i="6"/>
  <c r="N243" i="6" s="1"/>
  <c r="O243" i="6" s="1"/>
  <c r="A234" i="6"/>
  <c r="A235" i="6"/>
  <c r="A236" i="6"/>
  <c r="A237" i="6"/>
  <c r="A238" i="6"/>
  <c r="A239" i="6"/>
  <c r="A240" i="6"/>
  <c r="A241" i="6"/>
  <c r="A242" i="6"/>
  <c r="C234" i="6"/>
  <c r="E234" i="6" s="1"/>
  <c r="C235" i="6"/>
  <c r="E235" i="6" s="1"/>
  <c r="C236" i="6"/>
  <c r="E236" i="6" s="1"/>
  <c r="C237" i="6"/>
  <c r="E237" i="6" s="1"/>
  <c r="C238" i="6"/>
  <c r="E238" i="6" s="1"/>
  <c r="C239" i="6"/>
  <c r="E239" i="6" s="1"/>
  <c r="C240" i="6"/>
  <c r="E240" i="6" s="1"/>
  <c r="C241" i="6"/>
  <c r="E241" i="6" s="1"/>
  <c r="C242" i="6"/>
  <c r="E242" i="6" s="1"/>
  <c r="D234" i="6"/>
  <c r="D235" i="6"/>
  <c r="D236" i="6"/>
  <c r="D237" i="6"/>
  <c r="D238" i="6"/>
  <c r="D239" i="6"/>
  <c r="D240" i="6"/>
  <c r="D241" i="6"/>
  <c r="D242" i="6"/>
  <c r="K234" i="6"/>
  <c r="N234" i="6" s="1"/>
  <c r="K235" i="6"/>
  <c r="N235" i="6" s="1"/>
  <c r="O235" i="6" s="1"/>
  <c r="K236" i="6"/>
  <c r="N236" i="6" s="1"/>
  <c r="O236" i="6" s="1"/>
  <c r="K237" i="6"/>
  <c r="N237" i="6" s="1"/>
  <c r="O237" i="6" s="1"/>
  <c r="K238" i="6"/>
  <c r="N238" i="6" s="1"/>
  <c r="O238" i="6" s="1"/>
  <c r="K239" i="6"/>
  <c r="N239" i="6" s="1"/>
  <c r="O239" i="6" s="1"/>
  <c r="K240" i="6"/>
  <c r="N240" i="6" s="1"/>
  <c r="O240" i="6" s="1"/>
  <c r="K241" i="6"/>
  <c r="N241" i="6" s="1"/>
  <c r="O241" i="6" s="1"/>
  <c r="K242" i="6"/>
  <c r="N242" i="6" s="1"/>
  <c r="O242" i="6" s="1"/>
  <c r="A983" i="1"/>
  <c r="A945" i="98" s="1"/>
  <c r="A984" i="1"/>
  <c r="A946" i="98" s="1"/>
  <c r="C983" i="1"/>
  <c r="C945" i="98" s="1"/>
  <c r="C984" i="1"/>
  <c r="C946" i="98" s="1"/>
  <c r="D983" i="1"/>
  <c r="D945" i="98" s="1"/>
  <c r="D984" i="1"/>
  <c r="D946" i="98" s="1"/>
  <c r="K983" i="1"/>
  <c r="K945" i="98" s="1"/>
  <c r="K984" i="1"/>
  <c r="K946" i="98" s="1"/>
  <c r="M983" i="1"/>
  <c r="M945" i="98" s="1"/>
  <c r="M984" i="1"/>
  <c r="M946" i="98" s="1"/>
  <c r="N983" i="1"/>
  <c r="N945" i="98" s="1"/>
  <c r="N984" i="1"/>
  <c r="N946" i="98" s="1"/>
  <c r="P983" i="1"/>
  <c r="P945" i="98" s="1"/>
  <c r="P984" i="1"/>
  <c r="P946" i="98" s="1"/>
  <c r="A980" i="1"/>
  <c r="A942" i="98" s="1"/>
  <c r="A981" i="1"/>
  <c r="A943" i="98" s="1"/>
  <c r="A982" i="1"/>
  <c r="A944" i="98" s="1"/>
  <c r="C980" i="1"/>
  <c r="C942" i="98" s="1"/>
  <c r="C981" i="1"/>
  <c r="C943" i="98" s="1"/>
  <c r="C982" i="1"/>
  <c r="C944" i="98" s="1"/>
  <c r="D980" i="1"/>
  <c r="D942" i="98" s="1"/>
  <c r="D981" i="1"/>
  <c r="D943" i="98" s="1"/>
  <c r="D982" i="1"/>
  <c r="D944" i="98" s="1"/>
  <c r="K980" i="1"/>
  <c r="K942" i="98" s="1"/>
  <c r="K981" i="1"/>
  <c r="K943" i="98" s="1"/>
  <c r="K982" i="1"/>
  <c r="K944" i="98" s="1"/>
  <c r="M980" i="1"/>
  <c r="M942" i="98" s="1"/>
  <c r="M981" i="1"/>
  <c r="M943" i="98" s="1"/>
  <c r="M982" i="1"/>
  <c r="M944" i="98" s="1"/>
  <c r="N980" i="1"/>
  <c r="N942" i="98" s="1"/>
  <c r="N981" i="1"/>
  <c r="N943" i="98" s="1"/>
  <c r="N982" i="1"/>
  <c r="N944" i="98" s="1"/>
  <c r="P980" i="1"/>
  <c r="P942" i="98" s="1"/>
  <c r="P981" i="1"/>
  <c r="P943" i="98" s="1"/>
  <c r="P982" i="1"/>
  <c r="P944" i="98" s="1"/>
  <c r="A979" i="1"/>
  <c r="A941" i="98" s="1"/>
  <c r="C979" i="1"/>
  <c r="C941" i="98" s="1"/>
  <c r="D979" i="1"/>
  <c r="D941" i="98" s="1"/>
  <c r="K979" i="1"/>
  <c r="K941" i="98" s="1"/>
  <c r="M979" i="1"/>
  <c r="M941" i="98" s="1"/>
  <c r="N979" i="1"/>
  <c r="N941" i="98" s="1"/>
  <c r="P979" i="1"/>
  <c r="P941" i="98" s="1"/>
  <c r="A978" i="1"/>
  <c r="A940" i="98" s="1"/>
  <c r="C978" i="1"/>
  <c r="C940" i="98" s="1"/>
  <c r="D978" i="1"/>
  <c r="D940" i="98" s="1"/>
  <c r="K978" i="1"/>
  <c r="K940" i="98" s="1"/>
  <c r="M978" i="1"/>
  <c r="M940" i="98" s="1"/>
  <c r="N978" i="1"/>
  <c r="N940" i="98" s="1"/>
  <c r="P978" i="1"/>
  <c r="P940" i="98" s="1"/>
  <c r="A998" i="1"/>
  <c r="A960" i="98" s="1"/>
  <c r="A999" i="1"/>
  <c r="A961" i="98" s="1"/>
  <c r="C998" i="1"/>
  <c r="C960" i="98" s="1"/>
  <c r="C999" i="1"/>
  <c r="C961" i="98" s="1"/>
  <c r="D998" i="1"/>
  <c r="D960" i="98" s="1"/>
  <c r="D999" i="1"/>
  <c r="D961" i="98" s="1"/>
  <c r="K998" i="1"/>
  <c r="K960" i="98" s="1"/>
  <c r="K999" i="1"/>
  <c r="K961" i="98" s="1"/>
  <c r="M998" i="1"/>
  <c r="M960" i="98" s="1"/>
  <c r="M999" i="1"/>
  <c r="M961" i="98" s="1"/>
  <c r="N998" i="1"/>
  <c r="N960" i="98" s="1"/>
  <c r="N999" i="1"/>
  <c r="N961" i="98" s="1"/>
  <c r="P998" i="1"/>
  <c r="P960" i="98" s="1"/>
  <c r="P999" i="1"/>
  <c r="P961" i="98" s="1"/>
  <c r="A973" i="1"/>
  <c r="A935" i="98" s="1"/>
  <c r="A974" i="1"/>
  <c r="A936" i="98" s="1"/>
  <c r="A975" i="1"/>
  <c r="A937" i="98" s="1"/>
  <c r="A976" i="1"/>
  <c r="A938" i="98" s="1"/>
  <c r="A977" i="1"/>
  <c r="A939" i="98" s="1"/>
  <c r="C973" i="1"/>
  <c r="C935" i="98" s="1"/>
  <c r="C974" i="1"/>
  <c r="C936" i="98" s="1"/>
  <c r="C975" i="1"/>
  <c r="C937" i="98" s="1"/>
  <c r="C976" i="1"/>
  <c r="C938" i="98" s="1"/>
  <c r="C977" i="1"/>
  <c r="C939" i="98" s="1"/>
  <c r="D973" i="1"/>
  <c r="D935" i="98" s="1"/>
  <c r="D974" i="1"/>
  <c r="D936" i="98" s="1"/>
  <c r="D975" i="1"/>
  <c r="D937" i="98" s="1"/>
  <c r="D976" i="1"/>
  <c r="D938" i="98" s="1"/>
  <c r="D977" i="1"/>
  <c r="D939" i="98" s="1"/>
  <c r="K973" i="1"/>
  <c r="K935" i="98" s="1"/>
  <c r="K974" i="1"/>
  <c r="K936" i="98" s="1"/>
  <c r="K975" i="1"/>
  <c r="K937" i="98" s="1"/>
  <c r="K976" i="1"/>
  <c r="K938" i="98" s="1"/>
  <c r="K977" i="1"/>
  <c r="K939" i="98" s="1"/>
  <c r="M973" i="1"/>
  <c r="M935" i="98" s="1"/>
  <c r="M974" i="1"/>
  <c r="M936" i="98" s="1"/>
  <c r="M975" i="1"/>
  <c r="M937" i="98" s="1"/>
  <c r="M976" i="1"/>
  <c r="M938" i="98" s="1"/>
  <c r="M977" i="1"/>
  <c r="M939" i="98" s="1"/>
  <c r="N973" i="1"/>
  <c r="N935" i="98" s="1"/>
  <c r="N974" i="1"/>
  <c r="N936" i="98" s="1"/>
  <c r="N975" i="1"/>
  <c r="N937" i="98" s="1"/>
  <c r="N976" i="1"/>
  <c r="N938" i="98" s="1"/>
  <c r="N977" i="1"/>
  <c r="N939" i="98" s="1"/>
  <c r="P973" i="1"/>
  <c r="P935" i="98" s="1"/>
  <c r="P974" i="1"/>
  <c r="P936" i="98" s="1"/>
  <c r="P975" i="1"/>
  <c r="P937" i="98" s="1"/>
  <c r="P976" i="1"/>
  <c r="P938" i="98" s="1"/>
  <c r="P977" i="1"/>
  <c r="P939" i="98" s="1"/>
  <c r="A985" i="1"/>
  <c r="A947" i="98" s="1"/>
  <c r="A986" i="1"/>
  <c r="A948" i="98" s="1"/>
  <c r="A987" i="1"/>
  <c r="A949" i="98" s="1"/>
  <c r="A988" i="1"/>
  <c r="A950" i="98" s="1"/>
  <c r="A989" i="1"/>
  <c r="A951" i="98" s="1"/>
  <c r="A990" i="1"/>
  <c r="A952" i="98" s="1"/>
  <c r="A991" i="1"/>
  <c r="A953" i="98" s="1"/>
  <c r="A992" i="1"/>
  <c r="A954" i="98" s="1"/>
  <c r="A993" i="1"/>
  <c r="A955" i="98" s="1"/>
  <c r="A994" i="1"/>
  <c r="A956" i="98" s="1"/>
  <c r="A995" i="1"/>
  <c r="A957" i="98" s="1"/>
  <c r="A996" i="1"/>
  <c r="A958" i="98" s="1"/>
  <c r="A997" i="1"/>
  <c r="A959" i="98" s="1"/>
  <c r="C985" i="1"/>
  <c r="C947" i="98" s="1"/>
  <c r="C986" i="1"/>
  <c r="C948" i="98" s="1"/>
  <c r="C987" i="1"/>
  <c r="C949" i="98" s="1"/>
  <c r="C988" i="1"/>
  <c r="C950" i="98" s="1"/>
  <c r="C989" i="1"/>
  <c r="C951" i="98" s="1"/>
  <c r="C990" i="1"/>
  <c r="C952" i="98" s="1"/>
  <c r="C991" i="1"/>
  <c r="C953" i="98" s="1"/>
  <c r="C992" i="1"/>
  <c r="C954" i="98" s="1"/>
  <c r="C993" i="1"/>
  <c r="C955" i="98" s="1"/>
  <c r="C994" i="1"/>
  <c r="C956" i="98" s="1"/>
  <c r="C995" i="1"/>
  <c r="C957" i="98" s="1"/>
  <c r="C996" i="1"/>
  <c r="C958" i="98" s="1"/>
  <c r="C997" i="1"/>
  <c r="C959" i="98" s="1"/>
  <c r="D985" i="1"/>
  <c r="D947" i="98" s="1"/>
  <c r="D986" i="1"/>
  <c r="D948" i="98" s="1"/>
  <c r="D987" i="1"/>
  <c r="D949" i="98" s="1"/>
  <c r="D988" i="1"/>
  <c r="D950" i="98" s="1"/>
  <c r="D989" i="1"/>
  <c r="D951" i="98" s="1"/>
  <c r="D990" i="1"/>
  <c r="D952" i="98" s="1"/>
  <c r="D991" i="1"/>
  <c r="D953" i="98" s="1"/>
  <c r="D992" i="1"/>
  <c r="D954" i="98" s="1"/>
  <c r="D993" i="1"/>
  <c r="D955" i="98" s="1"/>
  <c r="D994" i="1"/>
  <c r="D956" i="98" s="1"/>
  <c r="D995" i="1"/>
  <c r="D957" i="98" s="1"/>
  <c r="D996" i="1"/>
  <c r="D958" i="98" s="1"/>
  <c r="D997" i="1"/>
  <c r="D959" i="98" s="1"/>
  <c r="K985" i="1"/>
  <c r="K947" i="98" s="1"/>
  <c r="K986" i="1"/>
  <c r="K948" i="98" s="1"/>
  <c r="K987" i="1"/>
  <c r="K949" i="98" s="1"/>
  <c r="K988" i="1"/>
  <c r="K950" i="98" s="1"/>
  <c r="K989" i="1"/>
  <c r="K951" i="98" s="1"/>
  <c r="K990" i="1"/>
  <c r="K952" i="98" s="1"/>
  <c r="K991" i="1"/>
  <c r="K953" i="98" s="1"/>
  <c r="K992" i="1"/>
  <c r="K954" i="98" s="1"/>
  <c r="K993" i="1"/>
  <c r="K955" i="98" s="1"/>
  <c r="K994" i="1"/>
  <c r="K956" i="98" s="1"/>
  <c r="K995" i="1"/>
  <c r="K957" i="98" s="1"/>
  <c r="K996" i="1"/>
  <c r="K958" i="98" s="1"/>
  <c r="K997" i="1"/>
  <c r="K959" i="98" s="1"/>
  <c r="M985" i="1"/>
  <c r="M947" i="98" s="1"/>
  <c r="M986" i="1"/>
  <c r="M948" i="98" s="1"/>
  <c r="M987" i="1"/>
  <c r="M949" i="98" s="1"/>
  <c r="M988" i="1"/>
  <c r="M950" i="98" s="1"/>
  <c r="M989" i="1"/>
  <c r="M951" i="98" s="1"/>
  <c r="M990" i="1"/>
  <c r="M952" i="98" s="1"/>
  <c r="M991" i="1"/>
  <c r="M953" i="98" s="1"/>
  <c r="M992" i="1"/>
  <c r="M954" i="98" s="1"/>
  <c r="M993" i="1"/>
  <c r="M955" i="98" s="1"/>
  <c r="M994" i="1"/>
  <c r="M956" i="98" s="1"/>
  <c r="M995" i="1"/>
  <c r="M957" i="98" s="1"/>
  <c r="M996" i="1"/>
  <c r="M958" i="98" s="1"/>
  <c r="M997" i="1"/>
  <c r="M959" i="98" s="1"/>
  <c r="N985" i="1"/>
  <c r="N947" i="98" s="1"/>
  <c r="N986" i="1"/>
  <c r="N948" i="98" s="1"/>
  <c r="N987" i="1"/>
  <c r="N949" i="98" s="1"/>
  <c r="N988" i="1"/>
  <c r="N950" i="98" s="1"/>
  <c r="N989" i="1"/>
  <c r="N951" i="98" s="1"/>
  <c r="N990" i="1"/>
  <c r="N952" i="98" s="1"/>
  <c r="N991" i="1"/>
  <c r="N953" i="98" s="1"/>
  <c r="N992" i="1"/>
  <c r="N954" i="98" s="1"/>
  <c r="N993" i="1"/>
  <c r="N955" i="98" s="1"/>
  <c r="N994" i="1"/>
  <c r="N956" i="98" s="1"/>
  <c r="N995" i="1"/>
  <c r="N957" i="98" s="1"/>
  <c r="N996" i="1"/>
  <c r="N958" i="98" s="1"/>
  <c r="N997" i="1"/>
  <c r="N959" i="98" s="1"/>
  <c r="P985" i="1"/>
  <c r="P947" i="98" s="1"/>
  <c r="P986" i="1"/>
  <c r="P948" i="98" s="1"/>
  <c r="P987" i="1"/>
  <c r="P949" i="98" s="1"/>
  <c r="P988" i="1"/>
  <c r="P950" i="98" s="1"/>
  <c r="P989" i="1"/>
  <c r="P951" i="98" s="1"/>
  <c r="P990" i="1"/>
  <c r="P952" i="98" s="1"/>
  <c r="P991" i="1"/>
  <c r="P953" i="98" s="1"/>
  <c r="P992" i="1"/>
  <c r="P954" i="98" s="1"/>
  <c r="P993" i="1"/>
  <c r="P955" i="98" s="1"/>
  <c r="P994" i="1"/>
  <c r="P956" i="98" s="1"/>
  <c r="P995" i="1"/>
  <c r="P957" i="98" s="1"/>
  <c r="P996" i="1"/>
  <c r="P958" i="98" s="1"/>
  <c r="P997" i="1"/>
  <c r="P959" i="98" s="1"/>
  <c r="A972" i="1"/>
  <c r="A934" i="98" s="1"/>
  <c r="C972" i="1"/>
  <c r="C934" i="98" s="1"/>
  <c r="D972" i="1"/>
  <c r="D934" i="98" s="1"/>
  <c r="K972" i="1"/>
  <c r="K934" i="98" s="1"/>
  <c r="M972" i="1"/>
  <c r="M934" i="98" s="1"/>
  <c r="N972" i="1"/>
  <c r="N934" i="98" s="1"/>
  <c r="P972" i="1"/>
  <c r="P934" i="98" s="1"/>
  <c r="A962" i="1"/>
  <c r="A924" i="98" s="1"/>
  <c r="A963" i="1"/>
  <c r="A925" i="98" s="1"/>
  <c r="A964" i="1"/>
  <c r="A926" i="98" s="1"/>
  <c r="A965" i="1"/>
  <c r="A927" i="98" s="1"/>
  <c r="A966" i="1"/>
  <c r="A928" i="98" s="1"/>
  <c r="A967" i="1"/>
  <c r="A929" i="98" s="1"/>
  <c r="A968" i="1"/>
  <c r="A930" i="98" s="1"/>
  <c r="A969" i="1"/>
  <c r="A931" i="98" s="1"/>
  <c r="A970" i="1"/>
  <c r="A932" i="98" s="1"/>
  <c r="A971" i="1"/>
  <c r="A933" i="98" s="1"/>
  <c r="C962" i="1"/>
  <c r="C924" i="98" s="1"/>
  <c r="C963" i="1"/>
  <c r="C925" i="98" s="1"/>
  <c r="C964" i="1"/>
  <c r="C926" i="98" s="1"/>
  <c r="C965" i="1"/>
  <c r="C927" i="98" s="1"/>
  <c r="C966" i="1"/>
  <c r="C928" i="98" s="1"/>
  <c r="C967" i="1"/>
  <c r="C929" i="98" s="1"/>
  <c r="C968" i="1"/>
  <c r="C930" i="98" s="1"/>
  <c r="C969" i="1"/>
  <c r="C931" i="98" s="1"/>
  <c r="C970" i="1"/>
  <c r="C932" i="98" s="1"/>
  <c r="C971" i="1"/>
  <c r="C933" i="98" s="1"/>
  <c r="D962" i="1"/>
  <c r="D924" i="98" s="1"/>
  <c r="D963" i="1"/>
  <c r="D925" i="98" s="1"/>
  <c r="D964" i="1"/>
  <c r="D926" i="98" s="1"/>
  <c r="D965" i="1"/>
  <c r="D927" i="98" s="1"/>
  <c r="D966" i="1"/>
  <c r="D928" i="98" s="1"/>
  <c r="D967" i="1"/>
  <c r="D929" i="98" s="1"/>
  <c r="D968" i="1"/>
  <c r="D930" i="98" s="1"/>
  <c r="D969" i="1"/>
  <c r="D931" i="98" s="1"/>
  <c r="D970" i="1"/>
  <c r="D932" i="98" s="1"/>
  <c r="D971" i="1"/>
  <c r="D933" i="98" s="1"/>
  <c r="K962" i="1"/>
  <c r="K924" i="98" s="1"/>
  <c r="K963" i="1"/>
  <c r="K925" i="98" s="1"/>
  <c r="K964" i="1"/>
  <c r="K926" i="98" s="1"/>
  <c r="K965" i="1"/>
  <c r="K927" i="98" s="1"/>
  <c r="K966" i="1"/>
  <c r="K928" i="98" s="1"/>
  <c r="K967" i="1"/>
  <c r="K929" i="98" s="1"/>
  <c r="K968" i="1"/>
  <c r="K930" i="98" s="1"/>
  <c r="K969" i="1"/>
  <c r="K931" i="98" s="1"/>
  <c r="K970" i="1"/>
  <c r="K932" i="98" s="1"/>
  <c r="K971" i="1"/>
  <c r="K933" i="98" s="1"/>
  <c r="M962" i="1"/>
  <c r="M924" i="98" s="1"/>
  <c r="M963" i="1"/>
  <c r="M925" i="98" s="1"/>
  <c r="M964" i="1"/>
  <c r="M926" i="98" s="1"/>
  <c r="M965" i="1"/>
  <c r="M927" i="98" s="1"/>
  <c r="M966" i="1"/>
  <c r="M928" i="98" s="1"/>
  <c r="M967" i="1"/>
  <c r="M929" i="98" s="1"/>
  <c r="M968" i="1"/>
  <c r="M930" i="98" s="1"/>
  <c r="M969" i="1"/>
  <c r="M931" i="98" s="1"/>
  <c r="M970" i="1"/>
  <c r="M932" i="98" s="1"/>
  <c r="M971" i="1"/>
  <c r="M933" i="98" s="1"/>
  <c r="N962" i="1"/>
  <c r="N924" i="98" s="1"/>
  <c r="N963" i="1"/>
  <c r="N925" i="98" s="1"/>
  <c r="N964" i="1"/>
  <c r="N926" i="98" s="1"/>
  <c r="N965" i="1"/>
  <c r="N927" i="98" s="1"/>
  <c r="N966" i="1"/>
  <c r="N928" i="98" s="1"/>
  <c r="N967" i="1"/>
  <c r="N929" i="98" s="1"/>
  <c r="N968" i="1"/>
  <c r="N930" i="98" s="1"/>
  <c r="N969" i="1"/>
  <c r="N931" i="98" s="1"/>
  <c r="N970" i="1"/>
  <c r="N932" i="98" s="1"/>
  <c r="N971" i="1"/>
  <c r="N933" i="98" s="1"/>
  <c r="P962" i="1"/>
  <c r="P963" i="1"/>
  <c r="P925" i="98" s="1"/>
  <c r="P964" i="1"/>
  <c r="P926" i="98" s="1"/>
  <c r="P965" i="1"/>
  <c r="P927" i="98" s="1"/>
  <c r="P966" i="1"/>
  <c r="P928" i="98" s="1"/>
  <c r="P967" i="1"/>
  <c r="P929" i="98" s="1"/>
  <c r="P968" i="1"/>
  <c r="P930" i="98" s="1"/>
  <c r="P969" i="1"/>
  <c r="P931" i="98" s="1"/>
  <c r="P970" i="1"/>
  <c r="P932" i="98" s="1"/>
  <c r="P971" i="1"/>
  <c r="P933" i="98" s="1"/>
  <c r="A43" i="5"/>
  <c r="A44" i="5"/>
  <c r="A45" i="5"/>
  <c r="A46" i="5"/>
  <c r="A47" i="5"/>
  <c r="A48" i="5"/>
  <c r="A49" i="5"/>
  <c r="C43" i="5"/>
  <c r="E43" i="5" s="1"/>
  <c r="C44" i="5"/>
  <c r="E44" i="5" s="1"/>
  <c r="C45" i="5"/>
  <c r="E45" i="5" s="1"/>
  <c r="C46" i="5"/>
  <c r="E46" i="5" s="1"/>
  <c r="C47" i="5"/>
  <c r="E47" i="5" s="1"/>
  <c r="C48" i="5"/>
  <c r="E48" i="5" s="1"/>
  <c r="C49" i="5"/>
  <c r="E49" i="5" s="1"/>
  <c r="D43" i="5"/>
  <c r="D44" i="5"/>
  <c r="D45" i="5"/>
  <c r="D46" i="5"/>
  <c r="D47" i="5"/>
  <c r="D48" i="5"/>
  <c r="D49" i="5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C150" i="6"/>
  <c r="C151" i="6"/>
  <c r="C152" i="6"/>
  <c r="C153" i="6"/>
  <c r="C154" i="6"/>
  <c r="C155" i="6"/>
  <c r="C156" i="6"/>
  <c r="E156" i="6" s="1"/>
  <c r="C157" i="6"/>
  <c r="E157" i="6" s="1"/>
  <c r="C158" i="6"/>
  <c r="E158" i="6" s="1"/>
  <c r="C159" i="6"/>
  <c r="E159" i="6" s="1"/>
  <c r="C160" i="6"/>
  <c r="E160" i="6" s="1"/>
  <c r="C161" i="6"/>
  <c r="E161" i="6" s="1"/>
  <c r="C162" i="6"/>
  <c r="E162" i="6" s="1"/>
  <c r="C163" i="6"/>
  <c r="E163" i="6" s="1"/>
  <c r="C164" i="6"/>
  <c r="E164" i="6" s="1"/>
  <c r="C165" i="6"/>
  <c r="E165" i="6" s="1"/>
  <c r="C166" i="6"/>
  <c r="E166" i="6" s="1"/>
  <c r="C167" i="6"/>
  <c r="E167" i="6" s="1"/>
  <c r="C168" i="6"/>
  <c r="E168" i="6" s="1"/>
  <c r="C169" i="6"/>
  <c r="E169" i="6" s="1"/>
  <c r="C170" i="6"/>
  <c r="E170" i="6" s="1"/>
  <c r="C171" i="6"/>
  <c r="E171" i="6" s="1"/>
  <c r="C172" i="6"/>
  <c r="E172" i="6" s="1"/>
  <c r="C173" i="6"/>
  <c r="E173" i="6" s="1"/>
  <c r="C174" i="6"/>
  <c r="E174" i="6" s="1"/>
  <c r="C175" i="6"/>
  <c r="E175" i="6" s="1"/>
  <c r="C176" i="6"/>
  <c r="E176" i="6" s="1"/>
  <c r="C177" i="6"/>
  <c r="E177" i="6" s="1"/>
  <c r="C178" i="6"/>
  <c r="E178" i="6" s="1"/>
  <c r="C179" i="6"/>
  <c r="E179" i="6" s="1"/>
  <c r="C180" i="6"/>
  <c r="E180" i="6" s="1"/>
  <c r="C181" i="6"/>
  <c r="E181" i="6" s="1"/>
  <c r="C182" i="6"/>
  <c r="E182" i="6" s="1"/>
  <c r="C183" i="6"/>
  <c r="E183" i="6" s="1"/>
  <c r="C184" i="6"/>
  <c r="E184" i="6" s="1"/>
  <c r="C185" i="6"/>
  <c r="E185" i="6" s="1"/>
  <c r="C186" i="6"/>
  <c r="E186" i="6" s="1"/>
  <c r="C187" i="6"/>
  <c r="E187" i="6" s="1"/>
  <c r="C188" i="6"/>
  <c r="E188" i="6" s="1"/>
  <c r="C189" i="6"/>
  <c r="E189" i="6" s="1"/>
  <c r="C190" i="6"/>
  <c r="E190" i="6" s="1"/>
  <c r="C191" i="6"/>
  <c r="E191" i="6" s="1"/>
  <c r="C192" i="6"/>
  <c r="E192" i="6" s="1"/>
  <c r="C193" i="6"/>
  <c r="E193" i="6" s="1"/>
  <c r="C194" i="6"/>
  <c r="E194" i="6" s="1"/>
  <c r="C195" i="6"/>
  <c r="E195" i="6" s="1"/>
  <c r="C196" i="6"/>
  <c r="E196" i="6" s="1"/>
  <c r="C197" i="6"/>
  <c r="E197" i="6" s="1"/>
  <c r="C198" i="6"/>
  <c r="E198" i="6" s="1"/>
  <c r="C199" i="6"/>
  <c r="E199" i="6" s="1"/>
  <c r="C200" i="6"/>
  <c r="E200" i="6" s="1"/>
  <c r="C201" i="6"/>
  <c r="E201" i="6" s="1"/>
  <c r="C202" i="6"/>
  <c r="E202" i="6" s="1"/>
  <c r="C203" i="6"/>
  <c r="E203" i="6" s="1"/>
  <c r="C204" i="6"/>
  <c r="E204" i="6" s="1"/>
  <c r="C205" i="6"/>
  <c r="E205" i="6" s="1"/>
  <c r="C206" i="6"/>
  <c r="E206" i="6" s="1"/>
  <c r="C207" i="6"/>
  <c r="E207" i="6" s="1"/>
  <c r="C208" i="6"/>
  <c r="E208" i="6" s="1"/>
  <c r="C209" i="6"/>
  <c r="E209" i="6" s="1"/>
  <c r="C210" i="6"/>
  <c r="E210" i="6" s="1"/>
  <c r="C211" i="6"/>
  <c r="E211" i="6" s="1"/>
  <c r="C212" i="6"/>
  <c r="E212" i="6" s="1"/>
  <c r="C213" i="6"/>
  <c r="E213" i="6" s="1"/>
  <c r="C214" i="6"/>
  <c r="E214" i="6" s="1"/>
  <c r="C215" i="6"/>
  <c r="E215" i="6" s="1"/>
  <c r="C216" i="6"/>
  <c r="E216" i="6" s="1"/>
  <c r="C217" i="6"/>
  <c r="E217" i="6" s="1"/>
  <c r="C218" i="6"/>
  <c r="E218" i="6" s="1"/>
  <c r="C219" i="6"/>
  <c r="E219" i="6" s="1"/>
  <c r="C220" i="6"/>
  <c r="E220" i="6" s="1"/>
  <c r="C221" i="6"/>
  <c r="E221" i="6" s="1"/>
  <c r="C222" i="6"/>
  <c r="E222" i="6" s="1"/>
  <c r="C223" i="6"/>
  <c r="E223" i="6" s="1"/>
  <c r="C224" i="6"/>
  <c r="E224" i="6" s="1"/>
  <c r="C225" i="6"/>
  <c r="E225" i="6" s="1"/>
  <c r="C226" i="6"/>
  <c r="E226" i="6" s="1"/>
  <c r="C227" i="6"/>
  <c r="E227" i="6" s="1"/>
  <c r="C228" i="6"/>
  <c r="E228" i="6" s="1"/>
  <c r="C229" i="6"/>
  <c r="E229" i="6" s="1"/>
  <c r="C230" i="6"/>
  <c r="E230" i="6" s="1"/>
  <c r="C231" i="6"/>
  <c r="E231" i="6" s="1"/>
  <c r="C232" i="6"/>
  <c r="E232" i="6" s="1"/>
  <c r="C233" i="6"/>
  <c r="E233" i="6" s="1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E150" i="6"/>
  <c r="E151" i="6"/>
  <c r="E152" i="6"/>
  <c r="E153" i="6"/>
  <c r="E154" i="6"/>
  <c r="E155" i="6"/>
  <c r="K150" i="6"/>
  <c r="N150" i="6" s="1"/>
  <c r="O150" i="6" s="1"/>
  <c r="K151" i="6"/>
  <c r="N151" i="6" s="1"/>
  <c r="O151" i="6" s="1"/>
  <c r="K152" i="6"/>
  <c r="N152" i="6" s="1"/>
  <c r="O152" i="6" s="1"/>
  <c r="K153" i="6"/>
  <c r="N153" i="6" s="1"/>
  <c r="O153" i="6" s="1"/>
  <c r="K154" i="6"/>
  <c r="N154" i="6" s="1"/>
  <c r="O154" i="6" s="1"/>
  <c r="K155" i="6"/>
  <c r="N155" i="6" s="1"/>
  <c r="O155" i="6" s="1"/>
  <c r="K156" i="6"/>
  <c r="N156" i="6" s="1"/>
  <c r="O156" i="6" s="1"/>
  <c r="K157" i="6"/>
  <c r="N157" i="6" s="1"/>
  <c r="O157" i="6" s="1"/>
  <c r="K158" i="6"/>
  <c r="N158" i="6" s="1"/>
  <c r="O158" i="6" s="1"/>
  <c r="K159" i="6"/>
  <c r="N159" i="6" s="1"/>
  <c r="O159" i="6" s="1"/>
  <c r="K160" i="6"/>
  <c r="N160" i="6" s="1"/>
  <c r="O160" i="6" s="1"/>
  <c r="K161" i="6"/>
  <c r="N161" i="6" s="1"/>
  <c r="O161" i="6" s="1"/>
  <c r="K162" i="6"/>
  <c r="N162" i="6" s="1"/>
  <c r="O162" i="6" s="1"/>
  <c r="K163" i="6"/>
  <c r="N163" i="6" s="1"/>
  <c r="O163" i="6" s="1"/>
  <c r="K164" i="6"/>
  <c r="N164" i="6" s="1"/>
  <c r="O164" i="6" s="1"/>
  <c r="K165" i="6"/>
  <c r="N165" i="6" s="1"/>
  <c r="O165" i="6" s="1"/>
  <c r="K166" i="6"/>
  <c r="N166" i="6" s="1"/>
  <c r="O166" i="6" s="1"/>
  <c r="K167" i="6"/>
  <c r="N167" i="6" s="1"/>
  <c r="O167" i="6" s="1"/>
  <c r="K168" i="6"/>
  <c r="N168" i="6" s="1"/>
  <c r="O168" i="6" s="1"/>
  <c r="K169" i="6"/>
  <c r="N169" i="6" s="1"/>
  <c r="O169" i="6" s="1"/>
  <c r="K170" i="6"/>
  <c r="N170" i="6" s="1"/>
  <c r="O170" i="6" s="1"/>
  <c r="K171" i="6"/>
  <c r="N171" i="6" s="1"/>
  <c r="O171" i="6" s="1"/>
  <c r="K172" i="6"/>
  <c r="N172" i="6" s="1"/>
  <c r="O172" i="6" s="1"/>
  <c r="K173" i="6"/>
  <c r="N173" i="6" s="1"/>
  <c r="O173" i="6" s="1"/>
  <c r="K174" i="6"/>
  <c r="N174" i="6" s="1"/>
  <c r="O174" i="6" s="1"/>
  <c r="K175" i="6"/>
  <c r="N175" i="6" s="1"/>
  <c r="O175" i="6" s="1"/>
  <c r="K176" i="6"/>
  <c r="N176" i="6" s="1"/>
  <c r="O176" i="6" s="1"/>
  <c r="K177" i="6"/>
  <c r="N177" i="6" s="1"/>
  <c r="O177" i="6" s="1"/>
  <c r="K178" i="6"/>
  <c r="N178" i="6" s="1"/>
  <c r="O178" i="6" s="1"/>
  <c r="K179" i="6"/>
  <c r="N179" i="6" s="1"/>
  <c r="O179" i="6" s="1"/>
  <c r="K180" i="6"/>
  <c r="N180" i="6" s="1"/>
  <c r="O180" i="6" s="1"/>
  <c r="K181" i="6"/>
  <c r="N181" i="6" s="1"/>
  <c r="O181" i="6" s="1"/>
  <c r="K182" i="6"/>
  <c r="N182" i="6" s="1"/>
  <c r="O182" i="6" s="1"/>
  <c r="K183" i="6"/>
  <c r="N183" i="6" s="1"/>
  <c r="O183" i="6" s="1"/>
  <c r="K184" i="6"/>
  <c r="N184" i="6" s="1"/>
  <c r="O184" i="6" s="1"/>
  <c r="K185" i="6"/>
  <c r="N185" i="6" s="1"/>
  <c r="O185" i="6" s="1"/>
  <c r="K186" i="6"/>
  <c r="N186" i="6" s="1"/>
  <c r="O186" i="6" s="1"/>
  <c r="K187" i="6"/>
  <c r="N187" i="6" s="1"/>
  <c r="O187" i="6" s="1"/>
  <c r="K188" i="6"/>
  <c r="N188" i="6" s="1"/>
  <c r="O188" i="6" s="1"/>
  <c r="K189" i="6"/>
  <c r="N189" i="6" s="1"/>
  <c r="O189" i="6" s="1"/>
  <c r="K190" i="6"/>
  <c r="N190" i="6" s="1"/>
  <c r="O190" i="6" s="1"/>
  <c r="K191" i="6"/>
  <c r="N191" i="6" s="1"/>
  <c r="O191" i="6" s="1"/>
  <c r="K192" i="6"/>
  <c r="N192" i="6" s="1"/>
  <c r="O192" i="6" s="1"/>
  <c r="K193" i="6"/>
  <c r="N193" i="6" s="1"/>
  <c r="O193" i="6" s="1"/>
  <c r="K194" i="6"/>
  <c r="N194" i="6" s="1"/>
  <c r="O194" i="6" s="1"/>
  <c r="K195" i="6"/>
  <c r="N195" i="6" s="1"/>
  <c r="O195" i="6" s="1"/>
  <c r="K196" i="6"/>
  <c r="N196" i="6" s="1"/>
  <c r="O196" i="6" s="1"/>
  <c r="K197" i="6"/>
  <c r="N197" i="6" s="1"/>
  <c r="O197" i="6" s="1"/>
  <c r="K198" i="6"/>
  <c r="N198" i="6" s="1"/>
  <c r="O198" i="6" s="1"/>
  <c r="K199" i="6"/>
  <c r="N199" i="6" s="1"/>
  <c r="O199" i="6" s="1"/>
  <c r="K200" i="6"/>
  <c r="N200" i="6" s="1"/>
  <c r="O200" i="6" s="1"/>
  <c r="K201" i="6"/>
  <c r="N201" i="6" s="1"/>
  <c r="O201" i="6" s="1"/>
  <c r="K202" i="6"/>
  <c r="N202" i="6" s="1"/>
  <c r="O202" i="6" s="1"/>
  <c r="K203" i="6"/>
  <c r="N203" i="6" s="1"/>
  <c r="O203" i="6" s="1"/>
  <c r="K204" i="6"/>
  <c r="N204" i="6" s="1"/>
  <c r="O204" i="6" s="1"/>
  <c r="K205" i="6"/>
  <c r="N205" i="6" s="1"/>
  <c r="O205" i="6" s="1"/>
  <c r="K206" i="6"/>
  <c r="N206" i="6" s="1"/>
  <c r="O206" i="6" s="1"/>
  <c r="K207" i="6"/>
  <c r="N207" i="6" s="1"/>
  <c r="O207" i="6" s="1"/>
  <c r="K208" i="6"/>
  <c r="N208" i="6" s="1"/>
  <c r="O208" i="6" s="1"/>
  <c r="K209" i="6"/>
  <c r="N209" i="6" s="1"/>
  <c r="O209" i="6" s="1"/>
  <c r="K210" i="6"/>
  <c r="N210" i="6" s="1"/>
  <c r="O210" i="6" s="1"/>
  <c r="K211" i="6"/>
  <c r="N211" i="6" s="1"/>
  <c r="O211" i="6" s="1"/>
  <c r="K212" i="6"/>
  <c r="N212" i="6" s="1"/>
  <c r="O212" i="6" s="1"/>
  <c r="K213" i="6"/>
  <c r="N213" i="6" s="1"/>
  <c r="O213" i="6" s="1"/>
  <c r="K214" i="6"/>
  <c r="N214" i="6" s="1"/>
  <c r="O214" i="6" s="1"/>
  <c r="K215" i="6"/>
  <c r="N215" i="6" s="1"/>
  <c r="O215" i="6" s="1"/>
  <c r="K216" i="6"/>
  <c r="N216" i="6" s="1"/>
  <c r="O216" i="6" s="1"/>
  <c r="K217" i="6"/>
  <c r="N217" i="6" s="1"/>
  <c r="O217" i="6" s="1"/>
  <c r="K218" i="6"/>
  <c r="N218" i="6" s="1"/>
  <c r="O218" i="6" s="1"/>
  <c r="K219" i="6"/>
  <c r="N219" i="6" s="1"/>
  <c r="O219" i="6" s="1"/>
  <c r="K220" i="6"/>
  <c r="N220" i="6" s="1"/>
  <c r="O220" i="6" s="1"/>
  <c r="K221" i="6"/>
  <c r="N221" i="6" s="1"/>
  <c r="O221" i="6" s="1"/>
  <c r="K222" i="6"/>
  <c r="N222" i="6" s="1"/>
  <c r="O222" i="6" s="1"/>
  <c r="K223" i="6"/>
  <c r="N223" i="6" s="1"/>
  <c r="O223" i="6" s="1"/>
  <c r="K224" i="6"/>
  <c r="N224" i="6" s="1"/>
  <c r="O224" i="6" s="1"/>
  <c r="K225" i="6"/>
  <c r="N225" i="6" s="1"/>
  <c r="O225" i="6" s="1"/>
  <c r="K226" i="6"/>
  <c r="N226" i="6" s="1"/>
  <c r="O226" i="6" s="1"/>
  <c r="K227" i="6"/>
  <c r="N227" i="6" s="1"/>
  <c r="O227" i="6" s="1"/>
  <c r="K228" i="6"/>
  <c r="N228" i="6" s="1"/>
  <c r="O228" i="6" s="1"/>
  <c r="K229" i="6"/>
  <c r="N229" i="6" s="1"/>
  <c r="O229" i="6" s="1"/>
  <c r="K230" i="6"/>
  <c r="N230" i="6" s="1"/>
  <c r="O230" i="6" s="1"/>
  <c r="K231" i="6"/>
  <c r="N231" i="6" s="1"/>
  <c r="O231" i="6" s="1"/>
  <c r="K232" i="6"/>
  <c r="N232" i="6" s="1"/>
  <c r="O232" i="6" s="1"/>
  <c r="K233" i="6"/>
  <c r="N233" i="6" s="1"/>
  <c r="O233" i="6" s="1"/>
  <c r="E2" i="9"/>
  <c r="E3" i="9"/>
  <c r="E4" i="9"/>
  <c r="E5" i="9"/>
  <c r="E6" i="9"/>
  <c r="E7" i="9"/>
  <c r="E8" i="9"/>
  <c r="E10" i="9"/>
  <c r="E11" i="9"/>
  <c r="E12" i="9"/>
  <c r="E14" i="9"/>
  <c r="E15" i="9"/>
  <c r="E16" i="9"/>
  <c r="E17" i="9"/>
  <c r="E18" i="9"/>
  <c r="E19" i="9"/>
  <c r="U2" i="9"/>
  <c r="U3" i="9"/>
  <c r="U4" i="9"/>
  <c r="U5" i="9"/>
  <c r="U6" i="9"/>
  <c r="U7" i="9"/>
  <c r="U8" i="9"/>
  <c r="U10" i="9"/>
  <c r="U11" i="9"/>
  <c r="U12" i="9"/>
  <c r="U14" i="9"/>
  <c r="U15" i="9"/>
  <c r="U16" i="9"/>
  <c r="U17" i="9"/>
  <c r="U18" i="9"/>
  <c r="U19" i="9"/>
  <c r="S2" i="9"/>
  <c r="S3" i="9"/>
  <c r="S4" i="9"/>
  <c r="S5" i="9"/>
  <c r="S6" i="9"/>
  <c r="S7" i="9"/>
  <c r="S8" i="9"/>
  <c r="S10" i="9"/>
  <c r="S11" i="9"/>
  <c r="S12" i="9"/>
  <c r="S14" i="9"/>
  <c r="S15" i="9"/>
  <c r="S16" i="9"/>
  <c r="S17" i="9"/>
  <c r="S18" i="9"/>
  <c r="S19" i="9"/>
  <c r="R2" i="9"/>
  <c r="R3" i="9"/>
  <c r="R4" i="9"/>
  <c r="R5" i="9"/>
  <c r="R6" i="9"/>
  <c r="R7" i="9"/>
  <c r="R8" i="9"/>
  <c r="R10" i="9"/>
  <c r="R11" i="9"/>
  <c r="R12" i="9"/>
  <c r="R14" i="9"/>
  <c r="R15" i="9"/>
  <c r="R16" i="9"/>
  <c r="R17" i="9"/>
  <c r="R18" i="9"/>
  <c r="R19" i="9"/>
  <c r="P2" i="9"/>
  <c r="P3" i="9"/>
  <c r="P4" i="9"/>
  <c r="P5" i="9"/>
  <c r="P6" i="9"/>
  <c r="P7" i="9"/>
  <c r="P8" i="9"/>
  <c r="P10" i="9"/>
  <c r="P11" i="9"/>
  <c r="P12" i="9"/>
  <c r="P14" i="9"/>
  <c r="P15" i="9"/>
  <c r="P16" i="9"/>
  <c r="P17" i="9"/>
  <c r="P18" i="9"/>
  <c r="P19" i="9"/>
  <c r="D2" i="9"/>
  <c r="D3" i="9"/>
  <c r="D4" i="9"/>
  <c r="D5" i="9"/>
  <c r="D6" i="9"/>
  <c r="D7" i="9"/>
  <c r="D8" i="9"/>
  <c r="D10" i="9"/>
  <c r="D11" i="9"/>
  <c r="D12" i="9"/>
  <c r="D14" i="9"/>
  <c r="D15" i="9"/>
  <c r="D16" i="9"/>
  <c r="D17" i="9"/>
  <c r="D18" i="9"/>
  <c r="D19" i="9"/>
  <c r="C2" i="9"/>
  <c r="A3" i="9"/>
  <c r="A4" i="9"/>
  <c r="A5" i="9"/>
  <c r="A6" i="9"/>
  <c r="A7" i="9"/>
  <c r="A8" i="9"/>
  <c r="A10" i="9"/>
  <c r="A11" i="9"/>
  <c r="A12" i="9"/>
  <c r="A14" i="9"/>
  <c r="A15" i="9"/>
  <c r="A16" i="9"/>
  <c r="A17" i="9"/>
  <c r="A18" i="9"/>
  <c r="A19" i="9"/>
  <c r="A2" i="9"/>
  <c r="M2" i="9"/>
  <c r="C3" i="9"/>
  <c r="C4" i="9"/>
  <c r="C5" i="9"/>
  <c r="C6" i="9"/>
  <c r="C7" i="9"/>
  <c r="C8" i="9"/>
  <c r="C10" i="9"/>
  <c r="C11" i="9"/>
  <c r="C12" i="9"/>
  <c r="C14" i="9"/>
  <c r="C15" i="9"/>
  <c r="C16" i="9"/>
  <c r="C17" i="9"/>
  <c r="C18" i="9"/>
  <c r="C19" i="9"/>
  <c r="M3" i="9"/>
  <c r="M4" i="9"/>
  <c r="M5" i="9"/>
  <c r="M6" i="9"/>
  <c r="M7" i="9"/>
  <c r="M8" i="9"/>
  <c r="M10" i="9"/>
  <c r="M11" i="9"/>
  <c r="M12" i="9"/>
  <c r="M14" i="9"/>
  <c r="M15" i="9"/>
  <c r="M16" i="9"/>
  <c r="M17" i="9"/>
  <c r="M18" i="9"/>
  <c r="M19" i="9"/>
  <c r="A695" i="1"/>
  <c r="A661" i="98" s="1"/>
  <c r="A696" i="1"/>
  <c r="A662" i="98" s="1"/>
  <c r="C695" i="1"/>
  <c r="C661" i="98" s="1"/>
  <c r="C696" i="1"/>
  <c r="C662" i="98" s="1"/>
  <c r="D695" i="1"/>
  <c r="D661" i="98" s="1"/>
  <c r="D696" i="1"/>
  <c r="D662" i="98" s="1"/>
  <c r="K695" i="1"/>
  <c r="K661" i="98" s="1"/>
  <c r="K696" i="1"/>
  <c r="K662" i="98" s="1"/>
  <c r="M695" i="1"/>
  <c r="M661" i="98" s="1"/>
  <c r="M696" i="1"/>
  <c r="M662" i="98" s="1"/>
  <c r="N695" i="1"/>
  <c r="N661" i="98" s="1"/>
  <c r="N696" i="1"/>
  <c r="N662" i="98" s="1"/>
  <c r="P695" i="1"/>
  <c r="P661" i="98" s="1"/>
  <c r="P696" i="1"/>
  <c r="P662" i="98" s="1"/>
  <c r="A692" i="1"/>
  <c r="A658" i="98" s="1"/>
  <c r="A693" i="1"/>
  <c r="A659" i="98" s="1"/>
  <c r="A694" i="1"/>
  <c r="A660" i="98" s="1"/>
  <c r="C692" i="1"/>
  <c r="C658" i="98" s="1"/>
  <c r="C693" i="1"/>
  <c r="C659" i="98" s="1"/>
  <c r="C694" i="1"/>
  <c r="C660" i="98" s="1"/>
  <c r="D692" i="1"/>
  <c r="D658" i="98" s="1"/>
  <c r="D693" i="1"/>
  <c r="D659" i="98" s="1"/>
  <c r="D694" i="1"/>
  <c r="D660" i="98" s="1"/>
  <c r="K692" i="1"/>
  <c r="K658" i="98" s="1"/>
  <c r="K693" i="1"/>
  <c r="K659" i="98" s="1"/>
  <c r="K694" i="1"/>
  <c r="K660" i="98" s="1"/>
  <c r="M692" i="1"/>
  <c r="M658" i="98" s="1"/>
  <c r="M693" i="1"/>
  <c r="M659" i="98" s="1"/>
  <c r="M694" i="1"/>
  <c r="M660" i="98" s="1"/>
  <c r="N692" i="1"/>
  <c r="N658" i="98" s="1"/>
  <c r="N693" i="1"/>
  <c r="N659" i="98" s="1"/>
  <c r="N694" i="1"/>
  <c r="N660" i="98" s="1"/>
  <c r="P692" i="1"/>
  <c r="P658" i="98" s="1"/>
  <c r="P693" i="1"/>
  <c r="P659" i="98" s="1"/>
  <c r="P694" i="1"/>
  <c r="P660" i="98" s="1"/>
  <c r="A691" i="1"/>
  <c r="A657" i="98" s="1"/>
  <c r="C691" i="1"/>
  <c r="C657" i="98" s="1"/>
  <c r="D691" i="1"/>
  <c r="D657" i="98" s="1"/>
  <c r="K691" i="1"/>
  <c r="K657" i="98" s="1"/>
  <c r="M691" i="1"/>
  <c r="M657" i="98" s="1"/>
  <c r="N691" i="1"/>
  <c r="N657" i="98" s="1"/>
  <c r="P691" i="1"/>
  <c r="P657" i="98" s="1"/>
  <c r="A690" i="1"/>
  <c r="A656" i="98" s="1"/>
  <c r="C690" i="1"/>
  <c r="C656" i="98" s="1"/>
  <c r="D690" i="1"/>
  <c r="D656" i="98" s="1"/>
  <c r="K690" i="1"/>
  <c r="K656" i="98" s="1"/>
  <c r="M690" i="1"/>
  <c r="M656" i="98" s="1"/>
  <c r="N690" i="1"/>
  <c r="N656" i="98" s="1"/>
  <c r="P690" i="1"/>
  <c r="P656" i="98" s="1"/>
  <c r="A684" i="1"/>
  <c r="A650" i="98" s="1"/>
  <c r="A685" i="1"/>
  <c r="A651" i="98" s="1"/>
  <c r="A686" i="1"/>
  <c r="A652" i="98" s="1"/>
  <c r="A687" i="1"/>
  <c r="A653" i="98" s="1"/>
  <c r="A688" i="1"/>
  <c r="A654" i="98" s="1"/>
  <c r="A689" i="1"/>
  <c r="A655" i="98" s="1"/>
  <c r="C684" i="1"/>
  <c r="C650" i="98" s="1"/>
  <c r="C685" i="1"/>
  <c r="C651" i="98" s="1"/>
  <c r="C686" i="1"/>
  <c r="C652" i="98" s="1"/>
  <c r="C687" i="1"/>
  <c r="C653" i="98" s="1"/>
  <c r="C688" i="1"/>
  <c r="C654" i="98" s="1"/>
  <c r="C689" i="1"/>
  <c r="C655" i="98" s="1"/>
  <c r="D684" i="1"/>
  <c r="D650" i="98" s="1"/>
  <c r="D685" i="1"/>
  <c r="D651" i="98" s="1"/>
  <c r="D686" i="1"/>
  <c r="D652" i="98" s="1"/>
  <c r="D687" i="1"/>
  <c r="D653" i="98" s="1"/>
  <c r="D688" i="1"/>
  <c r="D654" i="98" s="1"/>
  <c r="D689" i="1"/>
  <c r="D655" i="98" s="1"/>
  <c r="K684" i="1"/>
  <c r="K650" i="98" s="1"/>
  <c r="K685" i="1"/>
  <c r="K651" i="98" s="1"/>
  <c r="K686" i="1"/>
  <c r="K652" i="98" s="1"/>
  <c r="K687" i="1"/>
  <c r="K653" i="98" s="1"/>
  <c r="K688" i="1"/>
  <c r="K654" i="98" s="1"/>
  <c r="K689" i="1"/>
  <c r="K655" i="98" s="1"/>
  <c r="M684" i="1"/>
  <c r="M650" i="98" s="1"/>
  <c r="M685" i="1"/>
  <c r="M651" i="98" s="1"/>
  <c r="M686" i="1"/>
  <c r="M652" i="98" s="1"/>
  <c r="M687" i="1"/>
  <c r="M653" i="98" s="1"/>
  <c r="M688" i="1"/>
  <c r="M654" i="98" s="1"/>
  <c r="M689" i="1"/>
  <c r="M655" i="98" s="1"/>
  <c r="N684" i="1"/>
  <c r="N650" i="98" s="1"/>
  <c r="N685" i="1"/>
  <c r="N651" i="98" s="1"/>
  <c r="N686" i="1"/>
  <c r="N652" i="98" s="1"/>
  <c r="N687" i="1"/>
  <c r="N653" i="98" s="1"/>
  <c r="N688" i="1"/>
  <c r="N654" i="98" s="1"/>
  <c r="N689" i="1"/>
  <c r="N655" i="98" s="1"/>
  <c r="P684" i="1"/>
  <c r="P650" i="98" s="1"/>
  <c r="P685" i="1"/>
  <c r="P651" i="98" s="1"/>
  <c r="P686" i="1"/>
  <c r="P652" i="98" s="1"/>
  <c r="P687" i="1"/>
  <c r="P653" i="98" s="1"/>
  <c r="P688" i="1"/>
  <c r="P654" i="98" s="1"/>
  <c r="P689" i="1"/>
  <c r="P655" i="98" s="1"/>
  <c r="A705" i="1"/>
  <c r="A671" i="98" s="1"/>
  <c r="C705" i="1"/>
  <c r="C671" i="98" s="1"/>
  <c r="D705" i="1"/>
  <c r="D671" i="98" s="1"/>
  <c r="K705" i="1"/>
  <c r="K671" i="98" s="1"/>
  <c r="M705" i="1"/>
  <c r="M671" i="98" s="1"/>
  <c r="N705" i="1"/>
  <c r="N671" i="98" s="1"/>
  <c r="P705" i="1"/>
  <c r="P671" i="98" s="1"/>
  <c r="A704" i="1"/>
  <c r="A670" i="98" s="1"/>
  <c r="C704" i="1"/>
  <c r="C670" i="98" s="1"/>
  <c r="D704" i="1"/>
  <c r="D670" i="98" s="1"/>
  <c r="K704" i="1"/>
  <c r="K670" i="98" s="1"/>
  <c r="M704" i="1"/>
  <c r="M670" i="98" s="1"/>
  <c r="N704" i="1"/>
  <c r="N670" i="98" s="1"/>
  <c r="P704" i="1"/>
  <c r="P670" i="98" s="1"/>
  <c r="A697" i="1"/>
  <c r="A663" i="98" s="1"/>
  <c r="A698" i="1"/>
  <c r="A664" i="98" s="1"/>
  <c r="A699" i="1"/>
  <c r="A665" i="98" s="1"/>
  <c r="A700" i="1"/>
  <c r="A666" i="98" s="1"/>
  <c r="A701" i="1"/>
  <c r="A667" i="98" s="1"/>
  <c r="A702" i="1"/>
  <c r="A668" i="98" s="1"/>
  <c r="A703" i="1"/>
  <c r="A669" i="98" s="1"/>
  <c r="C697" i="1"/>
  <c r="C663" i="98" s="1"/>
  <c r="C698" i="1"/>
  <c r="C664" i="98" s="1"/>
  <c r="C699" i="1"/>
  <c r="C665" i="98" s="1"/>
  <c r="C700" i="1"/>
  <c r="C666" i="98" s="1"/>
  <c r="C701" i="1"/>
  <c r="C667" i="98" s="1"/>
  <c r="C702" i="1"/>
  <c r="C668" i="98" s="1"/>
  <c r="C703" i="1"/>
  <c r="C669" i="98" s="1"/>
  <c r="D697" i="1"/>
  <c r="D663" i="98" s="1"/>
  <c r="D698" i="1"/>
  <c r="D664" i="98" s="1"/>
  <c r="D699" i="1"/>
  <c r="D665" i="98" s="1"/>
  <c r="D700" i="1"/>
  <c r="D666" i="98" s="1"/>
  <c r="D701" i="1"/>
  <c r="D667" i="98" s="1"/>
  <c r="D702" i="1"/>
  <c r="D668" i="98" s="1"/>
  <c r="D703" i="1"/>
  <c r="D669" i="98" s="1"/>
  <c r="K697" i="1"/>
  <c r="K663" i="98" s="1"/>
  <c r="K698" i="1"/>
  <c r="K664" i="98" s="1"/>
  <c r="K699" i="1"/>
  <c r="K665" i="98" s="1"/>
  <c r="K700" i="1"/>
  <c r="K666" i="98" s="1"/>
  <c r="K701" i="1"/>
  <c r="K667" i="98" s="1"/>
  <c r="K702" i="1"/>
  <c r="K668" i="98" s="1"/>
  <c r="K703" i="1"/>
  <c r="K669" i="98" s="1"/>
  <c r="M697" i="1"/>
  <c r="M663" i="98" s="1"/>
  <c r="M698" i="1"/>
  <c r="M664" i="98" s="1"/>
  <c r="M699" i="1"/>
  <c r="M665" i="98" s="1"/>
  <c r="M700" i="1"/>
  <c r="M666" i="98" s="1"/>
  <c r="M701" i="1"/>
  <c r="M667" i="98" s="1"/>
  <c r="M702" i="1"/>
  <c r="M668" i="98" s="1"/>
  <c r="M703" i="1"/>
  <c r="M669" i="98" s="1"/>
  <c r="N697" i="1"/>
  <c r="N663" i="98" s="1"/>
  <c r="N698" i="1"/>
  <c r="N664" i="98" s="1"/>
  <c r="N699" i="1"/>
  <c r="N665" i="98" s="1"/>
  <c r="N700" i="1"/>
  <c r="N666" i="98" s="1"/>
  <c r="N701" i="1"/>
  <c r="N667" i="98" s="1"/>
  <c r="N702" i="1"/>
  <c r="N668" i="98" s="1"/>
  <c r="N703" i="1"/>
  <c r="N669" i="98" s="1"/>
  <c r="P697" i="1"/>
  <c r="P663" i="98" s="1"/>
  <c r="P698" i="1"/>
  <c r="P664" i="98" s="1"/>
  <c r="P699" i="1"/>
  <c r="P665" i="98" s="1"/>
  <c r="P700" i="1"/>
  <c r="P666" i="98" s="1"/>
  <c r="P701" i="1"/>
  <c r="P667" i="98" s="1"/>
  <c r="P702" i="1"/>
  <c r="P668" i="98" s="1"/>
  <c r="P703" i="1"/>
  <c r="P669" i="98" s="1"/>
  <c r="A683" i="1"/>
  <c r="A649" i="98" s="1"/>
  <c r="C683" i="1"/>
  <c r="C649" i="98" s="1"/>
  <c r="D683" i="1"/>
  <c r="D649" i="98" s="1"/>
  <c r="K683" i="1"/>
  <c r="K649" i="98" s="1"/>
  <c r="M683" i="1"/>
  <c r="M649" i="98" s="1"/>
  <c r="N683" i="1"/>
  <c r="N649" i="98" s="1"/>
  <c r="P683" i="1"/>
  <c r="P649" i="98" s="1"/>
  <c r="A144" i="6"/>
  <c r="A145" i="6"/>
  <c r="A146" i="6"/>
  <c r="A147" i="6"/>
  <c r="A148" i="6"/>
  <c r="A149" i="6"/>
  <c r="C144" i="6"/>
  <c r="E144" i="6" s="1"/>
  <c r="C145" i="6"/>
  <c r="E145" i="6" s="1"/>
  <c r="C146" i="6"/>
  <c r="E146" i="6" s="1"/>
  <c r="C147" i="6"/>
  <c r="E147" i="6" s="1"/>
  <c r="C148" i="6"/>
  <c r="E148" i="6" s="1"/>
  <c r="C149" i="6"/>
  <c r="E149" i="6" s="1"/>
  <c r="D144" i="6"/>
  <c r="D145" i="6"/>
  <c r="D146" i="6"/>
  <c r="D147" i="6"/>
  <c r="D148" i="6"/>
  <c r="D149" i="6"/>
  <c r="K144" i="6"/>
  <c r="N144" i="6" s="1"/>
  <c r="O144" i="6" s="1"/>
  <c r="K145" i="6"/>
  <c r="N145" i="6" s="1"/>
  <c r="O145" i="6" s="1"/>
  <c r="K146" i="6"/>
  <c r="N146" i="6" s="1"/>
  <c r="O146" i="6" s="1"/>
  <c r="K147" i="6"/>
  <c r="N147" i="6" s="1"/>
  <c r="O147" i="6" s="1"/>
  <c r="K148" i="6"/>
  <c r="N148" i="6" s="1"/>
  <c r="O148" i="6" s="1"/>
  <c r="K149" i="6"/>
  <c r="N149" i="6" s="1"/>
  <c r="O149" i="6" s="1"/>
  <c r="A664" i="1"/>
  <c r="A630" i="98" s="1"/>
  <c r="C664" i="1"/>
  <c r="C630" i="98" s="1"/>
  <c r="D664" i="1"/>
  <c r="D630" i="98" s="1"/>
  <c r="K664" i="1"/>
  <c r="K630" i="98" s="1"/>
  <c r="M664" i="1"/>
  <c r="M630" i="98" s="1"/>
  <c r="N664" i="1"/>
  <c r="N630" i="98" s="1"/>
  <c r="P664" i="1"/>
  <c r="P630" i="98" s="1"/>
  <c r="A662" i="1"/>
  <c r="A628" i="98" s="1"/>
  <c r="A663" i="1"/>
  <c r="A629" i="98" s="1"/>
  <c r="C662" i="1"/>
  <c r="C628" i="98" s="1"/>
  <c r="C663" i="1"/>
  <c r="C629" i="98" s="1"/>
  <c r="D662" i="1"/>
  <c r="D628" i="98" s="1"/>
  <c r="D663" i="1"/>
  <c r="D629" i="98" s="1"/>
  <c r="K662" i="1"/>
  <c r="K628" i="98" s="1"/>
  <c r="K663" i="1"/>
  <c r="K629" i="98" s="1"/>
  <c r="M662" i="1"/>
  <c r="M628" i="98" s="1"/>
  <c r="M663" i="1"/>
  <c r="M629" i="98" s="1"/>
  <c r="N662" i="1"/>
  <c r="N628" i="98" s="1"/>
  <c r="N663" i="1"/>
  <c r="N629" i="98" s="1"/>
  <c r="P662" i="1"/>
  <c r="P628" i="98" s="1"/>
  <c r="P663" i="1"/>
  <c r="P629" i="98" s="1"/>
  <c r="A661" i="1"/>
  <c r="A627" i="98" s="1"/>
  <c r="C661" i="1"/>
  <c r="C627" i="98" s="1"/>
  <c r="D661" i="1"/>
  <c r="D627" i="98" s="1"/>
  <c r="K661" i="1"/>
  <c r="K627" i="98" s="1"/>
  <c r="M661" i="1"/>
  <c r="M627" i="98" s="1"/>
  <c r="N661" i="1"/>
  <c r="N627" i="98" s="1"/>
  <c r="P661" i="1"/>
  <c r="P627" i="98" s="1"/>
  <c r="A660" i="1"/>
  <c r="A626" i="98" s="1"/>
  <c r="C660" i="1"/>
  <c r="C626" i="98" s="1"/>
  <c r="D660" i="1"/>
  <c r="D626" i="98" s="1"/>
  <c r="K660" i="1"/>
  <c r="K626" i="98" s="1"/>
  <c r="M660" i="1"/>
  <c r="M626" i="98" s="1"/>
  <c r="N660" i="1"/>
  <c r="N626" i="98" s="1"/>
  <c r="P660" i="1"/>
  <c r="P626" i="98" s="1"/>
  <c r="A655" i="1"/>
  <c r="A621" i="98" s="1"/>
  <c r="A656" i="1"/>
  <c r="A622" i="98" s="1"/>
  <c r="A657" i="1"/>
  <c r="A623" i="98" s="1"/>
  <c r="A658" i="1"/>
  <c r="A624" i="98" s="1"/>
  <c r="A659" i="1"/>
  <c r="A625" i="98" s="1"/>
  <c r="A675" i="1"/>
  <c r="A641" i="98" s="1"/>
  <c r="C655" i="1"/>
  <c r="C621" i="98" s="1"/>
  <c r="C656" i="1"/>
  <c r="C622" i="98" s="1"/>
  <c r="C657" i="1"/>
  <c r="C623" i="98" s="1"/>
  <c r="C658" i="1"/>
  <c r="C624" i="98" s="1"/>
  <c r="C659" i="1"/>
  <c r="C625" i="98" s="1"/>
  <c r="C675" i="1"/>
  <c r="C641" i="98" s="1"/>
  <c r="D655" i="1"/>
  <c r="D621" i="98" s="1"/>
  <c r="D656" i="1"/>
  <c r="D622" i="98" s="1"/>
  <c r="D657" i="1"/>
  <c r="D623" i="98" s="1"/>
  <c r="D658" i="1"/>
  <c r="D624" i="98" s="1"/>
  <c r="D659" i="1"/>
  <c r="D625" i="98" s="1"/>
  <c r="D675" i="1"/>
  <c r="D641" i="98" s="1"/>
  <c r="K655" i="1"/>
  <c r="K621" i="98" s="1"/>
  <c r="K656" i="1"/>
  <c r="K622" i="98" s="1"/>
  <c r="K657" i="1"/>
  <c r="K623" i="98" s="1"/>
  <c r="K658" i="1"/>
  <c r="K624" i="98" s="1"/>
  <c r="K659" i="1"/>
  <c r="K625" i="98" s="1"/>
  <c r="K675" i="1"/>
  <c r="K641" i="98" s="1"/>
  <c r="M655" i="1"/>
  <c r="M621" i="98" s="1"/>
  <c r="M656" i="1"/>
  <c r="M622" i="98" s="1"/>
  <c r="M657" i="1"/>
  <c r="M623" i="98" s="1"/>
  <c r="M658" i="1"/>
  <c r="M624" i="98" s="1"/>
  <c r="M659" i="1"/>
  <c r="M625" i="98" s="1"/>
  <c r="M675" i="1"/>
  <c r="M641" i="98" s="1"/>
  <c r="N655" i="1"/>
  <c r="N621" i="98" s="1"/>
  <c r="N656" i="1"/>
  <c r="N622" i="98" s="1"/>
  <c r="N657" i="1"/>
  <c r="N623" i="98" s="1"/>
  <c r="N658" i="1"/>
  <c r="N624" i="98" s="1"/>
  <c r="N659" i="1"/>
  <c r="N625" i="98" s="1"/>
  <c r="N675" i="1"/>
  <c r="N641" i="98" s="1"/>
  <c r="P655" i="1"/>
  <c r="P621" i="98" s="1"/>
  <c r="P656" i="1"/>
  <c r="P622" i="98" s="1"/>
  <c r="P657" i="1"/>
  <c r="P623" i="98" s="1"/>
  <c r="P658" i="1"/>
  <c r="P624" i="98" s="1"/>
  <c r="P659" i="1"/>
  <c r="P625" i="98" s="1"/>
  <c r="P675" i="1"/>
  <c r="P641" i="98" s="1"/>
  <c r="A676" i="1"/>
  <c r="A642" i="98" s="1"/>
  <c r="A654" i="1"/>
  <c r="A620" i="98" s="1"/>
  <c r="C676" i="1"/>
  <c r="C642" i="98" s="1"/>
  <c r="C654" i="1"/>
  <c r="C620" i="98" s="1"/>
  <c r="D676" i="1"/>
  <c r="D642" i="98" s="1"/>
  <c r="D654" i="1"/>
  <c r="D620" i="98" s="1"/>
  <c r="K676" i="1"/>
  <c r="K642" i="98" s="1"/>
  <c r="K654" i="1"/>
  <c r="K620" i="98" s="1"/>
  <c r="M676" i="1"/>
  <c r="M642" i="98" s="1"/>
  <c r="M654" i="1"/>
  <c r="M620" i="98" s="1"/>
  <c r="N676" i="1"/>
  <c r="N642" i="98" s="1"/>
  <c r="N654" i="1"/>
  <c r="N620" i="98" s="1"/>
  <c r="P676" i="1"/>
  <c r="P642" i="98" s="1"/>
  <c r="P654" i="1"/>
  <c r="P620" i="98" s="1"/>
  <c r="A653" i="1"/>
  <c r="A619" i="98" s="1"/>
  <c r="C653" i="1"/>
  <c r="C619" i="98" s="1"/>
  <c r="D653" i="1"/>
  <c r="D619" i="98" s="1"/>
  <c r="K653" i="1"/>
  <c r="K619" i="98" s="1"/>
  <c r="M653" i="1"/>
  <c r="M619" i="98" s="1"/>
  <c r="N653" i="1"/>
  <c r="N619" i="98" s="1"/>
  <c r="P653" i="1"/>
  <c r="P619" i="98" s="1"/>
  <c r="A665" i="1"/>
  <c r="A631" i="98" s="1"/>
  <c r="A666" i="1"/>
  <c r="A632" i="98" s="1"/>
  <c r="A667" i="1"/>
  <c r="A633" i="98" s="1"/>
  <c r="A668" i="1"/>
  <c r="A634" i="98" s="1"/>
  <c r="A669" i="1"/>
  <c r="A635" i="98" s="1"/>
  <c r="A670" i="1"/>
  <c r="A636" i="98" s="1"/>
  <c r="A671" i="1"/>
  <c r="A637" i="98" s="1"/>
  <c r="A672" i="1"/>
  <c r="A638" i="98" s="1"/>
  <c r="A673" i="1"/>
  <c r="A639" i="98" s="1"/>
  <c r="A674" i="1"/>
  <c r="A640" i="98" s="1"/>
  <c r="C665" i="1"/>
  <c r="C631" i="98" s="1"/>
  <c r="C666" i="1"/>
  <c r="C632" i="98" s="1"/>
  <c r="C667" i="1"/>
  <c r="C633" i="98" s="1"/>
  <c r="C668" i="1"/>
  <c r="C634" i="98" s="1"/>
  <c r="C669" i="1"/>
  <c r="C635" i="98" s="1"/>
  <c r="C670" i="1"/>
  <c r="C636" i="98" s="1"/>
  <c r="C671" i="1"/>
  <c r="C637" i="98" s="1"/>
  <c r="C672" i="1"/>
  <c r="C638" i="98" s="1"/>
  <c r="C673" i="1"/>
  <c r="C639" i="98" s="1"/>
  <c r="C674" i="1"/>
  <c r="C640" i="98" s="1"/>
  <c r="D665" i="1"/>
  <c r="D631" i="98" s="1"/>
  <c r="D666" i="1"/>
  <c r="D632" i="98" s="1"/>
  <c r="D667" i="1"/>
  <c r="D633" i="98" s="1"/>
  <c r="D668" i="1"/>
  <c r="D634" i="98" s="1"/>
  <c r="D669" i="1"/>
  <c r="D635" i="98" s="1"/>
  <c r="D670" i="1"/>
  <c r="D636" i="98" s="1"/>
  <c r="D671" i="1"/>
  <c r="D637" i="98" s="1"/>
  <c r="D672" i="1"/>
  <c r="D638" i="98" s="1"/>
  <c r="D673" i="1"/>
  <c r="D639" i="98" s="1"/>
  <c r="D674" i="1"/>
  <c r="D640" i="98" s="1"/>
  <c r="K665" i="1"/>
  <c r="K631" i="98" s="1"/>
  <c r="K666" i="1"/>
  <c r="K632" i="98" s="1"/>
  <c r="K667" i="1"/>
  <c r="K633" i="98" s="1"/>
  <c r="K668" i="1"/>
  <c r="K634" i="98" s="1"/>
  <c r="K669" i="1"/>
  <c r="K635" i="98" s="1"/>
  <c r="K670" i="1"/>
  <c r="K636" i="98" s="1"/>
  <c r="K671" i="1"/>
  <c r="K637" i="98" s="1"/>
  <c r="K672" i="1"/>
  <c r="K638" i="98" s="1"/>
  <c r="K673" i="1"/>
  <c r="K639" i="98" s="1"/>
  <c r="K674" i="1"/>
  <c r="K640" i="98" s="1"/>
  <c r="M665" i="1"/>
  <c r="M631" i="98" s="1"/>
  <c r="M666" i="1"/>
  <c r="M632" i="98" s="1"/>
  <c r="M667" i="1"/>
  <c r="M633" i="98" s="1"/>
  <c r="M668" i="1"/>
  <c r="M634" i="98" s="1"/>
  <c r="M669" i="1"/>
  <c r="M635" i="98" s="1"/>
  <c r="M670" i="1"/>
  <c r="M636" i="98" s="1"/>
  <c r="M671" i="1"/>
  <c r="M637" i="98" s="1"/>
  <c r="M672" i="1"/>
  <c r="M638" i="98" s="1"/>
  <c r="M673" i="1"/>
  <c r="M639" i="98" s="1"/>
  <c r="M674" i="1"/>
  <c r="M640" i="98" s="1"/>
  <c r="N665" i="1"/>
  <c r="N631" i="98" s="1"/>
  <c r="N666" i="1"/>
  <c r="N632" i="98" s="1"/>
  <c r="N667" i="1"/>
  <c r="N633" i="98" s="1"/>
  <c r="N668" i="1"/>
  <c r="N634" i="98" s="1"/>
  <c r="N669" i="1"/>
  <c r="N635" i="98" s="1"/>
  <c r="N670" i="1"/>
  <c r="N636" i="98" s="1"/>
  <c r="N671" i="1"/>
  <c r="N637" i="98" s="1"/>
  <c r="N672" i="1"/>
  <c r="N638" i="98" s="1"/>
  <c r="N673" i="1"/>
  <c r="N639" i="98" s="1"/>
  <c r="N674" i="1"/>
  <c r="N640" i="98" s="1"/>
  <c r="P665" i="1"/>
  <c r="P631" i="98" s="1"/>
  <c r="P666" i="1"/>
  <c r="P632" i="98" s="1"/>
  <c r="P667" i="1"/>
  <c r="P633" i="98" s="1"/>
  <c r="P668" i="1"/>
  <c r="P634" i="98" s="1"/>
  <c r="P669" i="1"/>
  <c r="P635" i="98" s="1"/>
  <c r="P670" i="1"/>
  <c r="P636" i="98" s="1"/>
  <c r="P671" i="1"/>
  <c r="P637" i="98" s="1"/>
  <c r="P672" i="1"/>
  <c r="P638" i="98" s="1"/>
  <c r="P673" i="1"/>
  <c r="P639" i="98" s="1"/>
  <c r="P674" i="1"/>
  <c r="P640" i="98" s="1"/>
  <c r="A652" i="1"/>
  <c r="A618" i="98" s="1"/>
  <c r="C652" i="1"/>
  <c r="C618" i="98" s="1"/>
  <c r="D652" i="1"/>
  <c r="D618" i="98" s="1"/>
  <c r="K652" i="1"/>
  <c r="K618" i="98" s="1"/>
  <c r="M652" i="1"/>
  <c r="M618" i="98" s="1"/>
  <c r="N652" i="1"/>
  <c r="N618" i="98" s="1"/>
  <c r="P652" i="1"/>
  <c r="P618" i="98" s="1"/>
  <c r="A651" i="1"/>
  <c r="A617" i="98" s="1"/>
  <c r="C651" i="1"/>
  <c r="C617" i="98" s="1"/>
  <c r="D651" i="1"/>
  <c r="D617" i="98" s="1"/>
  <c r="K651" i="1"/>
  <c r="K617" i="98" s="1"/>
  <c r="M651" i="1"/>
  <c r="M617" i="98" s="1"/>
  <c r="N651" i="1"/>
  <c r="N617" i="98" s="1"/>
  <c r="P651" i="1"/>
  <c r="P617" i="98" s="1"/>
  <c r="A643" i="1"/>
  <c r="A609" i="98" s="1"/>
  <c r="A644" i="1"/>
  <c r="A610" i="98" s="1"/>
  <c r="A645" i="1"/>
  <c r="A611" i="98" s="1"/>
  <c r="A646" i="1"/>
  <c r="A612" i="98" s="1"/>
  <c r="A647" i="1"/>
  <c r="A613" i="98" s="1"/>
  <c r="A648" i="1"/>
  <c r="A614" i="98" s="1"/>
  <c r="A649" i="1"/>
  <c r="A615" i="98" s="1"/>
  <c r="A650" i="1"/>
  <c r="A616" i="98" s="1"/>
  <c r="C643" i="1"/>
  <c r="C609" i="98" s="1"/>
  <c r="C644" i="1"/>
  <c r="C610" i="98" s="1"/>
  <c r="C645" i="1"/>
  <c r="C611" i="98" s="1"/>
  <c r="C646" i="1"/>
  <c r="C612" i="98" s="1"/>
  <c r="C647" i="1"/>
  <c r="C613" i="98" s="1"/>
  <c r="C648" i="1"/>
  <c r="C614" i="98" s="1"/>
  <c r="C649" i="1"/>
  <c r="C615" i="98" s="1"/>
  <c r="C650" i="1"/>
  <c r="C616" i="98" s="1"/>
  <c r="D643" i="1"/>
  <c r="D609" i="98" s="1"/>
  <c r="D644" i="1"/>
  <c r="D610" i="98" s="1"/>
  <c r="D645" i="1"/>
  <c r="D611" i="98" s="1"/>
  <c r="D646" i="1"/>
  <c r="D612" i="98" s="1"/>
  <c r="D647" i="1"/>
  <c r="D613" i="98" s="1"/>
  <c r="D648" i="1"/>
  <c r="D614" i="98" s="1"/>
  <c r="D649" i="1"/>
  <c r="D615" i="98" s="1"/>
  <c r="D650" i="1"/>
  <c r="D616" i="98" s="1"/>
  <c r="K643" i="1"/>
  <c r="K609" i="98" s="1"/>
  <c r="K644" i="1"/>
  <c r="K610" i="98" s="1"/>
  <c r="K645" i="1"/>
  <c r="K611" i="98" s="1"/>
  <c r="K646" i="1"/>
  <c r="K612" i="98" s="1"/>
  <c r="K647" i="1"/>
  <c r="K613" i="98" s="1"/>
  <c r="K648" i="1"/>
  <c r="K614" i="98" s="1"/>
  <c r="K649" i="1"/>
  <c r="K615" i="98" s="1"/>
  <c r="K650" i="1"/>
  <c r="K616" i="98" s="1"/>
  <c r="M643" i="1"/>
  <c r="M609" i="98" s="1"/>
  <c r="M644" i="1"/>
  <c r="M610" i="98" s="1"/>
  <c r="M645" i="1"/>
  <c r="M611" i="98" s="1"/>
  <c r="M646" i="1"/>
  <c r="M612" i="98" s="1"/>
  <c r="M647" i="1"/>
  <c r="M613" i="98" s="1"/>
  <c r="M648" i="1"/>
  <c r="M614" i="98" s="1"/>
  <c r="M649" i="1"/>
  <c r="M615" i="98" s="1"/>
  <c r="M650" i="1"/>
  <c r="M616" i="98" s="1"/>
  <c r="N643" i="1"/>
  <c r="N609" i="98" s="1"/>
  <c r="N644" i="1"/>
  <c r="N610" i="98" s="1"/>
  <c r="N645" i="1"/>
  <c r="N611" i="98" s="1"/>
  <c r="N646" i="1"/>
  <c r="N612" i="98" s="1"/>
  <c r="N647" i="1"/>
  <c r="N613" i="98" s="1"/>
  <c r="N648" i="1"/>
  <c r="N614" i="98" s="1"/>
  <c r="N649" i="1"/>
  <c r="N615" i="98" s="1"/>
  <c r="N650" i="1"/>
  <c r="N616" i="98" s="1"/>
  <c r="P643" i="1"/>
  <c r="P609" i="98" s="1"/>
  <c r="P644" i="1"/>
  <c r="P610" i="98" s="1"/>
  <c r="P645" i="1"/>
  <c r="P611" i="98" s="1"/>
  <c r="P646" i="1"/>
  <c r="P612" i="98" s="1"/>
  <c r="P647" i="1"/>
  <c r="P613" i="98" s="1"/>
  <c r="P648" i="1"/>
  <c r="P614" i="98" s="1"/>
  <c r="P649" i="1"/>
  <c r="P615" i="98" s="1"/>
  <c r="P650" i="1"/>
  <c r="P616" i="98" s="1"/>
  <c r="A142" i="6"/>
  <c r="A143" i="6"/>
  <c r="C142" i="6"/>
  <c r="E142" i="6" s="1"/>
  <c r="C143" i="6"/>
  <c r="E143" i="6" s="1"/>
  <c r="D142" i="6"/>
  <c r="D143" i="6"/>
  <c r="K142" i="6"/>
  <c r="N142" i="6" s="1"/>
  <c r="O142" i="6" s="1"/>
  <c r="K143" i="6"/>
  <c r="N143" i="6" s="1"/>
  <c r="O143" i="6" s="1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C128" i="6"/>
  <c r="E128" i="6" s="1"/>
  <c r="C129" i="6"/>
  <c r="E129" i="6" s="1"/>
  <c r="C130" i="6"/>
  <c r="E130" i="6" s="1"/>
  <c r="C131" i="6"/>
  <c r="E131" i="6" s="1"/>
  <c r="C132" i="6"/>
  <c r="E132" i="6" s="1"/>
  <c r="C133" i="6"/>
  <c r="E133" i="6" s="1"/>
  <c r="C134" i="6"/>
  <c r="E134" i="6" s="1"/>
  <c r="C135" i="6"/>
  <c r="E135" i="6" s="1"/>
  <c r="C136" i="6"/>
  <c r="E136" i="6" s="1"/>
  <c r="C137" i="6"/>
  <c r="E137" i="6" s="1"/>
  <c r="C138" i="6"/>
  <c r="E138" i="6" s="1"/>
  <c r="C139" i="6"/>
  <c r="E139" i="6" s="1"/>
  <c r="C140" i="6"/>
  <c r="E140" i="6" s="1"/>
  <c r="C141" i="6"/>
  <c r="E141" i="6" s="1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K128" i="6"/>
  <c r="N128" i="6" s="1"/>
  <c r="K129" i="6"/>
  <c r="N129" i="6" s="1"/>
  <c r="O129" i="6" s="1"/>
  <c r="K130" i="6"/>
  <c r="N130" i="6" s="1"/>
  <c r="O130" i="6" s="1"/>
  <c r="K131" i="6"/>
  <c r="N131" i="6" s="1"/>
  <c r="O131" i="6" s="1"/>
  <c r="K132" i="6"/>
  <c r="N132" i="6" s="1"/>
  <c r="O132" i="6" s="1"/>
  <c r="K133" i="6"/>
  <c r="N133" i="6" s="1"/>
  <c r="O133" i="6" s="1"/>
  <c r="K134" i="6"/>
  <c r="N134" i="6" s="1"/>
  <c r="O134" i="6" s="1"/>
  <c r="K135" i="6"/>
  <c r="N135" i="6" s="1"/>
  <c r="O135" i="6" s="1"/>
  <c r="K136" i="6"/>
  <c r="N136" i="6" s="1"/>
  <c r="O136" i="6" s="1"/>
  <c r="K137" i="6"/>
  <c r="N137" i="6" s="1"/>
  <c r="O137" i="6" s="1"/>
  <c r="K138" i="6"/>
  <c r="N138" i="6" s="1"/>
  <c r="O138" i="6" s="1"/>
  <c r="K139" i="6"/>
  <c r="N139" i="6" s="1"/>
  <c r="O139" i="6" s="1"/>
  <c r="K140" i="6"/>
  <c r="N140" i="6" s="1"/>
  <c r="O140" i="6" s="1"/>
  <c r="K141" i="6"/>
  <c r="N141" i="6" s="1"/>
  <c r="O141" i="6" s="1"/>
  <c r="A628" i="1"/>
  <c r="A595" i="98" s="1"/>
  <c r="A629" i="1"/>
  <c r="A596" i="98" s="1"/>
  <c r="C628" i="1"/>
  <c r="C595" i="98" s="1"/>
  <c r="C629" i="1"/>
  <c r="C596" i="98" s="1"/>
  <c r="D628" i="1"/>
  <c r="D595" i="98" s="1"/>
  <c r="D629" i="1"/>
  <c r="D596" i="98" s="1"/>
  <c r="K628" i="1"/>
  <c r="K595" i="98" s="1"/>
  <c r="K629" i="1"/>
  <c r="K596" i="98" s="1"/>
  <c r="M628" i="1"/>
  <c r="M595" i="98" s="1"/>
  <c r="M629" i="1"/>
  <c r="M596" i="98" s="1"/>
  <c r="N628" i="1"/>
  <c r="N595" i="98" s="1"/>
  <c r="N629" i="1"/>
  <c r="N596" i="98" s="1"/>
  <c r="P628" i="1"/>
  <c r="P595" i="98" s="1"/>
  <c r="P629" i="1"/>
  <c r="P596" i="98" s="1"/>
  <c r="A627" i="1"/>
  <c r="A594" i="98" s="1"/>
  <c r="C627" i="1"/>
  <c r="C594" i="98" s="1"/>
  <c r="D627" i="1"/>
  <c r="D594" i="98" s="1"/>
  <c r="K627" i="1"/>
  <c r="K594" i="98" s="1"/>
  <c r="M627" i="1"/>
  <c r="M594" i="98" s="1"/>
  <c r="N627" i="1"/>
  <c r="N594" i="98" s="1"/>
  <c r="P627" i="1"/>
  <c r="P594" i="98" s="1"/>
  <c r="A626" i="1"/>
  <c r="A593" i="98" s="1"/>
  <c r="C626" i="1"/>
  <c r="C593" i="98" s="1"/>
  <c r="D626" i="1"/>
  <c r="D593" i="98" s="1"/>
  <c r="K626" i="1"/>
  <c r="K593" i="98" s="1"/>
  <c r="M626" i="1"/>
  <c r="M593" i="98" s="1"/>
  <c r="N626" i="1"/>
  <c r="N593" i="98" s="1"/>
  <c r="P626" i="1"/>
  <c r="P593" i="98" s="1"/>
  <c r="A625" i="1"/>
  <c r="A592" i="98" s="1"/>
  <c r="C625" i="1"/>
  <c r="C592" i="98" s="1"/>
  <c r="D625" i="1"/>
  <c r="D592" i="98" s="1"/>
  <c r="K625" i="1"/>
  <c r="K592" i="98" s="1"/>
  <c r="M625" i="1"/>
  <c r="M592" i="98" s="1"/>
  <c r="N625" i="1"/>
  <c r="N592" i="98" s="1"/>
  <c r="P625" i="1"/>
  <c r="P592" i="98" s="1"/>
  <c r="A623" i="1"/>
  <c r="A590" i="98" s="1"/>
  <c r="A624" i="1"/>
  <c r="A591" i="98" s="1"/>
  <c r="C623" i="1"/>
  <c r="C590" i="98" s="1"/>
  <c r="C624" i="1"/>
  <c r="C591" i="98" s="1"/>
  <c r="D623" i="1"/>
  <c r="D590" i="98" s="1"/>
  <c r="D624" i="1"/>
  <c r="D591" i="98" s="1"/>
  <c r="K623" i="1"/>
  <c r="K590" i="98" s="1"/>
  <c r="K624" i="1"/>
  <c r="K591" i="98" s="1"/>
  <c r="M623" i="1"/>
  <c r="M590" i="98" s="1"/>
  <c r="M624" i="1"/>
  <c r="M591" i="98" s="1"/>
  <c r="N623" i="1"/>
  <c r="N590" i="98" s="1"/>
  <c r="N624" i="1"/>
  <c r="N591" i="98" s="1"/>
  <c r="P623" i="1"/>
  <c r="P590" i="98" s="1"/>
  <c r="P624" i="1"/>
  <c r="P591" i="98" s="1"/>
  <c r="A639" i="1"/>
  <c r="A606" i="98" s="1"/>
  <c r="C639" i="1"/>
  <c r="C606" i="98" s="1"/>
  <c r="D639" i="1"/>
  <c r="D606" i="98" s="1"/>
  <c r="K639" i="1"/>
  <c r="K606" i="98" s="1"/>
  <c r="M639" i="1"/>
  <c r="M606" i="98" s="1"/>
  <c r="N639" i="1"/>
  <c r="N606" i="98" s="1"/>
  <c r="P639" i="1"/>
  <c r="P606" i="98" s="1"/>
  <c r="A622" i="1"/>
  <c r="A589" i="98" s="1"/>
  <c r="C622" i="1"/>
  <c r="C589" i="98" s="1"/>
  <c r="D622" i="1"/>
  <c r="D589" i="98" s="1"/>
  <c r="K622" i="1"/>
  <c r="K589" i="98" s="1"/>
  <c r="M622" i="1"/>
  <c r="M589" i="98" s="1"/>
  <c r="N622" i="1"/>
  <c r="N589" i="98" s="1"/>
  <c r="P622" i="1"/>
  <c r="P589" i="98" s="1"/>
  <c r="A630" i="1"/>
  <c r="A597" i="98" s="1"/>
  <c r="A631" i="1"/>
  <c r="A598" i="98" s="1"/>
  <c r="A632" i="1"/>
  <c r="A599" i="98" s="1"/>
  <c r="A633" i="1"/>
  <c r="A600" i="98" s="1"/>
  <c r="A634" i="1"/>
  <c r="A601" i="98" s="1"/>
  <c r="A635" i="1"/>
  <c r="A602" i="98" s="1"/>
  <c r="A636" i="1"/>
  <c r="A603" i="98" s="1"/>
  <c r="A637" i="1"/>
  <c r="A604" i="98" s="1"/>
  <c r="C630" i="1"/>
  <c r="C597" i="98" s="1"/>
  <c r="C631" i="1"/>
  <c r="C598" i="98" s="1"/>
  <c r="C632" i="1"/>
  <c r="C599" i="98" s="1"/>
  <c r="C633" i="1"/>
  <c r="C600" i="98" s="1"/>
  <c r="C634" i="1"/>
  <c r="C601" i="98" s="1"/>
  <c r="C635" i="1"/>
  <c r="C602" i="98" s="1"/>
  <c r="C636" i="1"/>
  <c r="C603" i="98" s="1"/>
  <c r="C637" i="1"/>
  <c r="C604" i="98" s="1"/>
  <c r="D630" i="1"/>
  <c r="D597" i="98" s="1"/>
  <c r="D631" i="1"/>
  <c r="D598" i="98" s="1"/>
  <c r="D632" i="1"/>
  <c r="D599" i="98" s="1"/>
  <c r="D633" i="1"/>
  <c r="D600" i="98" s="1"/>
  <c r="D634" i="1"/>
  <c r="D601" i="98" s="1"/>
  <c r="D635" i="1"/>
  <c r="D602" i="98" s="1"/>
  <c r="D636" i="1"/>
  <c r="D603" i="98" s="1"/>
  <c r="D637" i="1"/>
  <c r="D604" i="98" s="1"/>
  <c r="K630" i="1"/>
  <c r="K597" i="98" s="1"/>
  <c r="K631" i="1"/>
  <c r="K598" i="98" s="1"/>
  <c r="K632" i="1"/>
  <c r="K599" i="98" s="1"/>
  <c r="K633" i="1"/>
  <c r="K600" i="98" s="1"/>
  <c r="K634" i="1"/>
  <c r="K601" i="98" s="1"/>
  <c r="K635" i="1"/>
  <c r="K602" i="98" s="1"/>
  <c r="K636" i="1"/>
  <c r="K603" i="98" s="1"/>
  <c r="K637" i="1"/>
  <c r="K604" i="98" s="1"/>
  <c r="M630" i="1"/>
  <c r="M597" i="98" s="1"/>
  <c r="M631" i="1"/>
  <c r="M598" i="98" s="1"/>
  <c r="M632" i="1"/>
  <c r="M599" i="98" s="1"/>
  <c r="M633" i="1"/>
  <c r="M600" i="98" s="1"/>
  <c r="M634" i="1"/>
  <c r="M601" i="98" s="1"/>
  <c r="M635" i="1"/>
  <c r="M602" i="98" s="1"/>
  <c r="M636" i="1"/>
  <c r="M603" i="98" s="1"/>
  <c r="M637" i="1"/>
  <c r="M604" i="98" s="1"/>
  <c r="N630" i="1"/>
  <c r="N597" i="98" s="1"/>
  <c r="N631" i="1"/>
  <c r="N598" i="98" s="1"/>
  <c r="N632" i="1"/>
  <c r="N599" i="98" s="1"/>
  <c r="N633" i="1"/>
  <c r="N600" i="98" s="1"/>
  <c r="N634" i="1"/>
  <c r="N601" i="98" s="1"/>
  <c r="N635" i="1"/>
  <c r="N602" i="98" s="1"/>
  <c r="N636" i="1"/>
  <c r="N603" i="98" s="1"/>
  <c r="N637" i="1"/>
  <c r="N604" i="98" s="1"/>
  <c r="P630" i="1"/>
  <c r="P597" i="98" s="1"/>
  <c r="P631" i="1"/>
  <c r="P598" i="98" s="1"/>
  <c r="P632" i="1"/>
  <c r="P599" i="98" s="1"/>
  <c r="P633" i="1"/>
  <c r="P600" i="98" s="1"/>
  <c r="P634" i="1"/>
  <c r="P601" i="98" s="1"/>
  <c r="P635" i="1"/>
  <c r="P602" i="98" s="1"/>
  <c r="P636" i="1"/>
  <c r="P603" i="98" s="1"/>
  <c r="P637" i="1"/>
  <c r="P604" i="98" s="1"/>
  <c r="A621" i="1"/>
  <c r="A588" i="98" s="1"/>
  <c r="C621" i="1"/>
  <c r="C588" i="98" s="1"/>
  <c r="D621" i="1"/>
  <c r="D588" i="98" s="1"/>
  <c r="K621" i="1"/>
  <c r="K588" i="98" s="1"/>
  <c r="M621" i="1"/>
  <c r="M588" i="98" s="1"/>
  <c r="N621" i="1"/>
  <c r="N588" i="98" s="1"/>
  <c r="P621" i="1"/>
  <c r="P588" i="98" s="1"/>
  <c r="A617" i="1"/>
  <c r="A584" i="98" s="1"/>
  <c r="A618" i="1"/>
  <c r="A585" i="98" s="1"/>
  <c r="A619" i="1"/>
  <c r="A586" i="98" s="1"/>
  <c r="A638" i="1"/>
  <c r="A605" i="98" s="1"/>
  <c r="A620" i="1"/>
  <c r="A587" i="98" s="1"/>
  <c r="C617" i="1"/>
  <c r="C584" i="98" s="1"/>
  <c r="C618" i="1"/>
  <c r="C585" i="98" s="1"/>
  <c r="C619" i="1"/>
  <c r="C586" i="98" s="1"/>
  <c r="C638" i="1"/>
  <c r="C605" i="98" s="1"/>
  <c r="C620" i="1"/>
  <c r="C587" i="98" s="1"/>
  <c r="D617" i="1"/>
  <c r="D584" i="98" s="1"/>
  <c r="D618" i="1"/>
  <c r="D585" i="98" s="1"/>
  <c r="D619" i="1"/>
  <c r="D586" i="98" s="1"/>
  <c r="D638" i="1"/>
  <c r="D605" i="98" s="1"/>
  <c r="D620" i="1"/>
  <c r="D587" i="98" s="1"/>
  <c r="K617" i="1"/>
  <c r="K584" i="98" s="1"/>
  <c r="K618" i="1"/>
  <c r="K585" i="98" s="1"/>
  <c r="K619" i="1"/>
  <c r="K586" i="98" s="1"/>
  <c r="K638" i="1"/>
  <c r="K605" i="98" s="1"/>
  <c r="K620" i="1"/>
  <c r="K587" i="98" s="1"/>
  <c r="M617" i="1"/>
  <c r="M584" i="98" s="1"/>
  <c r="M618" i="1"/>
  <c r="M585" i="98" s="1"/>
  <c r="M619" i="1"/>
  <c r="M586" i="98" s="1"/>
  <c r="M638" i="1"/>
  <c r="M605" i="98" s="1"/>
  <c r="M620" i="1"/>
  <c r="M587" i="98" s="1"/>
  <c r="N617" i="1"/>
  <c r="N584" i="98" s="1"/>
  <c r="N618" i="1"/>
  <c r="N585" i="98" s="1"/>
  <c r="N619" i="1"/>
  <c r="N586" i="98" s="1"/>
  <c r="N638" i="1"/>
  <c r="N605" i="98" s="1"/>
  <c r="N620" i="1"/>
  <c r="N587" i="98" s="1"/>
  <c r="P617" i="1"/>
  <c r="P584" i="98" s="1"/>
  <c r="P618" i="1"/>
  <c r="P585" i="98" s="1"/>
  <c r="P619" i="1"/>
  <c r="P586" i="98" s="1"/>
  <c r="P638" i="1"/>
  <c r="P605" i="98" s="1"/>
  <c r="P620" i="1"/>
  <c r="P587" i="98" s="1"/>
  <c r="A39" i="5"/>
  <c r="A40" i="5"/>
  <c r="A42" i="5"/>
  <c r="C39" i="5"/>
  <c r="E39" i="5" s="1"/>
  <c r="C40" i="5"/>
  <c r="E40" i="5" s="1"/>
  <c r="C42" i="5"/>
  <c r="E42" i="5" s="1"/>
  <c r="D39" i="5"/>
  <c r="D40" i="5"/>
  <c r="D42" i="5"/>
  <c r="A127" i="6"/>
  <c r="C127" i="6"/>
  <c r="E127" i="6" s="1"/>
  <c r="D127" i="6"/>
  <c r="K127" i="6"/>
  <c r="N127" i="6" s="1"/>
  <c r="O127" i="6" s="1"/>
  <c r="P924" i="98" l="1"/>
  <c r="E643" i="1"/>
  <c r="E609" i="98" s="1"/>
  <c r="E667" i="1"/>
  <c r="E633" i="98" s="1"/>
  <c r="E675" i="1"/>
  <c r="E641" i="98" s="1"/>
  <c r="E661" i="1"/>
  <c r="E627" i="98" s="1"/>
  <c r="E684" i="1"/>
  <c r="E650" i="98" s="1"/>
  <c r="E968" i="1"/>
  <c r="E930" i="98" s="1"/>
  <c r="E990" i="1"/>
  <c r="E952" i="98" s="1"/>
  <c r="E973" i="1"/>
  <c r="E935" i="98" s="1"/>
  <c r="E999" i="1"/>
  <c r="E961" i="98" s="1"/>
  <c r="E979" i="1"/>
  <c r="E941" i="98" s="1"/>
  <c r="E1037" i="1"/>
  <c r="E996" i="98" s="1"/>
  <c r="E1019" i="1"/>
  <c r="E978" i="98" s="1"/>
  <c r="E632" i="1"/>
  <c r="E599" i="98" s="1"/>
  <c r="E631" i="1"/>
  <c r="E598" i="98" s="1"/>
  <c r="E620" i="1"/>
  <c r="E587" i="98" s="1"/>
  <c r="E630" i="1"/>
  <c r="E597" i="98" s="1"/>
  <c r="E627" i="1"/>
  <c r="E594" i="98" s="1"/>
  <c r="E650" i="1"/>
  <c r="E616" i="98" s="1"/>
  <c r="E674" i="1"/>
  <c r="E640" i="98" s="1"/>
  <c r="E666" i="1"/>
  <c r="E632" i="98" s="1"/>
  <c r="E659" i="1"/>
  <c r="E625" i="98" s="1"/>
  <c r="E660" i="1"/>
  <c r="E626" i="98" s="1"/>
  <c r="E703" i="1"/>
  <c r="E669" i="98" s="1"/>
  <c r="E967" i="1"/>
  <c r="E929" i="98" s="1"/>
  <c r="E997" i="1"/>
  <c r="E959" i="98" s="1"/>
  <c r="E989" i="1"/>
  <c r="E951" i="98" s="1"/>
  <c r="E998" i="1"/>
  <c r="E960" i="98" s="1"/>
  <c r="E978" i="1"/>
  <c r="E940" i="98" s="1"/>
  <c r="E982" i="1"/>
  <c r="E944" i="98" s="1"/>
  <c r="E984" i="1"/>
  <c r="E946" i="98" s="1"/>
  <c r="E1015" i="1"/>
  <c r="E974" i="98" s="1"/>
  <c r="E1036" i="1"/>
  <c r="E995" i="98" s="1"/>
  <c r="E1025" i="1"/>
  <c r="E984" i="98" s="1"/>
  <c r="E1031" i="1"/>
  <c r="E990" i="98" s="1"/>
  <c r="E617" i="1"/>
  <c r="E584" i="98" s="1"/>
  <c r="E624" i="1"/>
  <c r="E591" i="98" s="1"/>
  <c r="E626" i="1"/>
  <c r="E593" i="98" s="1"/>
  <c r="E649" i="1"/>
  <c r="E615" i="98" s="1"/>
  <c r="E673" i="1"/>
  <c r="E639" i="98" s="1"/>
  <c r="E665" i="1"/>
  <c r="E631" i="98" s="1"/>
  <c r="E653" i="1"/>
  <c r="E619" i="98" s="1"/>
  <c r="E658" i="1"/>
  <c r="E624" i="98" s="1"/>
  <c r="E702" i="1"/>
  <c r="E668" i="98" s="1"/>
  <c r="E966" i="1"/>
  <c r="E928" i="98" s="1"/>
  <c r="E996" i="1"/>
  <c r="E958" i="98" s="1"/>
  <c r="E988" i="1"/>
  <c r="E950" i="98" s="1"/>
  <c r="E981" i="1"/>
  <c r="E943" i="98" s="1"/>
  <c r="E983" i="1"/>
  <c r="E945" i="98" s="1"/>
  <c r="E1014" i="1"/>
  <c r="E973" i="98" s="1"/>
  <c r="E1035" i="1"/>
  <c r="E994" i="98" s="1"/>
  <c r="E1023" i="1"/>
  <c r="E982" i="98" s="1"/>
  <c r="E1030" i="1"/>
  <c r="E989" i="98" s="1"/>
  <c r="E1032" i="1"/>
  <c r="E991" i="98" s="1"/>
  <c r="E1092" i="1"/>
  <c r="E1048" i="98" s="1"/>
  <c r="E621" i="1"/>
  <c r="E588" i="98" s="1"/>
  <c r="E637" i="1"/>
  <c r="E604" i="98" s="1"/>
  <c r="E619" i="1"/>
  <c r="E586" i="98" s="1"/>
  <c r="E636" i="1"/>
  <c r="E603" i="98" s="1"/>
  <c r="E623" i="1"/>
  <c r="E590" i="98" s="1"/>
  <c r="E625" i="1"/>
  <c r="E592" i="98" s="1"/>
  <c r="E648" i="1"/>
  <c r="E614" i="98" s="1"/>
  <c r="E672" i="1"/>
  <c r="E638" i="98" s="1"/>
  <c r="E657" i="1"/>
  <c r="E623" i="98" s="1"/>
  <c r="E701" i="1"/>
  <c r="E667" i="98" s="1"/>
  <c r="E705" i="1"/>
  <c r="E671" i="98" s="1"/>
  <c r="E689" i="1"/>
  <c r="E655" i="98" s="1"/>
  <c r="E691" i="1"/>
  <c r="E657" i="98" s="1"/>
  <c r="E965" i="1"/>
  <c r="E927" i="98" s="1"/>
  <c r="E995" i="1"/>
  <c r="E957" i="98" s="1"/>
  <c r="E987" i="1"/>
  <c r="E949" i="98" s="1"/>
  <c r="E980" i="1"/>
  <c r="E942" i="98" s="1"/>
  <c r="E1034" i="1"/>
  <c r="E993" i="98" s="1"/>
  <c r="E1029" i="1"/>
  <c r="E988" i="98" s="1"/>
  <c r="E1091" i="1"/>
  <c r="E1047" i="98" s="1"/>
  <c r="E638" i="1"/>
  <c r="E605" i="98" s="1"/>
  <c r="E618" i="1"/>
  <c r="E585" i="98" s="1"/>
  <c r="E635" i="1"/>
  <c r="E602" i="98" s="1"/>
  <c r="E647" i="1"/>
  <c r="E613" i="98" s="1"/>
  <c r="E671" i="1"/>
  <c r="E637" i="98" s="1"/>
  <c r="E656" i="1"/>
  <c r="E622" i="98" s="1"/>
  <c r="E663" i="1"/>
  <c r="E629" i="98" s="1"/>
  <c r="E683" i="1"/>
  <c r="E649" i="98" s="1"/>
  <c r="E700" i="1"/>
  <c r="E666" i="98" s="1"/>
  <c r="E704" i="1"/>
  <c r="E670" i="98" s="1"/>
  <c r="E688" i="1"/>
  <c r="E654" i="98" s="1"/>
  <c r="E690" i="1"/>
  <c r="E656" i="98" s="1"/>
  <c r="E694" i="1"/>
  <c r="E660" i="98" s="1"/>
  <c r="E696" i="1"/>
  <c r="E662" i="98" s="1"/>
  <c r="E964" i="1"/>
  <c r="E926" i="98" s="1"/>
  <c r="E994" i="1"/>
  <c r="E956" i="98" s="1"/>
  <c r="E986" i="1"/>
  <c r="E948" i="98" s="1"/>
  <c r="E977" i="1"/>
  <c r="E939" i="98" s="1"/>
  <c r="E1033" i="1"/>
  <c r="E992" i="98" s="1"/>
  <c r="E1028" i="1"/>
  <c r="E987" i="98" s="1"/>
  <c r="E1090" i="1"/>
  <c r="E1046" i="98" s="1"/>
  <c r="E646" i="1"/>
  <c r="E612" i="98" s="1"/>
  <c r="E652" i="1"/>
  <c r="E618" i="98" s="1"/>
  <c r="E670" i="1"/>
  <c r="E636" i="98" s="1"/>
  <c r="E655" i="1"/>
  <c r="E621" i="98" s="1"/>
  <c r="E662" i="1"/>
  <c r="E628" i="98" s="1"/>
  <c r="E664" i="1"/>
  <c r="E630" i="98" s="1"/>
  <c r="E699" i="1"/>
  <c r="E665" i="98" s="1"/>
  <c r="E687" i="1"/>
  <c r="E653" i="98" s="1"/>
  <c r="E693" i="1"/>
  <c r="E659" i="98" s="1"/>
  <c r="E695" i="1"/>
  <c r="E661" i="98" s="1"/>
  <c r="E971" i="1"/>
  <c r="E933" i="98" s="1"/>
  <c r="E963" i="1"/>
  <c r="E925" i="98" s="1"/>
  <c r="E993" i="1"/>
  <c r="E955" i="98" s="1"/>
  <c r="E985" i="1"/>
  <c r="E947" i="98" s="1"/>
  <c r="E976" i="1"/>
  <c r="E938" i="98" s="1"/>
  <c r="E1022" i="1"/>
  <c r="E981" i="98" s="1"/>
  <c r="E1027" i="1"/>
  <c r="E986" i="98" s="1"/>
  <c r="E1089" i="1"/>
  <c r="E1045" i="98" s="1"/>
  <c r="E634" i="1"/>
  <c r="E601" i="98" s="1"/>
  <c r="E629" i="1"/>
  <c r="E596" i="98" s="1"/>
  <c r="E633" i="1"/>
  <c r="E600" i="98" s="1"/>
  <c r="E639" i="1"/>
  <c r="E606" i="98" s="1"/>
  <c r="E628" i="1"/>
  <c r="E595" i="98" s="1"/>
  <c r="E645" i="1"/>
  <c r="E611" i="98" s="1"/>
  <c r="E651" i="1"/>
  <c r="E617" i="98" s="1"/>
  <c r="E669" i="1"/>
  <c r="E635" i="98" s="1"/>
  <c r="E654" i="1"/>
  <c r="E620" i="98" s="1"/>
  <c r="E698" i="1"/>
  <c r="E664" i="98" s="1"/>
  <c r="E686" i="1"/>
  <c r="E652" i="98" s="1"/>
  <c r="E692" i="1"/>
  <c r="E658" i="98" s="1"/>
  <c r="E970" i="1"/>
  <c r="E932" i="98" s="1"/>
  <c r="E962" i="1"/>
  <c r="E924" i="98" s="1"/>
  <c r="E972" i="1"/>
  <c r="E934" i="98" s="1"/>
  <c r="E992" i="1"/>
  <c r="E954" i="98" s="1"/>
  <c r="E975" i="1"/>
  <c r="E937" i="98" s="1"/>
  <c r="E1039" i="1"/>
  <c r="E998" i="98" s="1"/>
  <c r="E1018" i="1"/>
  <c r="E977" i="98" s="1"/>
  <c r="E1021" i="1"/>
  <c r="E980" i="98" s="1"/>
  <c r="E1026" i="1"/>
  <c r="E985" i="98" s="1"/>
  <c r="E622" i="1"/>
  <c r="E589" i="98" s="1"/>
  <c r="E644" i="1"/>
  <c r="E610" i="98" s="1"/>
  <c r="E668" i="1"/>
  <c r="E634" i="98" s="1"/>
  <c r="E676" i="1"/>
  <c r="E642" i="98" s="1"/>
  <c r="E697" i="1"/>
  <c r="E663" i="98" s="1"/>
  <c r="E685" i="1"/>
  <c r="E651" i="98" s="1"/>
  <c r="E969" i="1"/>
  <c r="E931" i="98" s="1"/>
  <c r="E991" i="1"/>
  <c r="E953" i="98" s="1"/>
  <c r="E974" i="1"/>
  <c r="E936" i="98" s="1"/>
  <c r="E1038" i="1"/>
  <c r="E997" i="98" s="1"/>
  <c r="E1017" i="1"/>
  <c r="E976" i="98" s="1"/>
  <c r="E1040" i="1"/>
  <c r="E999" i="98" s="1"/>
  <c r="E1020" i="1"/>
  <c r="E979" i="98" s="1"/>
  <c r="O128" i="6"/>
  <c r="O234" i="6"/>
  <c r="K116" i="6"/>
  <c r="N116" i="6" s="1"/>
  <c r="O116" i="6" s="1"/>
  <c r="K117" i="6"/>
  <c r="N117" i="6" s="1"/>
  <c r="O117" i="6" s="1"/>
  <c r="K118" i="6"/>
  <c r="N118" i="6" s="1"/>
  <c r="O118" i="6" s="1"/>
  <c r="K119" i="6"/>
  <c r="N119" i="6" s="1"/>
  <c r="O119" i="6" s="1"/>
  <c r="K120" i="6"/>
  <c r="N120" i="6" s="1"/>
  <c r="O120" i="6" s="1"/>
  <c r="K121" i="6"/>
  <c r="N121" i="6" s="1"/>
  <c r="O121" i="6" s="1"/>
  <c r="K122" i="6"/>
  <c r="N122" i="6" s="1"/>
  <c r="O122" i="6" s="1"/>
  <c r="K123" i="6"/>
  <c r="N123" i="6" s="1"/>
  <c r="O123" i="6" s="1"/>
  <c r="K124" i="6"/>
  <c r="N124" i="6" s="1"/>
  <c r="O124" i="6" s="1"/>
  <c r="K125" i="6"/>
  <c r="N125" i="6" s="1"/>
  <c r="O125" i="6" s="1"/>
  <c r="K126" i="6"/>
  <c r="N126" i="6" s="1"/>
  <c r="O126" i="6" s="1"/>
  <c r="A116" i="6"/>
  <c r="A117" i="6"/>
  <c r="A118" i="6"/>
  <c r="A119" i="6"/>
  <c r="A120" i="6"/>
  <c r="A121" i="6"/>
  <c r="A122" i="6"/>
  <c r="A123" i="6"/>
  <c r="A124" i="6"/>
  <c r="A125" i="6"/>
  <c r="A126" i="6"/>
  <c r="C116" i="6"/>
  <c r="E116" i="6" s="1"/>
  <c r="C117" i="6"/>
  <c r="E117" i="6" s="1"/>
  <c r="C118" i="6"/>
  <c r="E118" i="6" s="1"/>
  <c r="C119" i="6"/>
  <c r="E119" i="6" s="1"/>
  <c r="C120" i="6"/>
  <c r="E120" i="6" s="1"/>
  <c r="C121" i="6"/>
  <c r="E121" i="6" s="1"/>
  <c r="C122" i="6"/>
  <c r="E122" i="6" s="1"/>
  <c r="C123" i="6"/>
  <c r="E123" i="6" s="1"/>
  <c r="C124" i="6"/>
  <c r="E124" i="6" s="1"/>
  <c r="C125" i="6"/>
  <c r="E125" i="6" s="1"/>
  <c r="C126" i="6"/>
  <c r="E126" i="6" s="1"/>
  <c r="D116" i="6"/>
  <c r="D117" i="6"/>
  <c r="D118" i="6"/>
  <c r="D119" i="6"/>
  <c r="D120" i="6"/>
  <c r="D121" i="6"/>
  <c r="D122" i="6"/>
  <c r="D123" i="6"/>
  <c r="D124" i="6"/>
  <c r="D125" i="6"/>
  <c r="D126" i="6"/>
  <c r="A599" i="1"/>
  <c r="A566" i="98" s="1"/>
  <c r="A600" i="1"/>
  <c r="A567" i="98" s="1"/>
  <c r="C599" i="1"/>
  <c r="C566" i="98" s="1"/>
  <c r="C600" i="1"/>
  <c r="C567" i="98" s="1"/>
  <c r="D599" i="1"/>
  <c r="D566" i="98" s="1"/>
  <c r="D600" i="1"/>
  <c r="D567" i="98" s="1"/>
  <c r="K599" i="1"/>
  <c r="K566" i="98" s="1"/>
  <c r="K600" i="1"/>
  <c r="K567" i="98" s="1"/>
  <c r="M599" i="1"/>
  <c r="M566" i="98" s="1"/>
  <c r="M600" i="1"/>
  <c r="M567" i="98" s="1"/>
  <c r="N599" i="1"/>
  <c r="N566" i="98" s="1"/>
  <c r="N600" i="1"/>
  <c r="N567" i="98" s="1"/>
  <c r="P599" i="1"/>
  <c r="P566" i="98" s="1"/>
  <c r="P600" i="1"/>
  <c r="P567" i="98" s="1"/>
  <c r="A597" i="1"/>
  <c r="A564" i="98" s="1"/>
  <c r="A598" i="1"/>
  <c r="A565" i="98" s="1"/>
  <c r="C597" i="1"/>
  <c r="C564" i="98" s="1"/>
  <c r="C598" i="1"/>
  <c r="C565" i="98" s="1"/>
  <c r="D597" i="1"/>
  <c r="D564" i="98" s="1"/>
  <c r="D598" i="1"/>
  <c r="D565" i="98" s="1"/>
  <c r="K597" i="1"/>
  <c r="K564" i="98" s="1"/>
  <c r="K598" i="1"/>
  <c r="K565" i="98" s="1"/>
  <c r="M597" i="1"/>
  <c r="M564" i="98" s="1"/>
  <c r="M598" i="1"/>
  <c r="M565" i="98" s="1"/>
  <c r="N597" i="1"/>
  <c r="N564" i="98" s="1"/>
  <c r="N598" i="1"/>
  <c r="N565" i="98" s="1"/>
  <c r="P597" i="1"/>
  <c r="P564" i="98" s="1"/>
  <c r="P598" i="1"/>
  <c r="P565" i="98" s="1"/>
  <c r="A595" i="1"/>
  <c r="A562" i="98" s="1"/>
  <c r="A596" i="1"/>
  <c r="A563" i="98" s="1"/>
  <c r="C595" i="1"/>
  <c r="C562" i="98" s="1"/>
  <c r="C596" i="1"/>
  <c r="C563" i="98" s="1"/>
  <c r="D595" i="1"/>
  <c r="D562" i="98" s="1"/>
  <c r="D596" i="1"/>
  <c r="D563" i="98" s="1"/>
  <c r="K595" i="1"/>
  <c r="K562" i="98" s="1"/>
  <c r="K596" i="1"/>
  <c r="K563" i="98" s="1"/>
  <c r="M595" i="1"/>
  <c r="M562" i="98" s="1"/>
  <c r="M596" i="1"/>
  <c r="M563" i="98" s="1"/>
  <c r="N595" i="1"/>
  <c r="N562" i="98" s="1"/>
  <c r="N596" i="1"/>
  <c r="N563" i="98" s="1"/>
  <c r="P595" i="1"/>
  <c r="P562" i="98" s="1"/>
  <c r="P596" i="1"/>
  <c r="P563" i="98" s="1"/>
  <c r="A593" i="1"/>
  <c r="A560" i="98" s="1"/>
  <c r="A594" i="1"/>
  <c r="A561" i="98" s="1"/>
  <c r="C593" i="1"/>
  <c r="C560" i="98" s="1"/>
  <c r="C594" i="1"/>
  <c r="C561" i="98" s="1"/>
  <c r="D593" i="1"/>
  <c r="D560" i="98" s="1"/>
  <c r="D594" i="1"/>
  <c r="D561" i="98" s="1"/>
  <c r="K593" i="1"/>
  <c r="K560" i="98" s="1"/>
  <c r="K594" i="1"/>
  <c r="K561" i="98" s="1"/>
  <c r="M593" i="1"/>
  <c r="M560" i="98" s="1"/>
  <c r="M594" i="1"/>
  <c r="M561" i="98" s="1"/>
  <c r="N593" i="1"/>
  <c r="N560" i="98" s="1"/>
  <c r="N594" i="1"/>
  <c r="N561" i="98" s="1"/>
  <c r="P593" i="1"/>
  <c r="P560" i="98" s="1"/>
  <c r="P594" i="1"/>
  <c r="P561" i="98" s="1"/>
  <c r="A592" i="1"/>
  <c r="A559" i="98" s="1"/>
  <c r="C592" i="1"/>
  <c r="C559" i="98" s="1"/>
  <c r="D592" i="1"/>
  <c r="D559" i="98" s="1"/>
  <c r="K592" i="1"/>
  <c r="K559" i="98" s="1"/>
  <c r="M592" i="1"/>
  <c r="M559" i="98" s="1"/>
  <c r="N592" i="1"/>
  <c r="N559" i="98" s="1"/>
  <c r="P592" i="1"/>
  <c r="P559" i="98" s="1"/>
  <c r="A590" i="1"/>
  <c r="A557" i="98" s="1"/>
  <c r="A591" i="1"/>
  <c r="A558" i="98" s="1"/>
  <c r="C590" i="1"/>
  <c r="C557" i="98" s="1"/>
  <c r="C591" i="1"/>
  <c r="C558" i="98" s="1"/>
  <c r="D590" i="1"/>
  <c r="D557" i="98" s="1"/>
  <c r="D591" i="1"/>
  <c r="D558" i="98" s="1"/>
  <c r="K590" i="1"/>
  <c r="K557" i="98" s="1"/>
  <c r="K591" i="1"/>
  <c r="K558" i="98" s="1"/>
  <c r="M590" i="1"/>
  <c r="M557" i="98" s="1"/>
  <c r="M591" i="1"/>
  <c r="M558" i="98" s="1"/>
  <c r="N590" i="1"/>
  <c r="N557" i="98" s="1"/>
  <c r="N591" i="1"/>
  <c r="N558" i="98" s="1"/>
  <c r="P590" i="1"/>
  <c r="P557" i="98" s="1"/>
  <c r="P591" i="1"/>
  <c r="P558" i="98" s="1"/>
  <c r="A612" i="1"/>
  <c r="A579" i="98" s="1"/>
  <c r="A613" i="1"/>
  <c r="A580" i="98" s="1"/>
  <c r="A614" i="1"/>
  <c r="A581" i="98" s="1"/>
  <c r="C612" i="1"/>
  <c r="C579" i="98" s="1"/>
  <c r="C613" i="1"/>
  <c r="C580" i="98" s="1"/>
  <c r="C614" i="1"/>
  <c r="C581" i="98" s="1"/>
  <c r="D612" i="1"/>
  <c r="D579" i="98" s="1"/>
  <c r="D613" i="1"/>
  <c r="D580" i="98" s="1"/>
  <c r="D614" i="1"/>
  <c r="D581" i="98" s="1"/>
  <c r="K612" i="1"/>
  <c r="K579" i="98" s="1"/>
  <c r="K613" i="1"/>
  <c r="K580" i="98" s="1"/>
  <c r="K614" i="1"/>
  <c r="K581" i="98" s="1"/>
  <c r="M612" i="1"/>
  <c r="M579" i="98" s="1"/>
  <c r="M613" i="1"/>
  <c r="M580" i="98" s="1"/>
  <c r="M614" i="1"/>
  <c r="M581" i="98" s="1"/>
  <c r="N612" i="1"/>
  <c r="N579" i="98" s="1"/>
  <c r="N613" i="1"/>
  <c r="N580" i="98" s="1"/>
  <c r="N614" i="1"/>
  <c r="N581" i="98" s="1"/>
  <c r="P612" i="1"/>
  <c r="P579" i="98" s="1"/>
  <c r="P613" i="1"/>
  <c r="P580" i="98" s="1"/>
  <c r="P614" i="1"/>
  <c r="P581" i="98" s="1"/>
  <c r="A589" i="1"/>
  <c r="A556" i="98" s="1"/>
  <c r="C589" i="1"/>
  <c r="C556" i="98" s="1"/>
  <c r="D589" i="1"/>
  <c r="D556" i="98" s="1"/>
  <c r="K589" i="1"/>
  <c r="K556" i="98" s="1"/>
  <c r="M589" i="1"/>
  <c r="M556" i="98" s="1"/>
  <c r="N589" i="1"/>
  <c r="N556" i="98" s="1"/>
  <c r="P589" i="1"/>
  <c r="P556" i="98" s="1"/>
  <c r="A601" i="1"/>
  <c r="A568" i="98" s="1"/>
  <c r="A602" i="1"/>
  <c r="A569" i="98" s="1"/>
  <c r="A603" i="1"/>
  <c r="A570" i="98" s="1"/>
  <c r="A604" i="1"/>
  <c r="A571" i="98" s="1"/>
  <c r="A605" i="1"/>
  <c r="A572" i="98" s="1"/>
  <c r="A606" i="1"/>
  <c r="A573" i="98" s="1"/>
  <c r="A607" i="1"/>
  <c r="A574" i="98" s="1"/>
  <c r="A608" i="1"/>
  <c r="A575" i="98" s="1"/>
  <c r="A609" i="1"/>
  <c r="A576" i="98" s="1"/>
  <c r="A610" i="1"/>
  <c r="A577" i="98" s="1"/>
  <c r="A611" i="1"/>
  <c r="A578" i="98" s="1"/>
  <c r="C601" i="1"/>
  <c r="C568" i="98" s="1"/>
  <c r="C602" i="1"/>
  <c r="C569" i="98" s="1"/>
  <c r="C603" i="1"/>
  <c r="C570" i="98" s="1"/>
  <c r="C604" i="1"/>
  <c r="C571" i="98" s="1"/>
  <c r="C605" i="1"/>
  <c r="C572" i="98" s="1"/>
  <c r="C606" i="1"/>
  <c r="C573" i="98" s="1"/>
  <c r="C607" i="1"/>
  <c r="C574" i="98" s="1"/>
  <c r="C608" i="1"/>
  <c r="C575" i="98" s="1"/>
  <c r="C609" i="1"/>
  <c r="C576" i="98" s="1"/>
  <c r="C610" i="1"/>
  <c r="C577" i="98" s="1"/>
  <c r="C611" i="1"/>
  <c r="C578" i="98" s="1"/>
  <c r="D601" i="1"/>
  <c r="D568" i="98" s="1"/>
  <c r="D602" i="1"/>
  <c r="D569" i="98" s="1"/>
  <c r="D603" i="1"/>
  <c r="D570" i="98" s="1"/>
  <c r="D604" i="1"/>
  <c r="D571" i="98" s="1"/>
  <c r="D605" i="1"/>
  <c r="D572" i="98" s="1"/>
  <c r="D606" i="1"/>
  <c r="D573" i="98" s="1"/>
  <c r="D607" i="1"/>
  <c r="D574" i="98" s="1"/>
  <c r="D608" i="1"/>
  <c r="D575" i="98" s="1"/>
  <c r="D609" i="1"/>
  <c r="D576" i="98" s="1"/>
  <c r="D610" i="1"/>
  <c r="D577" i="98" s="1"/>
  <c r="D611" i="1"/>
  <c r="D578" i="98" s="1"/>
  <c r="K601" i="1"/>
  <c r="K568" i="98" s="1"/>
  <c r="K602" i="1"/>
  <c r="K569" i="98" s="1"/>
  <c r="K603" i="1"/>
  <c r="K570" i="98" s="1"/>
  <c r="K604" i="1"/>
  <c r="K571" i="98" s="1"/>
  <c r="K605" i="1"/>
  <c r="K572" i="98" s="1"/>
  <c r="K606" i="1"/>
  <c r="K573" i="98" s="1"/>
  <c r="K607" i="1"/>
  <c r="K574" i="98" s="1"/>
  <c r="K608" i="1"/>
  <c r="K575" i="98" s="1"/>
  <c r="K609" i="1"/>
  <c r="K576" i="98" s="1"/>
  <c r="K610" i="1"/>
  <c r="K577" i="98" s="1"/>
  <c r="K611" i="1"/>
  <c r="K578" i="98" s="1"/>
  <c r="M601" i="1"/>
  <c r="M568" i="98" s="1"/>
  <c r="M602" i="1"/>
  <c r="M569" i="98" s="1"/>
  <c r="M603" i="1"/>
  <c r="M570" i="98" s="1"/>
  <c r="M604" i="1"/>
  <c r="M571" i="98" s="1"/>
  <c r="M605" i="1"/>
  <c r="M572" i="98" s="1"/>
  <c r="M606" i="1"/>
  <c r="M573" i="98" s="1"/>
  <c r="M607" i="1"/>
  <c r="M574" i="98" s="1"/>
  <c r="M608" i="1"/>
  <c r="M575" i="98" s="1"/>
  <c r="M609" i="1"/>
  <c r="M576" i="98" s="1"/>
  <c r="M610" i="1"/>
  <c r="M577" i="98" s="1"/>
  <c r="M611" i="1"/>
  <c r="M578" i="98" s="1"/>
  <c r="N601" i="1"/>
  <c r="N568" i="98" s="1"/>
  <c r="N602" i="1"/>
  <c r="N569" i="98" s="1"/>
  <c r="N603" i="1"/>
  <c r="N570" i="98" s="1"/>
  <c r="N604" i="1"/>
  <c r="N571" i="98" s="1"/>
  <c r="N605" i="1"/>
  <c r="N572" i="98" s="1"/>
  <c r="N606" i="1"/>
  <c r="N573" i="98" s="1"/>
  <c r="N607" i="1"/>
  <c r="N574" i="98" s="1"/>
  <c r="N608" i="1"/>
  <c r="N575" i="98" s="1"/>
  <c r="N609" i="1"/>
  <c r="N576" i="98" s="1"/>
  <c r="N610" i="1"/>
  <c r="N577" i="98" s="1"/>
  <c r="N611" i="1"/>
  <c r="N578" i="98" s="1"/>
  <c r="P601" i="1"/>
  <c r="P568" i="98" s="1"/>
  <c r="P602" i="1"/>
  <c r="P569" i="98" s="1"/>
  <c r="P603" i="1"/>
  <c r="P570" i="98" s="1"/>
  <c r="P604" i="1"/>
  <c r="P571" i="98" s="1"/>
  <c r="P605" i="1"/>
  <c r="P572" i="98" s="1"/>
  <c r="P606" i="1"/>
  <c r="P573" i="98" s="1"/>
  <c r="P607" i="1"/>
  <c r="P574" i="98" s="1"/>
  <c r="P608" i="1"/>
  <c r="P575" i="98" s="1"/>
  <c r="P609" i="1"/>
  <c r="P576" i="98" s="1"/>
  <c r="P610" i="1"/>
  <c r="P577" i="98" s="1"/>
  <c r="P611" i="1"/>
  <c r="P578" i="98" s="1"/>
  <c r="A585" i="1"/>
  <c r="A552" i="98" s="1"/>
  <c r="A586" i="1"/>
  <c r="A553" i="98" s="1"/>
  <c r="A587" i="1"/>
  <c r="A554" i="98" s="1"/>
  <c r="A588" i="1"/>
  <c r="A555" i="98" s="1"/>
  <c r="C585" i="1"/>
  <c r="C552" i="98" s="1"/>
  <c r="C586" i="1"/>
  <c r="C553" i="98" s="1"/>
  <c r="C587" i="1"/>
  <c r="C554" i="98" s="1"/>
  <c r="C588" i="1"/>
  <c r="C555" i="98" s="1"/>
  <c r="D585" i="1"/>
  <c r="D552" i="98" s="1"/>
  <c r="D586" i="1"/>
  <c r="D553" i="98" s="1"/>
  <c r="D587" i="1"/>
  <c r="D554" i="98" s="1"/>
  <c r="D588" i="1"/>
  <c r="D555" i="98" s="1"/>
  <c r="K585" i="1"/>
  <c r="K552" i="98" s="1"/>
  <c r="K586" i="1"/>
  <c r="K553" i="98" s="1"/>
  <c r="K587" i="1"/>
  <c r="K554" i="98" s="1"/>
  <c r="K588" i="1"/>
  <c r="K555" i="98" s="1"/>
  <c r="M585" i="1"/>
  <c r="M552" i="98" s="1"/>
  <c r="M586" i="1"/>
  <c r="M553" i="98" s="1"/>
  <c r="M587" i="1"/>
  <c r="M554" i="98" s="1"/>
  <c r="M588" i="1"/>
  <c r="M555" i="98" s="1"/>
  <c r="N585" i="1"/>
  <c r="N552" i="98" s="1"/>
  <c r="N586" i="1"/>
  <c r="N553" i="98" s="1"/>
  <c r="N587" i="1"/>
  <c r="N554" i="98" s="1"/>
  <c r="N588" i="1"/>
  <c r="N555" i="98" s="1"/>
  <c r="P585" i="1"/>
  <c r="P552" i="98" s="1"/>
  <c r="P586" i="1"/>
  <c r="P553" i="98" s="1"/>
  <c r="P587" i="1"/>
  <c r="P554" i="98" s="1"/>
  <c r="P588" i="1"/>
  <c r="P555" i="98" s="1"/>
  <c r="A582" i="1"/>
  <c r="A549" i="98" s="1"/>
  <c r="A583" i="1"/>
  <c r="A550" i="98" s="1"/>
  <c r="A584" i="1"/>
  <c r="A551" i="98" s="1"/>
  <c r="C582" i="1"/>
  <c r="C549" i="98" s="1"/>
  <c r="C583" i="1"/>
  <c r="C550" i="98" s="1"/>
  <c r="C584" i="1"/>
  <c r="C551" i="98" s="1"/>
  <c r="D582" i="1"/>
  <c r="D549" i="98" s="1"/>
  <c r="D583" i="1"/>
  <c r="D550" i="98" s="1"/>
  <c r="D584" i="1"/>
  <c r="D551" i="98" s="1"/>
  <c r="K582" i="1"/>
  <c r="K549" i="98" s="1"/>
  <c r="K583" i="1"/>
  <c r="K550" i="98" s="1"/>
  <c r="K584" i="1"/>
  <c r="K551" i="98" s="1"/>
  <c r="M582" i="1"/>
  <c r="M549" i="98" s="1"/>
  <c r="M583" i="1"/>
  <c r="M550" i="98" s="1"/>
  <c r="M584" i="1"/>
  <c r="M551" i="98" s="1"/>
  <c r="N582" i="1"/>
  <c r="N549" i="98" s="1"/>
  <c r="N583" i="1"/>
  <c r="N550" i="98" s="1"/>
  <c r="N584" i="1"/>
  <c r="N551" i="98" s="1"/>
  <c r="P582" i="1"/>
  <c r="P549" i="98" s="1"/>
  <c r="P583" i="1"/>
  <c r="P550" i="98" s="1"/>
  <c r="P584" i="1"/>
  <c r="P551" i="98" s="1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C103" i="6"/>
  <c r="E103" i="6" s="1"/>
  <c r="C104" i="6"/>
  <c r="E104" i="6" s="1"/>
  <c r="C105" i="6"/>
  <c r="E105" i="6" s="1"/>
  <c r="C106" i="6"/>
  <c r="E106" i="6" s="1"/>
  <c r="C107" i="6"/>
  <c r="E107" i="6" s="1"/>
  <c r="C108" i="6"/>
  <c r="E108" i="6" s="1"/>
  <c r="C109" i="6"/>
  <c r="E109" i="6" s="1"/>
  <c r="C110" i="6"/>
  <c r="E110" i="6" s="1"/>
  <c r="C111" i="6"/>
  <c r="E111" i="6" s="1"/>
  <c r="C112" i="6"/>
  <c r="E112" i="6" s="1"/>
  <c r="C113" i="6"/>
  <c r="E113" i="6" s="1"/>
  <c r="C114" i="6"/>
  <c r="E114" i="6" s="1"/>
  <c r="C115" i="6"/>
  <c r="E115" i="6" s="1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K103" i="6"/>
  <c r="N103" i="6" s="1"/>
  <c r="O103" i="6" s="1"/>
  <c r="K104" i="6"/>
  <c r="N104" i="6" s="1"/>
  <c r="O104" i="6" s="1"/>
  <c r="K105" i="6"/>
  <c r="N105" i="6" s="1"/>
  <c r="O105" i="6" s="1"/>
  <c r="K106" i="6"/>
  <c r="N106" i="6" s="1"/>
  <c r="O106" i="6" s="1"/>
  <c r="K107" i="6"/>
  <c r="N107" i="6" s="1"/>
  <c r="O107" i="6" s="1"/>
  <c r="K108" i="6"/>
  <c r="N108" i="6" s="1"/>
  <c r="O108" i="6" s="1"/>
  <c r="K109" i="6"/>
  <c r="N109" i="6" s="1"/>
  <c r="O109" i="6" s="1"/>
  <c r="K110" i="6"/>
  <c r="N110" i="6" s="1"/>
  <c r="O110" i="6" s="1"/>
  <c r="K111" i="6"/>
  <c r="N111" i="6" s="1"/>
  <c r="O111" i="6" s="1"/>
  <c r="K112" i="6"/>
  <c r="N112" i="6" s="1"/>
  <c r="O112" i="6" s="1"/>
  <c r="K113" i="6"/>
  <c r="N113" i="6" s="1"/>
  <c r="O113" i="6" s="1"/>
  <c r="K114" i="6"/>
  <c r="N114" i="6" s="1"/>
  <c r="O114" i="6" s="1"/>
  <c r="K115" i="6"/>
  <c r="N115" i="6" s="1"/>
  <c r="O115" i="6" s="1"/>
  <c r="A34" i="5"/>
  <c r="A35" i="5"/>
  <c r="A38" i="5"/>
  <c r="C34" i="5"/>
  <c r="E34" i="5" s="1"/>
  <c r="C35" i="5"/>
  <c r="E35" i="5" s="1"/>
  <c r="C38" i="5"/>
  <c r="E38" i="5" s="1"/>
  <c r="D34" i="5"/>
  <c r="D35" i="5"/>
  <c r="D38" i="5"/>
  <c r="A539" i="1"/>
  <c r="A507" i="98" s="1"/>
  <c r="A540" i="1"/>
  <c r="A508" i="98" s="1"/>
  <c r="A541" i="1"/>
  <c r="A509" i="98" s="1"/>
  <c r="A542" i="1"/>
  <c r="A510" i="98" s="1"/>
  <c r="A543" i="1"/>
  <c r="A511" i="98" s="1"/>
  <c r="A544" i="1"/>
  <c r="A512" i="98" s="1"/>
  <c r="A545" i="1"/>
  <c r="A513" i="98" s="1"/>
  <c r="A546" i="1"/>
  <c r="A514" i="98" s="1"/>
  <c r="A547" i="1"/>
  <c r="A515" i="98" s="1"/>
  <c r="A548" i="1"/>
  <c r="A516" i="98" s="1"/>
  <c r="A549" i="1"/>
  <c r="A517" i="98" s="1"/>
  <c r="A550" i="1"/>
  <c r="A518" i="98" s="1"/>
  <c r="C539" i="1"/>
  <c r="C507" i="98" s="1"/>
  <c r="C540" i="1"/>
  <c r="C508" i="98" s="1"/>
  <c r="C541" i="1"/>
  <c r="C509" i="98" s="1"/>
  <c r="C542" i="1"/>
  <c r="C510" i="98" s="1"/>
  <c r="C543" i="1"/>
  <c r="C511" i="98" s="1"/>
  <c r="C544" i="1"/>
  <c r="C512" i="98" s="1"/>
  <c r="C545" i="1"/>
  <c r="C513" i="98" s="1"/>
  <c r="C546" i="1"/>
  <c r="C514" i="98" s="1"/>
  <c r="C547" i="1"/>
  <c r="C515" i="98" s="1"/>
  <c r="C548" i="1"/>
  <c r="C516" i="98" s="1"/>
  <c r="C549" i="1"/>
  <c r="C517" i="98" s="1"/>
  <c r="C550" i="1"/>
  <c r="C518" i="98" s="1"/>
  <c r="D539" i="1"/>
  <c r="D507" i="98" s="1"/>
  <c r="D540" i="1"/>
  <c r="D508" i="98" s="1"/>
  <c r="D541" i="1"/>
  <c r="D509" i="98" s="1"/>
  <c r="D542" i="1"/>
  <c r="D510" i="98" s="1"/>
  <c r="D543" i="1"/>
  <c r="D511" i="98" s="1"/>
  <c r="D544" i="1"/>
  <c r="D512" i="98" s="1"/>
  <c r="D545" i="1"/>
  <c r="D513" i="98" s="1"/>
  <c r="D546" i="1"/>
  <c r="D514" i="98" s="1"/>
  <c r="D547" i="1"/>
  <c r="D515" i="98" s="1"/>
  <c r="D548" i="1"/>
  <c r="D516" i="98" s="1"/>
  <c r="D549" i="1"/>
  <c r="D517" i="98" s="1"/>
  <c r="D550" i="1"/>
  <c r="D518" i="98" s="1"/>
  <c r="K539" i="1"/>
  <c r="K507" i="98" s="1"/>
  <c r="K540" i="1"/>
  <c r="K508" i="98" s="1"/>
  <c r="K541" i="1"/>
  <c r="K509" i="98" s="1"/>
  <c r="K542" i="1"/>
  <c r="K510" i="98" s="1"/>
  <c r="K543" i="1"/>
  <c r="K511" i="98" s="1"/>
  <c r="K544" i="1"/>
  <c r="K512" i="98" s="1"/>
  <c r="K545" i="1"/>
  <c r="K513" i="98" s="1"/>
  <c r="K546" i="1"/>
  <c r="K514" i="98" s="1"/>
  <c r="K547" i="1"/>
  <c r="K515" i="98" s="1"/>
  <c r="K548" i="1"/>
  <c r="K516" i="98" s="1"/>
  <c r="K549" i="1"/>
  <c r="K517" i="98" s="1"/>
  <c r="K550" i="1"/>
  <c r="K518" i="98" s="1"/>
  <c r="M539" i="1"/>
  <c r="M507" i="98" s="1"/>
  <c r="M540" i="1"/>
  <c r="M508" i="98" s="1"/>
  <c r="M541" i="1"/>
  <c r="M509" i="98" s="1"/>
  <c r="M542" i="1"/>
  <c r="M510" i="98" s="1"/>
  <c r="M543" i="1"/>
  <c r="M511" i="98" s="1"/>
  <c r="M544" i="1"/>
  <c r="M512" i="98" s="1"/>
  <c r="M545" i="1"/>
  <c r="M513" i="98" s="1"/>
  <c r="M546" i="1"/>
  <c r="M514" i="98" s="1"/>
  <c r="M547" i="1"/>
  <c r="M515" i="98" s="1"/>
  <c r="M548" i="1"/>
  <c r="M516" i="98" s="1"/>
  <c r="M549" i="1"/>
  <c r="M517" i="98" s="1"/>
  <c r="M550" i="1"/>
  <c r="M518" i="98" s="1"/>
  <c r="N539" i="1"/>
  <c r="N507" i="98" s="1"/>
  <c r="N540" i="1"/>
  <c r="N508" i="98" s="1"/>
  <c r="N541" i="1"/>
  <c r="N509" i="98" s="1"/>
  <c r="N542" i="1"/>
  <c r="N510" i="98" s="1"/>
  <c r="N543" i="1"/>
  <c r="N511" i="98" s="1"/>
  <c r="N544" i="1"/>
  <c r="N512" i="98" s="1"/>
  <c r="N545" i="1"/>
  <c r="N513" i="98" s="1"/>
  <c r="N546" i="1"/>
  <c r="N514" i="98" s="1"/>
  <c r="N547" i="1"/>
  <c r="N515" i="98" s="1"/>
  <c r="N548" i="1"/>
  <c r="N516" i="98" s="1"/>
  <c r="N549" i="1"/>
  <c r="N517" i="98" s="1"/>
  <c r="N550" i="1"/>
  <c r="N518" i="98" s="1"/>
  <c r="P539" i="1"/>
  <c r="P507" i="98" s="1"/>
  <c r="P540" i="1"/>
  <c r="P508" i="98" s="1"/>
  <c r="P541" i="1"/>
  <c r="P509" i="98" s="1"/>
  <c r="P542" i="1"/>
  <c r="P510" i="98" s="1"/>
  <c r="P543" i="1"/>
  <c r="P511" i="98" s="1"/>
  <c r="P544" i="1"/>
  <c r="P512" i="98" s="1"/>
  <c r="P545" i="1"/>
  <c r="P513" i="98" s="1"/>
  <c r="P546" i="1"/>
  <c r="P514" i="98" s="1"/>
  <c r="P547" i="1"/>
  <c r="P515" i="98" s="1"/>
  <c r="P548" i="1"/>
  <c r="P516" i="98" s="1"/>
  <c r="P549" i="1"/>
  <c r="P517" i="98" s="1"/>
  <c r="P550" i="1"/>
  <c r="P518" i="98" s="1"/>
  <c r="A563" i="1"/>
  <c r="A531" i="98" s="1"/>
  <c r="C563" i="1"/>
  <c r="C531" i="98" s="1"/>
  <c r="D563" i="1"/>
  <c r="D531" i="98" s="1"/>
  <c r="K563" i="1"/>
  <c r="K531" i="98" s="1"/>
  <c r="M563" i="1"/>
  <c r="M531" i="98" s="1"/>
  <c r="N563" i="1"/>
  <c r="N531" i="98" s="1"/>
  <c r="P563" i="1"/>
  <c r="P531" i="98" s="1"/>
  <c r="A538" i="1"/>
  <c r="A506" i="98" s="1"/>
  <c r="C538" i="1"/>
  <c r="C506" i="98" s="1"/>
  <c r="D538" i="1"/>
  <c r="D506" i="98" s="1"/>
  <c r="K538" i="1"/>
  <c r="K506" i="98" s="1"/>
  <c r="M538" i="1"/>
  <c r="M506" i="98" s="1"/>
  <c r="N538" i="1"/>
  <c r="N506" i="98" s="1"/>
  <c r="P538" i="1"/>
  <c r="P506" i="98" s="1"/>
  <c r="A551" i="1"/>
  <c r="A519" i="98" s="1"/>
  <c r="A552" i="1"/>
  <c r="A520" i="98" s="1"/>
  <c r="A553" i="1"/>
  <c r="A521" i="98" s="1"/>
  <c r="A554" i="1"/>
  <c r="A522" i="98" s="1"/>
  <c r="A555" i="1"/>
  <c r="A523" i="98" s="1"/>
  <c r="A556" i="1"/>
  <c r="A524" i="98" s="1"/>
  <c r="A557" i="1"/>
  <c r="A525" i="98" s="1"/>
  <c r="A558" i="1"/>
  <c r="A526" i="98" s="1"/>
  <c r="A559" i="1"/>
  <c r="A527" i="98" s="1"/>
  <c r="A560" i="1"/>
  <c r="A528" i="98" s="1"/>
  <c r="A561" i="1"/>
  <c r="A529" i="98" s="1"/>
  <c r="A562" i="1"/>
  <c r="A530" i="98" s="1"/>
  <c r="C551" i="1"/>
  <c r="C519" i="98" s="1"/>
  <c r="C552" i="1"/>
  <c r="C520" i="98" s="1"/>
  <c r="C553" i="1"/>
  <c r="C521" i="98" s="1"/>
  <c r="C554" i="1"/>
  <c r="C522" i="98" s="1"/>
  <c r="C555" i="1"/>
  <c r="C523" i="98" s="1"/>
  <c r="C556" i="1"/>
  <c r="C524" i="98" s="1"/>
  <c r="C557" i="1"/>
  <c r="C525" i="98" s="1"/>
  <c r="C558" i="1"/>
  <c r="C526" i="98" s="1"/>
  <c r="C559" i="1"/>
  <c r="C527" i="98" s="1"/>
  <c r="C560" i="1"/>
  <c r="C528" i="98" s="1"/>
  <c r="C561" i="1"/>
  <c r="C529" i="98" s="1"/>
  <c r="C562" i="1"/>
  <c r="C530" i="98" s="1"/>
  <c r="D551" i="1"/>
  <c r="D519" i="98" s="1"/>
  <c r="D552" i="1"/>
  <c r="D520" i="98" s="1"/>
  <c r="D553" i="1"/>
  <c r="D521" i="98" s="1"/>
  <c r="D554" i="1"/>
  <c r="D522" i="98" s="1"/>
  <c r="D555" i="1"/>
  <c r="D523" i="98" s="1"/>
  <c r="D556" i="1"/>
  <c r="D524" i="98" s="1"/>
  <c r="D557" i="1"/>
  <c r="D525" i="98" s="1"/>
  <c r="D558" i="1"/>
  <c r="D526" i="98" s="1"/>
  <c r="D559" i="1"/>
  <c r="D527" i="98" s="1"/>
  <c r="D560" i="1"/>
  <c r="D528" i="98" s="1"/>
  <c r="D561" i="1"/>
  <c r="D529" i="98" s="1"/>
  <c r="D562" i="1"/>
  <c r="D530" i="98" s="1"/>
  <c r="K551" i="1"/>
  <c r="K519" i="98" s="1"/>
  <c r="K552" i="1"/>
  <c r="K520" i="98" s="1"/>
  <c r="K553" i="1"/>
  <c r="K521" i="98" s="1"/>
  <c r="K554" i="1"/>
  <c r="K522" i="98" s="1"/>
  <c r="K555" i="1"/>
  <c r="K523" i="98" s="1"/>
  <c r="K556" i="1"/>
  <c r="K524" i="98" s="1"/>
  <c r="K557" i="1"/>
  <c r="K525" i="98" s="1"/>
  <c r="K558" i="1"/>
  <c r="K526" i="98" s="1"/>
  <c r="K559" i="1"/>
  <c r="K527" i="98" s="1"/>
  <c r="K560" i="1"/>
  <c r="K528" i="98" s="1"/>
  <c r="K561" i="1"/>
  <c r="K529" i="98" s="1"/>
  <c r="K562" i="1"/>
  <c r="K530" i="98" s="1"/>
  <c r="M551" i="1"/>
  <c r="M519" i="98" s="1"/>
  <c r="M552" i="1"/>
  <c r="M520" i="98" s="1"/>
  <c r="M553" i="1"/>
  <c r="M521" i="98" s="1"/>
  <c r="M554" i="1"/>
  <c r="M522" i="98" s="1"/>
  <c r="M555" i="1"/>
  <c r="M523" i="98" s="1"/>
  <c r="M556" i="1"/>
  <c r="M524" i="98" s="1"/>
  <c r="M557" i="1"/>
  <c r="M525" i="98" s="1"/>
  <c r="M558" i="1"/>
  <c r="M526" i="98" s="1"/>
  <c r="M559" i="1"/>
  <c r="M527" i="98" s="1"/>
  <c r="M560" i="1"/>
  <c r="M528" i="98" s="1"/>
  <c r="M561" i="1"/>
  <c r="M529" i="98" s="1"/>
  <c r="M562" i="1"/>
  <c r="M530" i="98" s="1"/>
  <c r="N551" i="1"/>
  <c r="N519" i="98" s="1"/>
  <c r="N552" i="1"/>
  <c r="N520" i="98" s="1"/>
  <c r="N553" i="1"/>
  <c r="N521" i="98" s="1"/>
  <c r="N554" i="1"/>
  <c r="N522" i="98" s="1"/>
  <c r="N555" i="1"/>
  <c r="N523" i="98" s="1"/>
  <c r="N556" i="1"/>
  <c r="N524" i="98" s="1"/>
  <c r="N557" i="1"/>
  <c r="N525" i="98" s="1"/>
  <c r="N558" i="1"/>
  <c r="N526" i="98" s="1"/>
  <c r="N559" i="1"/>
  <c r="N527" i="98" s="1"/>
  <c r="N560" i="1"/>
  <c r="N528" i="98" s="1"/>
  <c r="N561" i="1"/>
  <c r="N529" i="98" s="1"/>
  <c r="N562" i="1"/>
  <c r="N530" i="98" s="1"/>
  <c r="P551" i="1"/>
  <c r="P519" i="98" s="1"/>
  <c r="P552" i="1"/>
  <c r="P520" i="98" s="1"/>
  <c r="P553" i="1"/>
  <c r="P521" i="98" s="1"/>
  <c r="P554" i="1"/>
  <c r="P522" i="98" s="1"/>
  <c r="P555" i="1"/>
  <c r="P523" i="98" s="1"/>
  <c r="P556" i="1"/>
  <c r="P524" i="98" s="1"/>
  <c r="P557" i="1"/>
  <c r="P525" i="98" s="1"/>
  <c r="P558" i="1"/>
  <c r="P526" i="98" s="1"/>
  <c r="P559" i="1"/>
  <c r="P527" i="98" s="1"/>
  <c r="P560" i="1"/>
  <c r="P528" i="98" s="1"/>
  <c r="P561" i="1"/>
  <c r="P529" i="98" s="1"/>
  <c r="P562" i="1"/>
  <c r="P530" i="98" s="1"/>
  <c r="A537" i="1"/>
  <c r="A505" i="98" s="1"/>
  <c r="C537" i="1"/>
  <c r="C505" i="98" s="1"/>
  <c r="D537" i="1"/>
  <c r="D505" i="98" s="1"/>
  <c r="K537" i="1"/>
  <c r="K505" i="98" s="1"/>
  <c r="M537" i="1"/>
  <c r="M505" i="98" s="1"/>
  <c r="N537" i="1"/>
  <c r="N505" i="98" s="1"/>
  <c r="P537" i="1"/>
  <c r="P505" i="98" s="1"/>
  <c r="A534" i="1"/>
  <c r="A502" i="98" s="1"/>
  <c r="A535" i="1"/>
  <c r="A503" i="98" s="1"/>
  <c r="A536" i="1"/>
  <c r="A504" i="98" s="1"/>
  <c r="C534" i="1"/>
  <c r="C502" i="98" s="1"/>
  <c r="C535" i="1"/>
  <c r="C503" i="98" s="1"/>
  <c r="C536" i="1"/>
  <c r="C504" i="98" s="1"/>
  <c r="D534" i="1"/>
  <c r="D502" i="98" s="1"/>
  <c r="D535" i="1"/>
  <c r="D503" i="98" s="1"/>
  <c r="D536" i="1"/>
  <c r="D504" i="98" s="1"/>
  <c r="K534" i="1"/>
  <c r="K502" i="98" s="1"/>
  <c r="K535" i="1"/>
  <c r="K503" i="98" s="1"/>
  <c r="K536" i="1"/>
  <c r="K504" i="98" s="1"/>
  <c r="M534" i="1"/>
  <c r="M502" i="98" s="1"/>
  <c r="M535" i="1"/>
  <c r="M503" i="98" s="1"/>
  <c r="M536" i="1"/>
  <c r="M504" i="98" s="1"/>
  <c r="N534" i="1"/>
  <c r="N502" i="98" s="1"/>
  <c r="N535" i="1"/>
  <c r="N503" i="98" s="1"/>
  <c r="N536" i="1"/>
  <c r="N504" i="98" s="1"/>
  <c r="P534" i="1"/>
  <c r="P502" i="98" s="1"/>
  <c r="P535" i="1"/>
  <c r="P503" i="98" s="1"/>
  <c r="P536" i="1"/>
  <c r="P504" i="98" s="1"/>
  <c r="A102" i="6"/>
  <c r="C102" i="6"/>
  <c r="E102" i="6" s="1"/>
  <c r="D102" i="6"/>
  <c r="K102" i="6"/>
  <c r="N102" i="6" s="1"/>
  <c r="O102" i="6" s="1"/>
  <c r="A101" i="6"/>
  <c r="C101" i="6"/>
  <c r="E101" i="6" s="1"/>
  <c r="D101" i="6"/>
  <c r="K101" i="6"/>
  <c r="N101" i="6" s="1"/>
  <c r="O101" i="6" s="1"/>
  <c r="A100" i="6"/>
  <c r="C100" i="6"/>
  <c r="E100" i="6" s="1"/>
  <c r="D100" i="6"/>
  <c r="K100" i="6"/>
  <c r="N100" i="6" s="1"/>
  <c r="O100" i="6" s="1"/>
  <c r="A99" i="6"/>
  <c r="C99" i="6"/>
  <c r="E99" i="6" s="1"/>
  <c r="D99" i="6"/>
  <c r="K99" i="6"/>
  <c r="N99" i="6" s="1"/>
  <c r="O99" i="6" s="1"/>
  <c r="A98" i="6"/>
  <c r="C98" i="6"/>
  <c r="E98" i="6" s="1"/>
  <c r="D98" i="6"/>
  <c r="K98" i="6"/>
  <c r="N98" i="6" s="1"/>
  <c r="O98" i="6" s="1"/>
  <c r="A97" i="6"/>
  <c r="C97" i="6"/>
  <c r="E97" i="6" s="1"/>
  <c r="D97" i="6"/>
  <c r="K97" i="6"/>
  <c r="N97" i="6" s="1"/>
  <c r="O97" i="6" s="1"/>
  <c r="A96" i="6"/>
  <c r="C96" i="6"/>
  <c r="E96" i="6" s="1"/>
  <c r="D96" i="6"/>
  <c r="K96" i="6"/>
  <c r="N96" i="6" s="1"/>
  <c r="E561" i="1" l="1"/>
  <c r="E529" i="98" s="1"/>
  <c r="E543" i="1"/>
  <c r="E511" i="98" s="1"/>
  <c r="E601" i="1"/>
  <c r="E568" i="98" s="1"/>
  <c r="E593" i="1"/>
  <c r="E560" i="98" s="1"/>
  <c r="E537" i="1"/>
  <c r="E505" i="98" s="1"/>
  <c r="E560" i="1"/>
  <c r="E528" i="98" s="1"/>
  <c r="E552" i="1"/>
  <c r="E520" i="98" s="1"/>
  <c r="E550" i="1"/>
  <c r="E518" i="98" s="1"/>
  <c r="E542" i="1"/>
  <c r="E510" i="98" s="1"/>
  <c r="E586" i="1"/>
  <c r="E553" i="98" s="1"/>
  <c r="E608" i="1"/>
  <c r="E575" i="98" s="1"/>
  <c r="E589" i="1"/>
  <c r="E556" i="98" s="1"/>
  <c r="E600" i="1"/>
  <c r="E567" i="98" s="1"/>
  <c r="E549" i="1"/>
  <c r="E517" i="98" s="1"/>
  <c r="E614" i="1"/>
  <c r="E581" i="98" s="1"/>
  <c r="E591" i="1"/>
  <c r="E558" i="98" s="1"/>
  <c r="E599" i="1"/>
  <c r="E566" i="98" s="1"/>
  <c r="E536" i="1"/>
  <c r="E504" i="98" s="1"/>
  <c r="E559" i="1"/>
  <c r="E527" i="98" s="1"/>
  <c r="E541" i="1"/>
  <c r="E509" i="98" s="1"/>
  <c r="E585" i="1"/>
  <c r="E552" i="98" s="1"/>
  <c r="E607" i="1"/>
  <c r="E574" i="98" s="1"/>
  <c r="E558" i="1"/>
  <c r="E526" i="98" s="1"/>
  <c r="E563" i="1"/>
  <c r="E531" i="98" s="1"/>
  <c r="E548" i="1"/>
  <c r="E516" i="98" s="1"/>
  <c r="E540" i="1"/>
  <c r="E508" i="98" s="1"/>
  <c r="E606" i="1"/>
  <c r="E573" i="98" s="1"/>
  <c r="E613" i="1"/>
  <c r="E580" i="98" s="1"/>
  <c r="E590" i="1"/>
  <c r="E557" i="98" s="1"/>
  <c r="E592" i="1"/>
  <c r="E559" i="98" s="1"/>
  <c r="E598" i="1"/>
  <c r="E565" i="98" s="1"/>
  <c r="E557" i="1"/>
  <c r="E525" i="98" s="1"/>
  <c r="E539" i="1"/>
  <c r="E507" i="98" s="1"/>
  <c r="E612" i="1"/>
  <c r="E579" i="98" s="1"/>
  <c r="E597" i="1"/>
  <c r="E564" i="98" s="1"/>
  <c r="E551" i="1"/>
  <c r="E519" i="98" s="1"/>
  <c r="E538" i="1"/>
  <c r="E506" i="98" s="1"/>
  <c r="E547" i="1"/>
  <c r="E515" i="98" s="1"/>
  <c r="E605" i="1"/>
  <c r="E572" i="98" s="1"/>
  <c r="E556" i="1"/>
  <c r="E524" i="98" s="1"/>
  <c r="E546" i="1"/>
  <c r="E514" i="98" s="1"/>
  <c r="E584" i="1"/>
  <c r="E551" i="98" s="1"/>
  <c r="E604" i="1"/>
  <c r="E571" i="98" s="1"/>
  <c r="E596" i="1"/>
  <c r="E563" i="98" s="1"/>
  <c r="E545" i="1"/>
  <c r="E513" i="98" s="1"/>
  <c r="E611" i="1"/>
  <c r="E578" i="98" s="1"/>
  <c r="E555" i="1"/>
  <c r="E523" i="98" s="1"/>
  <c r="E583" i="1"/>
  <c r="E550" i="98" s="1"/>
  <c r="E603" i="1"/>
  <c r="E570" i="98" s="1"/>
  <c r="E595" i="1"/>
  <c r="E562" i="98" s="1"/>
  <c r="E535" i="1"/>
  <c r="E503" i="98" s="1"/>
  <c r="E562" i="1"/>
  <c r="E530" i="98" s="1"/>
  <c r="E554" i="1"/>
  <c r="E522" i="98" s="1"/>
  <c r="E544" i="1"/>
  <c r="E512" i="98" s="1"/>
  <c r="E582" i="1"/>
  <c r="E549" i="98" s="1"/>
  <c r="E588" i="1"/>
  <c r="E555" i="98" s="1"/>
  <c r="E610" i="1"/>
  <c r="E577" i="98" s="1"/>
  <c r="E602" i="1"/>
  <c r="E569" i="98" s="1"/>
  <c r="E594" i="1"/>
  <c r="E561" i="98" s="1"/>
  <c r="E534" i="1"/>
  <c r="E502" i="98" s="1"/>
  <c r="E553" i="1"/>
  <c r="E521" i="98" s="1"/>
  <c r="E587" i="1"/>
  <c r="E554" i="98" s="1"/>
  <c r="E609" i="1"/>
  <c r="E576" i="98" s="1"/>
  <c r="O96" i="6"/>
  <c r="D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6" i="5"/>
  <c r="D27" i="5"/>
  <c r="D28" i="5"/>
  <c r="D29" i="5"/>
  <c r="D30" i="5"/>
  <c r="D31" i="5"/>
  <c r="D32" i="5"/>
  <c r="D33" i="5"/>
  <c r="H510" i="1"/>
  <c r="H481" i="98" s="1"/>
  <c r="H518" i="1"/>
  <c r="H489" i="98" s="1"/>
  <c r="A514" i="1"/>
  <c r="A485" i="98" s="1"/>
  <c r="C514" i="1"/>
  <c r="C485" i="98" s="1"/>
  <c r="D514" i="1"/>
  <c r="D485" i="98" s="1"/>
  <c r="K514" i="1"/>
  <c r="K485" i="98" s="1"/>
  <c r="M514" i="1"/>
  <c r="M485" i="98" s="1"/>
  <c r="N514" i="1"/>
  <c r="N485" i="98" s="1"/>
  <c r="P514" i="1"/>
  <c r="P485" i="98" s="1"/>
  <c r="A513" i="1"/>
  <c r="A484" i="98" s="1"/>
  <c r="C513" i="1"/>
  <c r="C484" i="98" s="1"/>
  <c r="D513" i="1"/>
  <c r="D484" i="98" s="1"/>
  <c r="K513" i="1"/>
  <c r="K484" i="98" s="1"/>
  <c r="M513" i="1"/>
  <c r="M484" i="98" s="1"/>
  <c r="N513" i="1"/>
  <c r="N484" i="98" s="1"/>
  <c r="P513" i="1"/>
  <c r="P484" i="98" s="1"/>
  <c r="A512" i="1"/>
  <c r="A483" i="98" s="1"/>
  <c r="C512" i="1"/>
  <c r="C483" i="98" s="1"/>
  <c r="D512" i="1"/>
  <c r="D483" i="98" s="1"/>
  <c r="K512" i="1"/>
  <c r="K483" i="98" s="1"/>
  <c r="M512" i="1"/>
  <c r="M483" i="98" s="1"/>
  <c r="N512" i="1"/>
  <c r="N483" i="98" s="1"/>
  <c r="P512" i="1"/>
  <c r="P483" i="98" s="1"/>
  <c r="A32" i="5"/>
  <c r="A33" i="5"/>
  <c r="C32" i="5"/>
  <c r="E32" i="5" s="1"/>
  <c r="C33" i="5"/>
  <c r="E33" i="5" s="1"/>
  <c r="A511" i="1"/>
  <c r="A482" i="98" s="1"/>
  <c r="C511" i="1"/>
  <c r="C482" i="98" s="1"/>
  <c r="D511" i="1"/>
  <c r="D482" i="98" s="1"/>
  <c r="K511" i="1"/>
  <c r="K482" i="98" s="1"/>
  <c r="M511" i="1"/>
  <c r="M482" i="98" s="1"/>
  <c r="N511" i="1"/>
  <c r="N482" i="98" s="1"/>
  <c r="P511" i="1"/>
  <c r="P482" i="98" s="1"/>
  <c r="A515" i="1"/>
  <c r="A486" i="98" s="1"/>
  <c r="A516" i="1"/>
  <c r="A487" i="98" s="1"/>
  <c r="A517" i="1"/>
  <c r="A488" i="98" s="1"/>
  <c r="A518" i="1"/>
  <c r="A489" i="98" s="1"/>
  <c r="A519" i="1"/>
  <c r="A490" i="98" s="1"/>
  <c r="A520" i="1"/>
  <c r="A491" i="98" s="1"/>
  <c r="A521" i="1"/>
  <c r="A492" i="98" s="1"/>
  <c r="A522" i="1"/>
  <c r="A493" i="98" s="1"/>
  <c r="C515" i="1"/>
  <c r="C486" i="98" s="1"/>
  <c r="C516" i="1"/>
  <c r="C487" i="98" s="1"/>
  <c r="C517" i="1"/>
  <c r="C488" i="98" s="1"/>
  <c r="C518" i="1"/>
  <c r="C489" i="98" s="1"/>
  <c r="C519" i="1"/>
  <c r="C490" i="98" s="1"/>
  <c r="C520" i="1"/>
  <c r="C491" i="98" s="1"/>
  <c r="C521" i="1"/>
  <c r="C492" i="98" s="1"/>
  <c r="C522" i="1"/>
  <c r="C493" i="98" s="1"/>
  <c r="D515" i="1"/>
  <c r="D486" i="98" s="1"/>
  <c r="D516" i="1"/>
  <c r="D487" i="98" s="1"/>
  <c r="D517" i="1"/>
  <c r="D488" i="98" s="1"/>
  <c r="D518" i="1"/>
  <c r="D489" i="98" s="1"/>
  <c r="D519" i="1"/>
  <c r="D490" i="98" s="1"/>
  <c r="D520" i="1"/>
  <c r="D491" i="98" s="1"/>
  <c r="D521" i="1"/>
  <c r="D492" i="98" s="1"/>
  <c r="D522" i="1"/>
  <c r="D493" i="98" s="1"/>
  <c r="K515" i="1"/>
  <c r="K486" i="98" s="1"/>
  <c r="K516" i="1"/>
  <c r="K487" i="98" s="1"/>
  <c r="K517" i="1"/>
  <c r="K488" i="98" s="1"/>
  <c r="K518" i="1"/>
  <c r="K489" i="98" s="1"/>
  <c r="K519" i="1"/>
  <c r="K490" i="98" s="1"/>
  <c r="K520" i="1"/>
  <c r="K491" i="98" s="1"/>
  <c r="K521" i="1"/>
  <c r="K492" i="98" s="1"/>
  <c r="K522" i="1"/>
  <c r="K493" i="98" s="1"/>
  <c r="M515" i="1"/>
  <c r="M486" i="98" s="1"/>
  <c r="M516" i="1"/>
  <c r="M487" i="98" s="1"/>
  <c r="M517" i="1"/>
  <c r="M488" i="98" s="1"/>
  <c r="M518" i="1"/>
  <c r="M489" i="98" s="1"/>
  <c r="M519" i="1"/>
  <c r="M490" i="98" s="1"/>
  <c r="M520" i="1"/>
  <c r="M491" i="98" s="1"/>
  <c r="M521" i="1"/>
  <c r="M492" i="98" s="1"/>
  <c r="M522" i="1"/>
  <c r="M493" i="98" s="1"/>
  <c r="N515" i="1"/>
  <c r="N486" i="98" s="1"/>
  <c r="N516" i="1"/>
  <c r="N487" i="98" s="1"/>
  <c r="N517" i="1"/>
  <c r="N488" i="98" s="1"/>
  <c r="N518" i="1"/>
  <c r="N489" i="98" s="1"/>
  <c r="N519" i="1"/>
  <c r="N490" i="98" s="1"/>
  <c r="N520" i="1"/>
  <c r="N491" i="98" s="1"/>
  <c r="N521" i="1"/>
  <c r="N492" i="98" s="1"/>
  <c r="N522" i="1"/>
  <c r="N493" i="98" s="1"/>
  <c r="P515" i="1"/>
  <c r="P486" i="98" s="1"/>
  <c r="P516" i="1"/>
  <c r="P487" i="98" s="1"/>
  <c r="P517" i="1"/>
  <c r="P488" i="98" s="1"/>
  <c r="P518" i="1"/>
  <c r="P489" i="98" s="1"/>
  <c r="P519" i="1"/>
  <c r="P490" i="98" s="1"/>
  <c r="P520" i="1"/>
  <c r="P491" i="98" s="1"/>
  <c r="P521" i="1"/>
  <c r="P492" i="98" s="1"/>
  <c r="P522" i="1"/>
  <c r="P493" i="98" s="1"/>
  <c r="A510" i="1"/>
  <c r="A481" i="98" s="1"/>
  <c r="C510" i="1"/>
  <c r="C481" i="98" s="1"/>
  <c r="D510" i="1"/>
  <c r="D481" i="98" s="1"/>
  <c r="K510" i="1"/>
  <c r="K481" i="98" s="1"/>
  <c r="M510" i="1"/>
  <c r="M481" i="98" s="1"/>
  <c r="N510" i="1"/>
  <c r="N481" i="98" s="1"/>
  <c r="P510" i="1"/>
  <c r="P481" i="98" s="1"/>
  <c r="A505" i="1"/>
  <c r="A476" i="98" s="1"/>
  <c r="A506" i="1"/>
  <c r="A477" i="98" s="1"/>
  <c r="A507" i="1"/>
  <c r="A478" i="98" s="1"/>
  <c r="A508" i="1"/>
  <c r="A479" i="98" s="1"/>
  <c r="A509" i="1"/>
  <c r="A480" i="98" s="1"/>
  <c r="C505" i="1"/>
  <c r="C476" i="98" s="1"/>
  <c r="C506" i="1"/>
  <c r="C477" i="98" s="1"/>
  <c r="C507" i="1"/>
  <c r="C478" i="98" s="1"/>
  <c r="C508" i="1"/>
  <c r="C479" i="98" s="1"/>
  <c r="C509" i="1"/>
  <c r="C480" i="98" s="1"/>
  <c r="D505" i="1"/>
  <c r="D476" i="98" s="1"/>
  <c r="D506" i="1"/>
  <c r="D477" i="98" s="1"/>
  <c r="D507" i="1"/>
  <c r="D478" i="98" s="1"/>
  <c r="D508" i="1"/>
  <c r="D479" i="98" s="1"/>
  <c r="D509" i="1"/>
  <c r="D480" i="98" s="1"/>
  <c r="K505" i="1"/>
  <c r="K476" i="98" s="1"/>
  <c r="K506" i="1"/>
  <c r="K477" i="98" s="1"/>
  <c r="K507" i="1"/>
  <c r="K478" i="98" s="1"/>
  <c r="K508" i="1"/>
  <c r="K479" i="98" s="1"/>
  <c r="K509" i="1"/>
  <c r="K480" i="98" s="1"/>
  <c r="M505" i="1"/>
  <c r="M476" i="98" s="1"/>
  <c r="M506" i="1"/>
  <c r="M477" i="98" s="1"/>
  <c r="M507" i="1"/>
  <c r="M478" i="98" s="1"/>
  <c r="M508" i="1"/>
  <c r="M479" i="98" s="1"/>
  <c r="M509" i="1"/>
  <c r="M480" i="98" s="1"/>
  <c r="N505" i="1"/>
  <c r="N476" i="98" s="1"/>
  <c r="N506" i="1"/>
  <c r="N477" i="98" s="1"/>
  <c r="N507" i="1"/>
  <c r="N478" i="98" s="1"/>
  <c r="N508" i="1"/>
  <c r="N479" i="98" s="1"/>
  <c r="N509" i="1"/>
  <c r="N480" i="98" s="1"/>
  <c r="P505" i="1"/>
  <c r="P476" i="98" s="1"/>
  <c r="P506" i="1"/>
  <c r="P477" i="98" s="1"/>
  <c r="P507" i="1"/>
  <c r="P478" i="98" s="1"/>
  <c r="P508" i="1"/>
  <c r="P479" i="98" s="1"/>
  <c r="P509" i="1"/>
  <c r="P480" i="98" s="1"/>
  <c r="A28" i="5"/>
  <c r="A29" i="5"/>
  <c r="A30" i="5"/>
  <c r="A31" i="5"/>
  <c r="C28" i="5"/>
  <c r="E28" i="5" s="1"/>
  <c r="C29" i="5"/>
  <c r="E29" i="5" s="1"/>
  <c r="C30" i="5"/>
  <c r="E30" i="5" s="1"/>
  <c r="C31" i="5"/>
  <c r="E31" i="5" s="1"/>
  <c r="A93" i="6"/>
  <c r="A94" i="6"/>
  <c r="A95" i="6"/>
  <c r="C93" i="6"/>
  <c r="E93" i="6" s="1"/>
  <c r="C94" i="6"/>
  <c r="E94" i="6" s="1"/>
  <c r="C95" i="6"/>
  <c r="E95" i="6" s="1"/>
  <c r="K93" i="6"/>
  <c r="N93" i="6" s="1"/>
  <c r="O93" i="6" s="1"/>
  <c r="K94" i="6"/>
  <c r="N94" i="6" s="1"/>
  <c r="O94" i="6" s="1"/>
  <c r="K95" i="6"/>
  <c r="N95" i="6" s="1"/>
  <c r="O95" i="6" s="1"/>
  <c r="D94" i="1"/>
  <c r="E510" i="1" l="1"/>
  <c r="E481" i="98" s="1"/>
  <c r="E516" i="1"/>
  <c r="E487" i="98" s="1"/>
  <c r="E514" i="1"/>
  <c r="E485" i="98" s="1"/>
  <c r="E517" i="1"/>
  <c r="E488" i="98" s="1"/>
  <c r="E509" i="1"/>
  <c r="E480" i="98" s="1"/>
  <c r="E515" i="1"/>
  <c r="E486" i="98" s="1"/>
  <c r="E513" i="1"/>
  <c r="E484" i="98" s="1"/>
  <c r="E508" i="1"/>
  <c r="E479" i="98" s="1"/>
  <c r="E522" i="1"/>
  <c r="E493" i="98" s="1"/>
  <c r="E512" i="1"/>
  <c r="E483" i="98" s="1"/>
  <c r="E507" i="1"/>
  <c r="E478" i="98" s="1"/>
  <c r="E521" i="1"/>
  <c r="E492" i="98" s="1"/>
  <c r="E506" i="1"/>
  <c r="E477" i="98" s="1"/>
  <c r="E520" i="1"/>
  <c r="E491" i="98" s="1"/>
  <c r="E505" i="1"/>
  <c r="E476" i="98" s="1"/>
  <c r="E519" i="1"/>
  <c r="E490" i="98" s="1"/>
  <c r="E518" i="1"/>
  <c r="E489" i="98" s="1"/>
  <c r="E511" i="1"/>
  <c r="E482" i="98" s="1"/>
  <c r="D298" i="1"/>
  <c r="D299" i="1"/>
  <c r="D277" i="98" s="1"/>
  <c r="D847" i="1"/>
  <c r="D811" i="98" s="1"/>
  <c r="D896" i="1"/>
  <c r="D860" i="98" s="1"/>
  <c r="D848" i="1"/>
  <c r="D812" i="98" s="1"/>
  <c r="D849" i="1"/>
  <c r="D813" i="98" s="1"/>
  <c r="D850" i="1"/>
  <c r="D814" i="98" s="1"/>
  <c r="D851" i="1"/>
  <c r="D815" i="98" s="1"/>
  <c r="D852" i="1"/>
  <c r="D816" i="98" s="1"/>
  <c r="D748" i="1"/>
  <c r="D714" i="98" s="1"/>
  <c r="D853" i="1"/>
  <c r="D817" i="98" s="1"/>
  <c r="D854" i="1"/>
  <c r="D818" i="98" s="1"/>
  <c r="D884" i="1"/>
  <c r="D848" i="98" s="1"/>
  <c r="D885" i="1"/>
  <c r="D849" i="98" s="1"/>
  <c r="D886" i="1"/>
  <c r="D850" i="98" s="1"/>
  <c r="D887" i="1"/>
  <c r="D851" i="98" s="1"/>
  <c r="D888" i="1"/>
  <c r="D852" i="98" s="1"/>
  <c r="D889" i="1"/>
  <c r="D853" i="98" s="1"/>
  <c r="D890" i="1"/>
  <c r="D854" i="98" s="1"/>
  <c r="D891" i="1"/>
  <c r="D855" i="98" s="1"/>
  <c r="D892" i="1"/>
  <c r="D856" i="98" s="1"/>
  <c r="D893" i="1"/>
  <c r="D857" i="98" s="1"/>
  <c r="D894" i="1"/>
  <c r="D858" i="98" s="1"/>
  <c r="D895" i="1"/>
  <c r="D859" i="98" s="1"/>
  <c r="D855" i="1"/>
  <c r="D819" i="98" s="1"/>
  <c r="D856" i="1"/>
  <c r="D820" i="98" s="1"/>
  <c r="D857" i="1"/>
  <c r="D821" i="98" s="1"/>
  <c r="D858" i="1"/>
  <c r="D822" i="98" s="1"/>
  <c r="D859" i="1"/>
  <c r="D823" i="98" s="1"/>
  <c r="D860" i="1"/>
  <c r="D824" i="98" s="1"/>
  <c r="D861" i="1"/>
  <c r="D825" i="98" s="1"/>
  <c r="D862" i="1"/>
  <c r="D826" i="98" s="1"/>
  <c r="D897" i="1"/>
  <c r="D861" i="98" s="1"/>
  <c r="D898" i="1"/>
  <c r="D862" i="98" s="1"/>
  <c r="D863" i="1"/>
  <c r="D827" i="98" s="1"/>
  <c r="D864" i="1"/>
  <c r="D828" i="98" s="1"/>
  <c r="D899" i="1"/>
  <c r="D863" i="98" s="1"/>
  <c r="D865" i="1"/>
  <c r="D829" i="98" s="1"/>
  <c r="D866" i="1"/>
  <c r="D830" i="98" s="1"/>
  <c r="D867" i="1"/>
  <c r="D831" i="98" s="1"/>
  <c r="D868" i="1"/>
  <c r="D832" i="98" s="1"/>
  <c r="D869" i="1"/>
  <c r="D833" i="98" s="1"/>
  <c r="D870" i="1"/>
  <c r="D834" i="98" s="1"/>
  <c r="D871" i="1"/>
  <c r="D835" i="98" s="1"/>
  <c r="D872" i="1"/>
  <c r="D836" i="98" s="1"/>
  <c r="D873" i="1"/>
  <c r="D837" i="98" s="1"/>
  <c r="D874" i="1"/>
  <c r="D838" i="98" s="1"/>
  <c r="D875" i="1"/>
  <c r="D839" i="98" s="1"/>
  <c r="D876" i="1"/>
  <c r="D840" i="98" s="1"/>
  <c r="D877" i="1"/>
  <c r="D841" i="98" s="1"/>
  <c r="D878" i="1"/>
  <c r="D842" i="98" s="1"/>
  <c r="D879" i="1"/>
  <c r="D843" i="98" s="1"/>
  <c r="D880" i="1"/>
  <c r="D844" i="98" s="1"/>
  <c r="D881" i="1"/>
  <c r="D845" i="98" s="1"/>
  <c r="D882" i="1"/>
  <c r="D846" i="98" s="1"/>
  <c r="D883" i="1"/>
  <c r="D847" i="98" s="1"/>
  <c r="D1180" i="1"/>
  <c r="D1133" i="98" s="1"/>
  <c r="D1181" i="1"/>
  <c r="D1134" i="98" s="1"/>
  <c r="D1182" i="1"/>
  <c r="D1135" i="98" s="1"/>
  <c r="D1183" i="1"/>
  <c r="D1136" i="98" s="1"/>
  <c r="D1190" i="1"/>
  <c r="D1143" i="98" s="1"/>
  <c r="D1184" i="1"/>
  <c r="D1137" i="98" s="1"/>
  <c r="D1191" i="1"/>
  <c r="D1144" i="98" s="1"/>
  <c r="D1192" i="1"/>
  <c r="D1145" i="98" s="1"/>
  <c r="D1185" i="1"/>
  <c r="D1138" i="98" s="1"/>
  <c r="D1186" i="1"/>
  <c r="D1139" i="98" s="1"/>
  <c r="D1187" i="1"/>
  <c r="D1140" i="98" s="1"/>
  <c r="D1188" i="1"/>
  <c r="D1141" i="98" s="1"/>
  <c r="D1189" i="1"/>
  <c r="D1142" i="98" s="1"/>
  <c r="D396" i="1"/>
  <c r="D368" i="98" s="1"/>
  <c r="D397" i="1"/>
  <c r="D369" i="98" s="1"/>
  <c r="D404" i="1"/>
  <c r="D376" i="98" s="1"/>
  <c r="D405" i="1"/>
  <c r="D377" i="98" s="1"/>
  <c r="D398" i="1"/>
  <c r="D370" i="98" s="1"/>
  <c r="D399" i="1"/>
  <c r="D371" i="98" s="1"/>
  <c r="D400" i="1"/>
  <c r="D372" i="98" s="1"/>
  <c r="D401" i="1"/>
  <c r="D373" i="98" s="1"/>
  <c r="D402" i="1"/>
  <c r="D374" i="98" s="1"/>
  <c r="D403" i="1"/>
  <c r="D375" i="98" s="1"/>
  <c r="D9" i="1"/>
  <c r="D9" i="98" s="1"/>
  <c r="D10" i="1"/>
  <c r="D10" i="98" s="1"/>
  <c r="D11" i="1"/>
  <c r="D11" i="98" s="1"/>
  <c r="D12" i="1"/>
  <c r="D12" i="98" s="1"/>
  <c r="D13" i="1"/>
  <c r="D13" i="98" s="1"/>
  <c r="D14" i="1"/>
  <c r="D14" i="98" s="1"/>
  <c r="D15" i="1"/>
  <c r="D15" i="98" s="1"/>
  <c r="D16" i="1"/>
  <c r="D16" i="98" s="1"/>
  <c r="D307" i="1"/>
  <c r="D282" i="98" s="1"/>
  <c r="D308" i="1"/>
  <c r="D283" i="98" s="1"/>
  <c r="D316" i="1"/>
  <c r="D291" i="98" s="1"/>
  <c r="D317" i="1"/>
  <c r="D292" i="98" s="1"/>
  <c r="D318" i="1"/>
  <c r="D293" i="98" s="1"/>
  <c r="D319" i="1"/>
  <c r="D294" i="98" s="1"/>
  <c r="D320" i="1"/>
  <c r="D295" i="98" s="1"/>
  <c r="D321" i="1"/>
  <c r="D296" i="98" s="1"/>
  <c r="D322" i="1"/>
  <c r="D297" i="98" s="1"/>
  <c r="D323" i="1"/>
  <c r="D298" i="98" s="1"/>
  <c r="D324" i="1"/>
  <c r="D299" i="98" s="1"/>
  <c r="D309" i="1"/>
  <c r="D284" i="98" s="1"/>
  <c r="D310" i="1"/>
  <c r="D285" i="98" s="1"/>
  <c r="D325" i="1"/>
  <c r="D300" i="98" s="1"/>
  <c r="D311" i="1"/>
  <c r="D286" i="98" s="1"/>
  <c r="D312" i="1"/>
  <c r="D287" i="98" s="1"/>
  <c r="D313" i="1"/>
  <c r="D288" i="98" s="1"/>
  <c r="D314" i="1"/>
  <c r="D289" i="98" s="1"/>
  <c r="D315" i="1"/>
  <c r="D290" i="98" s="1"/>
  <c r="D83" i="1"/>
  <c r="D71" i="98" s="1"/>
  <c r="D78" i="1"/>
  <c r="D79" i="1"/>
  <c r="D326" i="1"/>
  <c r="D301" i="98" s="1"/>
  <c r="D327" i="1"/>
  <c r="D302" i="98" s="1"/>
  <c r="D328" i="1"/>
  <c r="D303" i="98" s="1"/>
  <c r="D329" i="1"/>
  <c r="D304" i="98" s="1"/>
  <c r="D330" i="1"/>
  <c r="D305" i="98" s="1"/>
  <c r="D1266" i="1"/>
  <c r="D1215" i="98" s="1"/>
  <c r="D1267" i="1"/>
  <c r="D1216" i="98" s="1"/>
  <c r="D1268" i="1"/>
  <c r="D1217" i="98" s="1"/>
  <c r="D1269" i="1"/>
  <c r="D1218" i="98" s="1"/>
  <c r="D1270" i="1"/>
  <c r="D1219" i="98" s="1"/>
  <c r="D1264" i="1"/>
  <c r="D1214" i="98" s="1"/>
  <c r="D1265" i="1"/>
  <c r="D1262" i="1"/>
  <c r="D1212" i="98" s="1"/>
  <c r="D1263" i="1"/>
  <c r="D1213" i="98" s="1"/>
  <c r="D1259" i="1"/>
  <c r="D1209" i="98" s="1"/>
  <c r="D1260" i="1"/>
  <c r="D1210" i="98" s="1"/>
  <c r="D1261" i="1"/>
  <c r="D1211" i="98" s="1"/>
  <c r="D1250" i="1"/>
  <c r="D1200" i="98" s="1"/>
  <c r="D1241" i="1"/>
  <c r="D1191" i="98" s="1"/>
  <c r="D1246" i="1"/>
  <c r="D1196" i="98" s="1"/>
  <c r="D1248" i="1"/>
  <c r="D1198" i="98" s="1"/>
  <c r="D1242" i="1"/>
  <c r="D1192" i="98" s="1"/>
  <c r="D1251" i="1"/>
  <c r="D1201" i="98" s="1"/>
  <c r="D1252" i="1"/>
  <c r="D1202" i="98" s="1"/>
  <c r="D1230" i="1"/>
  <c r="D1182" i="98" s="1"/>
  <c r="D1231" i="1"/>
  <c r="D1183" i="98" s="1"/>
  <c r="D1232" i="1"/>
  <c r="D1184" i="98" s="1"/>
  <c r="D1245" i="1"/>
  <c r="D1195" i="98" s="1"/>
  <c r="D1243" i="1"/>
  <c r="D1193" i="98" s="1"/>
  <c r="D1249" i="1"/>
  <c r="D1199" i="98" s="1"/>
  <c r="D1233" i="1"/>
  <c r="D1185" i="98" s="1"/>
  <c r="D1234" i="1"/>
  <c r="D1186" i="98" s="1"/>
  <c r="D1253" i="1"/>
  <c r="D1203" i="98" s="1"/>
  <c r="D1254" i="1"/>
  <c r="D1204" i="98" s="1"/>
  <c r="D1247" i="1"/>
  <c r="D1197" i="98" s="1"/>
  <c r="D1255" i="1"/>
  <c r="D1205" i="98" s="1"/>
  <c r="D1235" i="1"/>
  <c r="D1187" i="98" s="1"/>
  <c r="D1238" i="1"/>
  <c r="D1189" i="98" s="1"/>
  <c r="D1239" i="1"/>
  <c r="D1190" i="98" s="1"/>
  <c r="D1240" i="1"/>
  <c r="D1197" i="1"/>
  <c r="D1150" i="98" s="1"/>
  <c r="D1196" i="1"/>
  <c r="D1149" i="98" s="1"/>
  <c r="D1198" i="1"/>
  <c r="D1151" i="98" s="1"/>
  <c r="D1179" i="1"/>
  <c r="D1132" i="98" s="1"/>
  <c r="D1109" i="1"/>
  <c r="D1064" i="98" s="1"/>
  <c r="D1110" i="1"/>
  <c r="D1065" i="98" s="1"/>
  <c r="D1105" i="1"/>
  <c r="D1060" i="98" s="1"/>
  <c r="D1111" i="1"/>
  <c r="D1066" i="98" s="1"/>
  <c r="D1112" i="1"/>
  <c r="D1067" i="98" s="1"/>
  <c r="D1106" i="1"/>
  <c r="D1061" i="98" s="1"/>
  <c r="D1113" i="1"/>
  <c r="D1068" i="98" s="1"/>
  <c r="D1107" i="1"/>
  <c r="D1062" i="98" s="1"/>
  <c r="D1117" i="1"/>
  <c r="D1072" i="98" s="1"/>
  <c r="D1118" i="1"/>
  <c r="D1108" i="1"/>
  <c r="D1063" i="98" s="1"/>
  <c r="D1114" i="1"/>
  <c r="D1069" i="98" s="1"/>
  <c r="D1115" i="1"/>
  <c r="D1070" i="98" s="1"/>
  <c r="D1116" i="1"/>
  <c r="D1071" i="98" s="1"/>
  <c r="D1100" i="1"/>
  <c r="D1056" i="98" s="1"/>
  <c r="D1101" i="1"/>
  <c r="D1102" i="1"/>
  <c r="D1057" i="98" s="1"/>
  <c r="D1103" i="1"/>
  <c r="D1058" i="98" s="1"/>
  <c r="D1096" i="1"/>
  <c r="D1052" i="98" s="1"/>
  <c r="D1097" i="1"/>
  <c r="D1053" i="98" s="1"/>
  <c r="D1098" i="1"/>
  <c r="D1054" i="98" s="1"/>
  <c r="D1099" i="1"/>
  <c r="D1055" i="98" s="1"/>
  <c r="D1193" i="1"/>
  <c r="D1146" i="98" s="1"/>
  <c r="D1194" i="1"/>
  <c r="D1147" i="98" s="1"/>
  <c r="D1195" i="1"/>
  <c r="D1148" i="98" s="1"/>
  <c r="D300" i="1"/>
  <c r="D278" i="98" s="1"/>
  <c r="D301" i="1"/>
  <c r="D279" i="98" s="1"/>
  <c r="D302" i="1"/>
  <c r="D280" i="98" s="1"/>
  <c r="D1272" i="1"/>
  <c r="D1220" i="98" s="1"/>
  <c r="D1273" i="1"/>
  <c r="D1221" i="98" s="1"/>
  <c r="D1274" i="1"/>
  <c r="D1222" i="98" s="1"/>
  <c r="D1275" i="1"/>
  <c r="D1223" i="98" s="1"/>
  <c r="D1276" i="1"/>
  <c r="D1224" i="98" s="1"/>
  <c r="D1277" i="1"/>
  <c r="D1225" i="98" s="1"/>
  <c r="D428" i="1"/>
  <c r="D400" i="98" s="1"/>
  <c r="D429" i="1"/>
  <c r="D401" i="98" s="1"/>
  <c r="D443" i="1"/>
  <c r="D415" i="98" s="1"/>
  <c r="D453" i="1"/>
  <c r="D425" i="98" s="1"/>
  <c r="D430" i="1"/>
  <c r="D402" i="98" s="1"/>
  <c r="D440" i="1"/>
  <c r="D412" i="98" s="1"/>
  <c r="D448" i="1"/>
  <c r="D420" i="98" s="1"/>
  <c r="D456" i="1"/>
  <c r="D428" i="98" s="1"/>
  <c r="D449" i="1"/>
  <c r="D421" i="98" s="1"/>
  <c r="D457" i="1"/>
  <c r="D429" i="98" s="1"/>
  <c r="D431" i="1"/>
  <c r="D403" i="98" s="1"/>
  <c r="D441" i="1"/>
  <c r="D413" i="98" s="1"/>
  <c r="D450" i="1"/>
  <c r="D422" i="98" s="1"/>
  <c r="D458" i="1"/>
  <c r="D430" i="98" s="1"/>
  <c r="D442" i="1"/>
  <c r="D414" i="98" s="1"/>
  <c r="D451" i="1"/>
  <c r="D423" i="98" s="1"/>
  <c r="D432" i="1"/>
  <c r="D404" i="98" s="1"/>
  <c r="D433" i="1"/>
  <c r="D405" i="98" s="1"/>
  <c r="D434" i="1"/>
  <c r="D406" i="98" s="1"/>
  <c r="D444" i="1"/>
  <c r="D416" i="98" s="1"/>
  <c r="D454" i="1"/>
  <c r="D426" i="98" s="1"/>
  <c r="D435" i="1"/>
  <c r="D407" i="98" s="1"/>
  <c r="D445" i="1"/>
  <c r="D417" i="98" s="1"/>
  <c r="D446" i="1"/>
  <c r="D418" i="98" s="1"/>
  <c r="D436" i="1"/>
  <c r="D408" i="98" s="1"/>
  <c r="D437" i="1"/>
  <c r="D409" i="98" s="1"/>
  <c r="D447" i="1"/>
  <c r="D419" i="98" s="1"/>
  <c r="D455" i="1"/>
  <c r="D427" i="98" s="1"/>
  <c r="D438" i="1"/>
  <c r="D410" i="98" s="1"/>
  <c r="D439" i="1"/>
  <c r="D411" i="98" s="1"/>
  <c r="D346" i="1"/>
  <c r="D321" i="98" s="1"/>
  <c r="D345" i="1"/>
  <c r="D320" i="98" s="1"/>
  <c r="D344" i="1"/>
  <c r="D319" i="98" s="1"/>
  <c r="D338" i="1"/>
  <c r="D313" i="98" s="1"/>
  <c r="D343" i="1"/>
  <c r="D318" i="98" s="1"/>
  <c r="D337" i="1"/>
  <c r="D312" i="98" s="1"/>
  <c r="D331" i="1"/>
  <c r="D306" i="98" s="1"/>
  <c r="D335" i="1"/>
  <c r="D310" i="98" s="1"/>
  <c r="D336" i="1"/>
  <c r="D311" i="98" s="1"/>
  <c r="D332" i="1"/>
  <c r="D307" i="98" s="1"/>
  <c r="D333" i="1"/>
  <c r="D308" i="98" s="1"/>
  <c r="D334" i="1"/>
  <c r="D309" i="98" s="1"/>
  <c r="D339" i="1"/>
  <c r="D314" i="98" s="1"/>
  <c r="D340" i="1"/>
  <c r="D315" i="98" s="1"/>
  <c r="D341" i="1"/>
  <c r="D316" i="98" s="1"/>
  <c r="D101" i="1"/>
  <c r="D87" i="98" s="1"/>
  <c r="D102" i="1"/>
  <c r="D88" i="98" s="1"/>
  <c r="D100" i="1"/>
  <c r="D86" i="98" s="1"/>
  <c r="D103" i="1"/>
  <c r="D89" i="98" s="1"/>
  <c r="D104" i="1"/>
  <c r="D90" i="98" s="1"/>
  <c r="D93" i="1"/>
  <c r="D81" i="98" s="1"/>
  <c r="D1053" i="1"/>
  <c r="D1009" i="98" s="1"/>
  <c r="D1054" i="1"/>
  <c r="D1010" i="98" s="1"/>
  <c r="D1055" i="1"/>
  <c r="D1011" i="98" s="1"/>
  <c r="D1056" i="1"/>
  <c r="D1012" i="98" s="1"/>
  <c r="D1057" i="1"/>
  <c r="D1013" i="98" s="1"/>
  <c r="D1058" i="1"/>
  <c r="D1014" i="98" s="1"/>
  <c r="D1059" i="1"/>
  <c r="D1015" i="98" s="1"/>
  <c r="D1060" i="1"/>
  <c r="D1016" i="98" s="1"/>
  <c r="D1061" i="1"/>
  <c r="D1017" i="98" s="1"/>
  <c r="D2" i="1"/>
  <c r="D2" i="98" s="1"/>
  <c r="D3" i="1"/>
  <c r="D3" i="98" s="1"/>
  <c r="D4" i="1"/>
  <c r="D4" i="98" s="1"/>
  <c r="D5" i="1"/>
  <c r="D5" i="98" s="1"/>
  <c r="D6" i="1"/>
  <c r="D6" i="98" s="1"/>
  <c r="D7" i="1"/>
  <c r="D7" i="98" s="1"/>
  <c r="D76" i="1"/>
  <c r="D70" i="98" s="1"/>
  <c r="D17" i="1"/>
  <c r="D17" i="98" s="1"/>
  <c r="D113" i="1"/>
  <c r="D114" i="1"/>
  <c r="D99" i="98" s="1"/>
  <c r="D115" i="1"/>
  <c r="D100" i="98" s="1"/>
  <c r="D116" i="1"/>
  <c r="D101" i="98" s="1"/>
  <c r="D117" i="1"/>
  <c r="D102" i="98" s="1"/>
  <c r="D118" i="1"/>
  <c r="D132" i="1"/>
  <c r="D114" i="98" s="1"/>
  <c r="D133" i="1"/>
  <c r="D9" i="96" s="1"/>
  <c r="D134" i="1"/>
  <c r="D10" i="96" s="1"/>
  <c r="D303" i="1"/>
  <c r="D281" i="98" s="1"/>
  <c r="D304" i="1"/>
  <c r="D305" i="1"/>
  <c r="D306" i="1"/>
  <c r="D90" i="1"/>
  <c r="D78" i="98" s="1"/>
  <c r="D153" i="1"/>
  <c r="D133" i="98" s="1"/>
  <c r="D154" i="1"/>
  <c r="D134" i="98" s="1"/>
  <c r="D155" i="1"/>
  <c r="D135" i="98" s="1"/>
  <c r="D135" i="1"/>
  <c r="D115" i="98" s="1"/>
  <c r="D136" i="1"/>
  <c r="D116" i="98" s="1"/>
  <c r="D137" i="1"/>
  <c r="D117" i="98" s="1"/>
  <c r="D138" i="1"/>
  <c r="D118" i="98" s="1"/>
  <c r="D139" i="1"/>
  <c r="D119" i="98" s="1"/>
  <c r="D140" i="1"/>
  <c r="D120" i="98" s="1"/>
  <c r="D141" i="1"/>
  <c r="D121" i="98" s="1"/>
  <c r="D142" i="1"/>
  <c r="D122" i="98" s="1"/>
  <c r="D143" i="1"/>
  <c r="D123" i="98" s="1"/>
  <c r="D144" i="1"/>
  <c r="D124" i="98" s="1"/>
  <c r="D145" i="1"/>
  <c r="D125" i="98" s="1"/>
  <c r="D146" i="1"/>
  <c r="D126" i="98" s="1"/>
  <c r="D147" i="1"/>
  <c r="D127" i="98" s="1"/>
  <c r="D148" i="1"/>
  <c r="D128" i="98" s="1"/>
  <c r="D149" i="1"/>
  <c r="D129" i="98" s="1"/>
  <c r="D150" i="1"/>
  <c r="D130" i="98" s="1"/>
  <c r="D151" i="1"/>
  <c r="D131" i="98" s="1"/>
  <c r="D156" i="1"/>
  <c r="D136" i="98" s="1"/>
  <c r="D157" i="1"/>
  <c r="D137" i="98" s="1"/>
  <c r="D158" i="1"/>
  <c r="D138" i="98" s="1"/>
  <c r="D159" i="1"/>
  <c r="D139" i="98" s="1"/>
  <c r="D160" i="1"/>
  <c r="D140" i="98" s="1"/>
  <c r="D161" i="1"/>
  <c r="D141" i="98" s="1"/>
  <c r="D162" i="1"/>
  <c r="D142" i="98" s="1"/>
  <c r="D163" i="1"/>
  <c r="D143" i="98" s="1"/>
  <c r="D164" i="1"/>
  <c r="D144" i="98" s="1"/>
  <c r="D165" i="1"/>
  <c r="D145" i="98" s="1"/>
  <c r="D166" i="1"/>
  <c r="D146" i="98" s="1"/>
  <c r="D167" i="1"/>
  <c r="D147" i="98" s="1"/>
  <c r="D178" i="1"/>
  <c r="D158" i="98" s="1"/>
  <c r="D152" i="1"/>
  <c r="D132" i="98" s="1"/>
  <c r="D179" i="1"/>
  <c r="D159" i="98" s="1"/>
  <c r="D168" i="1"/>
  <c r="D148" i="98" s="1"/>
  <c r="D169" i="1"/>
  <c r="D149" i="98" s="1"/>
  <c r="D170" i="1"/>
  <c r="D150" i="98" s="1"/>
  <c r="D171" i="1"/>
  <c r="D151" i="98" s="1"/>
  <c r="D172" i="1"/>
  <c r="D152" i="98" s="1"/>
  <c r="D173" i="1"/>
  <c r="D153" i="98" s="1"/>
  <c r="D174" i="1"/>
  <c r="D154" i="98" s="1"/>
  <c r="D175" i="1"/>
  <c r="D155" i="98" s="1"/>
  <c r="D176" i="1"/>
  <c r="D156" i="98" s="1"/>
  <c r="D177" i="1"/>
  <c r="D157" i="98" s="1"/>
  <c r="D195" i="1"/>
  <c r="D174" i="98" s="1"/>
  <c r="D196" i="1"/>
  <c r="D175" i="98" s="1"/>
  <c r="D197" i="1"/>
  <c r="D176" i="98" s="1"/>
  <c r="D181" i="1"/>
  <c r="D160" i="98" s="1"/>
  <c r="D182" i="1"/>
  <c r="D161" i="98" s="1"/>
  <c r="D183" i="1"/>
  <c r="D162" i="98" s="1"/>
  <c r="D184" i="1"/>
  <c r="D163" i="98" s="1"/>
  <c r="D185" i="1"/>
  <c r="D164" i="98" s="1"/>
  <c r="D186" i="1"/>
  <c r="D165" i="98" s="1"/>
  <c r="D187" i="1"/>
  <c r="D166" i="98" s="1"/>
  <c r="D188" i="1"/>
  <c r="D167" i="98" s="1"/>
  <c r="D189" i="1"/>
  <c r="D168" i="98" s="1"/>
  <c r="D190" i="1"/>
  <c r="D169" i="98" s="1"/>
  <c r="D191" i="1"/>
  <c r="D170" i="98" s="1"/>
  <c r="D192" i="1"/>
  <c r="D171" i="98" s="1"/>
  <c r="D193" i="1"/>
  <c r="D172" i="98" s="1"/>
  <c r="D194" i="1"/>
  <c r="D173" i="98" s="1"/>
  <c r="D198" i="1"/>
  <c r="D177" i="98" s="1"/>
  <c r="D199" i="1"/>
  <c r="D178" i="98" s="1"/>
  <c r="D200" i="1"/>
  <c r="D179" i="98" s="1"/>
  <c r="D203" i="1"/>
  <c r="D182" i="98" s="1"/>
  <c r="D201" i="1"/>
  <c r="D180" i="98" s="1"/>
  <c r="D202" i="1"/>
  <c r="D181" i="98" s="1"/>
  <c r="D112" i="1"/>
  <c r="D98" i="98" s="1"/>
  <c r="D119" i="1"/>
  <c r="D103" i="98" s="1"/>
  <c r="D204" i="1"/>
  <c r="D183" i="98" s="1"/>
  <c r="D205" i="1"/>
  <c r="D184" i="98" s="1"/>
  <c r="D206" i="1"/>
  <c r="D185" i="98" s="1"/>
  <c r="D207" i="1"/>
  <c r="D186" i="98" s="1"/>
  <c r="D208" i="1"/>
  <c r="D187" i="98" s="1"/>
  <c r="D209" i="1"/>
  <c r="D188" i="98" s="1"/>
  <c r="D210" i="1"/>
  <c r="D189" i="98" s="1"/>
  <c r="D211" i="1"/>
  <c r="D190" i="98" s="1"/>
  <c r="D212" i="1"/>
  <c r="D191" i="98" s="1"/>
  <c r="D213" i="1"/>
  <c r="D192" i="98" s="1"/>
  <c r="D214" i="1"/>
  <c r="D193" i="98" s="1"/>
  <c r="D215" i="1"/>
  <c r="D194" i="98" s="1"/>
  <c r="D216" i="1"/>
  <c r="D195" i="98" s="1"/>
  <c r="D217" i="1"/>
  <c r="D196" i="98" s="1"/>
  <c r="D218" i="1"/>
  <c r="D197" i="98" s="1"/>
  <c r="D219" i="1"/>
  <c r="D198" i="98" s="1"/>
  <c r="D220" i="1"/>
  <c r="D199" i="98" s="1"/>
  <c r="D221" i="1"/>
  <c r="D200" i="98" s="1"/>
  <c r="D222" i="1"/>
  <c r="D201" i="98" s="1"/>
  <c r="D223" i="1"/>
  <c r="D202" i="98" s="1"/>
  <c r="D224" i="1"/>
  <c r="D203" i="98" s="1"/>
  <c r="D244" i="1"/>
  <c r="D223" i="98" s="1"/>
  <c r="D226" i="1"/>
  <c r="D205" i="98" s="1"/>
  <c r="D227" i="1"/>
  <c r="D206" i="98" s="1"/>
  <c r="D228" i="1"/>
  <c r="D207" i="98" s="1"/>
  <c r="D229" i="1"/>
  <c r="D208" i="98" s="1"/>
  <c r="D230" i="1"/>
  <c r="D209" i="98" s="1"/>
  <c r="D231" i="1"/>
  <c r="D210" i="98" s="1"/>
  <c r="D232" i="1"/>
  <c r="D211" i="98" s="1"/>
  <c r="D233" i="1"/>
  <c r="D212" i="98" s="1"/>
  <c r="D234" i="1"/>
  <c r="D213" i="98" s="1"/>
  <c r="D235" i="1"/>
  <c r="D214" i="98" s="1"/>
  <c r="D236" i="1"/>
  <c r="D215" i="98" s="1"/>
  <c r="D237" i="1"/>
  <c r="D216" i="98" s="1"/>
  <c r="D238" i="1"/>
  <c r="D217" i="98" s="1"/>
  <c r="D239" i="1"/>
  <c r="D218" i="98" s="1"/>
  <c r="D240" i="1"/>
  <c r="D219" i="98" s="1"/>
  <c r="D241" i="1"/>
  <c r="D220" i="98" s="1"/>
  <c r="D242" i="1"/>
  <c r="D221" i="98" s="1"/>
  <c r="D245" i="1"/>
  <c r="D224" i="98" s="1"/>
  <c r="D246" i="1"/>
  <c r="D225" i="98" s="1"/>
  <c r="D247" i="1"/>
  <c r="D226" i="98" s="1"/>
  <c r="D248" i="1"/>
  <c r="D227" i="98" s="1"/>
  <c r="D249" i="1"/>
  <c r="D228" i="98" s="1"/>
  <c r="D250" i="1"/>
  <c r="D229" i="98" s="1"/>
  <c r="D251" i="1"/>
  <c r="D230" i="98" s="1"/>
  <c r="D252" i="1"/>
  <c r="D231" i="98" s="1"/>
  <c r="D253" i="1"/>
  <c r="D232" i="98" s="1"/>
  <c r="D276" i="1"/>
  <c r="D255" i="98" s="1"/>
  <c r="D277" i="1"/>
  <c r="D256" i="98" s="1"/>
  <c r="D278" i="1"/>
  <c r="D257" i="98" s="1"/>
  <c r="D279" i="1"/>
  <c r="D258" i="98" s="1"/>
  <c r="D280" i="1"/>
  <c r="D259" i="98" s="1"/>
  <c r="D281" i="1"/>
  <c r="D260" i="98" s="1"/>
  <c r="D282" i="1"/>
  <c r="D261" i="98" s="1"/>
  <c r="D283" i="1"/>
  <c r="D262" i="98" s="1"/>
  <c r="D284" i="1"/>
  <c r="D263" i="98" s="1"/>
  <c r="D285" i="1"/>
  <c r="D264" i="98" s="1"/>
  <c r="D286" i="1"/>
  <c r="D265" i="98" s="1"/>
  <c r="D287" i="1"/>
  <c r="D266" i="98" s="1"/>
  <c r="D288" i="1"/>
  <c r="D267" i="98" s="1"/>
  <c r="D289" i="1"/>
  <c r="D268" i="98" s="1"/>
  <c r="D290" i="1"/>
  <c r="D269" i="98" s="1"/>
  <c r="D291" i="1"/>
  <c r="D270" i="98" s="1"/>
  <c r="D292" i="1"/>
  <c r="D271" i="98" s="1"/>
  <c r="D365" i="1"/>
  <c r="D338" i="98" s="1"/>
  <c r="D366" i="1"/>
  <c r="D339" i="98" s="1"/>
  <c r="D367" i="1"/>
  <c r="D340" i="98" s="1"/>
  <c r="D368" i="1"/>
  <c r="D341" i="98" s="1"/>
  <c r="D369" i="1"/>
  <c r="D342" i="98" s="1"/>
  <c r="D370" i="1"/>
  <c r="D343" i="98" s="1"/>
  <c r="D371" i="1"/>
  <c r="D344" i="98" s="1"/>
  <c r="D372" i="1"/>
  <c r="D345" i="98" s="1"/>
  <c r="D373" i="1"/>
  <c r="D346" i="98" s="1"/>
  <c r="D359" i="1"/>
  <c r="D332" i="98" s="1"/>
  <c r="D360" i="1"/>
  <c r="D333" i="98" s="1"/>
  <c r="D361" i="1"/>
  <c r="D334" i="98" s="1"/>
  <c r="D362" i="1"/>
  <c r="D335" i="98" s="1"/>
  <c r="D363" i="1"/>
  <c r="D336" i="98" s="1"/>
  <c r="D364" i="1"/>
  <c r="D337" i="98" s="1"/>
  <c r="D374" i="1"/>
  <c r="D347" i="98" s="1"/>
  <c r="D375" i="1"/>
  <c r="D348" i="98" s="1"/>
  <c r="D376" i="1"/>
  <c r="D349" i="98" s="1"/>
  <c r="D377" i="1"/>
  <c r="D350" i="98" s="1"/>
  <c r="D383" i="1"/>
  <c r="D356" i="98" s="1"/>
  <c r="D384" i="1"/>
  <c r="D357" i="98" s="1"/>
  <c r="D378" i="1"/>
  <c r="D351" i="98" s="1"/>
  <c r="D379" i="1"/>
  <c r="D352" i="98" s="1"/>
  <c r="D380" i="1"/>
  <c r="D353" i="98" s="1"/>
  <c r="D381" i="1"/>
  <c r="D354" i="98" s="1"/>
  <c r="D382" i="1"/>
  <c r="D355" i="98" s="1"/>
  <c r="D418" i="1"/>
  <c r="D390" i="98" s="1"/>
  <c r="D419" i="1"/>
  <c r="D391" i="98" s="1"/>
  <c r="D420" i="1"/>
  <c r="D392" i="98" s="1"/>
  <c r="D421" i="1"/>
  <c r="D393" i="98" s="1"/>
  <c r="D417" i="1"/>
  <c r="D389" i="98" s="1"/>
  <c r="D422" i="1"/>
  <c r="D394" i="98" s="1"/>
  <c r="D426" i="1"/>
  <c r="D398" i="98" s="1"/>
  <c r="D427" i="1"/>
  <c r="D399" i="98" s="1"/>
  <c r="D423" i="1"/>
  <c r="D395" i="98" s="1"/>
  <c r="D424" i="1"/>
  <c r="D396" i="98" s="1"/>
  <c r="D425" i="1"/>
  <c r="D397" i="98" s="1"/>
  <c r="A425" i="1"/>
  <c r="A397" i="98" s="1"/>
  <c r="C425" i="1"/>
  <c r="C397" i="98" s="1"/>
  <c r="K425" i="1"/>
  <c r="K397" i="98" s="1"/>
  <c r="M425" i="1"/>
  <c r="M397" i="98" s="1"/>
  <c r="N425" i="1"/>
  <c r="N397" i="98" s="1"/>
  <c r="P425" i="1"/>
  <c r="P397" i="98" s="1"/>
  <c r="A424" i="1"/>
  <c r="A396" i="98" s="1"/>
  <c r="C424" i="1"/>
  <c r="C396" i="98" s="1"/>
  <c r="K424" i="1"/>
  <c r="K396" i="98" s="1"/>
  <c r="M424" i="1"/>
  <c r="M396" i="98" s="1"/>
  <c r="N424" i="1"/>
  <c r="N396" i="98" s="1"/>
  <c r="P424" i="1"/>
  <c r="P396" i="98" s="1"/>
  <c r="A423" i="1"/>
  <c r="A395" i="98" s="1"/>
  <c r="C423" i="1"/>
  <c r="C395" i="98" s="1"/>
  <c r="K423" i="1"/>
  <c r="K395" i="98" s="1"/>
  <c r="M423" i="1"/>
  <c r="M395" i="98" s="1"/>
  <c r="N423" i="1"/>
  <c r="N395" i="98" s="1"/>
  <c r="P423" i="1"/>
  <c r="P395" i="98" s="1"/>
  <c r="H426" i="1"/>
  <c r="H398" i="98" s="1"/>
  <c r="A426" i="1"/>
  <c r="A398" i="98" s="1"/>
  <c r="A427" i="1"/>
  <c r="A399" i="98" s="1"/>
  <c r="C426" i="1"/>
  <c r="C398" i="98" s="1"/>
  <c r="C427" i="1"/>
  <c r="C399" i="98" s="1"/>
  <c r="K426" i="1"/>
  <c r="K398" i="98" s="1"/>
  <c r="K427" i="1"/>
  <c r="K399" i="98" s="1"/>
  <c r="M426" i="1"/>
  <c r="M398" i="98" s="1"/>
  <c r="M427" i="1"/>
  <c r="M399" i="98" s="1"/>
  <c r="N426" i="1"/>
  <c r="N398" i="98" s="1"/>
  <c r="N427" i="1"/>
  <c r="N399" i="98" s="1"/>
  <c r="P426" i="1"/>
  <c r="P398" i="98" s="1"/>
  <c r="P427" i="1"/>
  <c r="P399" i="98" s="1"/>
  <c r="A417" i="1"/>
  <c r="A389" i="98" s="1"/>
  <c r="A422" i="1"/>
  <c r="A394" i="98" s="1"/>
  <c r="C417" i="1"/>
  <c r="C389" i="98" s="1"/>
  <c r="C422" i="1"/>
  <c r="C394" i="98" s="1"/>
  <c r="K417" i="1"/>
  <c r="K389" i="98" s="1"/>
  <c r="K422" i="1"/>
  <c r="K394" i="98" s="1"/>
  <c r="M417" i="1"/>
  <c r="M389" i="98" s="1"/>
  <c r="M422" i="1"/>
  <c r="M394" i="98" s="1"/>
  <c r="N417" i="1"/>
  <c r="N389" i="98" s="1"/>
  <c r="N422" i="1"/>
  <c r="N394" i="98" s="1"/>
  <c r="P417" i="1"/>
  <c r="P389" i="98" s="1"/>
  <c r="P422" i="1"/>
  <c r="P394" i="98" s="1"/>
  <c r="A421" i="1"/>
  <c r="A393" i="98" s="1"/>
  <c r="C421" i="1"/>
  <c r="C393" i="98" s="1"/>
  <c r="K421" i="1"/>
  <c r="K393" i="98" s="1"/>
  <c r="M421" i="1"/>
  <c r="M393" i="98" s="1"/>
  <c r="N421" i="1"/>
  <c r="N393" i="98" s="1"/>
  <c r="P421" i="1"/>
  <c r="P393" i="98" s="1"/>
  <c r="A418" i="1"/>
  <c r="A390" i="98" s="1"/>
  <c r="A419" i="1"/>
  <c r="A391" i="98" s="1"/>
  <c r="A420" i="1"/>
  <c r="A392" i="98" s="1"/>
  <c r="C418" i="1"/>
  <c r="C390" i="98" s="1"/>
  <c r="C419" i="1"/>
  <c r="C391" i="98" s="1"/>
  <c r="C420" i="1"/>
  <c r="C392" i="98" s="1"/>
  <c r="K418" i="1"/>
  <c r="K390" i="98" s="1"/>
  <c r="K419" i="1"/>
  <c r="K391" i="98" s="1"/>
  <c r="K420" i="1"/>
  <c r="K392" i="98" s="1"/>
  <c r="M418" i="1"/>
  <c r="M390" i="98" s="1"/>
  <c r="M419" i="1"/>
  <c r="M391" i="98" s="1"/>
  <c r="M420" i="1"/>
  <c r="M392" i="98" s="1"/>
  <c r="N418" i="1"/>
  <c r="N390" i="98" s="1"/>
  <c r="N419" i="1"/>
  <c r="N391" i="98" s="1"/>
  <c r="N420" i="1"/>
  <c r="N392" i="98" s="1"/>
  <c r="P418" i="1"/>
  <c r="P390" i="98" s="1"/>
  <c r="P419" i="1"/>
  <c r="P391" i="98" s="1"/>
  <c r="P420" i="1"/>
  <c r="P392" i="98" s="1"/>
  <c r="A27" i="5"/>
  <c r="C27" i="5"/>
  <c r="E27" i="5" s="1"/>
  <c r="A92" i="6"/>
  <c r="C92" i="6"/>
  <c r="E92" i="6" s="1"/>
  <c r="K92" i="6"/>
  <c r="N92" i="6" s="1"/>
  <c r="O92" i="6" s="1"/>
  <c r="A19" i="5"/>
  <c r="A20" i="5"/>
  <c r="A21" i="5"/>
  <c r="A22" i="5"/>
  <c r="A23" i="5"/>
  <c r="A24" i="5"/>
  <c r="A26" i="5"/>
  <c r="C19" i="5"/>
  <c r="E19" i="5" s="1"/>
  <c r="C20" i="5"/>
  <c r="E20" i="5" s="1"/>
  <c r="C21" i="5"/>
  <c r="E21" i="5" s="1"/>
  <c r="C22" i="5"/>
  <c r="E22" i="5" s="1"/>
  <c r="C23" i="5"/>
  <c r="E23" i="5" s="1"/>
  <c r="C24" i="5"/>
  <c r="E24" i="5" s="1"/>
  <c r="C26" i="5"/>
  <c r="E26" i="5" s="1"/>
  <c r="A382" i="1"/>
  <c r="A355" i="98" s="1"/>
  <c r="C382" i="1"/>
  <c r="C355" i="98" s="1"/>
  <c r="K382" i="1"/>
  <c r="K355" i="98" s="1"/>
  <c r="M382" i="1"/>
  <c r="M355" i="98" s="1"/>
  <c r="N382" i="1"/>
  <c r="N355" i="98" s="1"/>
  <c r="P382" i="1"/>
  <c r="P355" i="98" s="1"/>
  <c r="A381" i="1"/>
  <c r="A354" i="98" s="1"/>
  <c r="C381" i="1"/>
  <c r="C354" i="98" s="1"/>
  <c r="K381" i="1"/>
  <c r="K354" i="98" s="1"/>
  <c r="M381" i="1"/>
  <c r="M354" i="98" s="1"/>
  <c r="N381" i="1"/>
  <c r="N354" i="98" s="1"/>
  <c r="P381" i="1"/>
  <c r="P354" i="98" s="1"/>
  <c r="A380" i="1"/>
  <c r="A353" i="98" s="1"/>
  <c r="C380" i="1"/>
  <c r="C353" i="98" s="1"/>
  <c r="K380" i="1"/>
  <c r="K353" i="98" s="1"/>
  <c r="M380" i="1"/>
  <c r="M353" i="98" s="1"/>
  <c r="N380" i="1"/>
  <c r="N353" i="98" s="1"/>
  <c r="P380" i="1"/>
  <c r="P353" i="98" s="1"/>
  <c r="A379" i="1"/>
  <c r="A352" i="98" s="1"/>
  <c r="C379" i="1"/>
  <c r="C352" i="98" s="1"/>
  <c r="K379" i="1"/>
  <c r="K352" i="98" s="1"/>
  <c r="M379" i="1"/>
  <c r="M352" i="98" s="1"/>
  <c r="N379" i="1"/>
  <c r="N352" i="98" s="1"/>
  <c r="P379" i="1"/>
  <c r="P352" i="98" s="1"/>
  <c r="A378" i="1"/>
  <c r="A351" i="98" s="1"/>
  <c r="C378" i="1"/>
  <c r="C351" i="98" s="1"/>
  <c r="K378" i="1"/>
  <c r="K351" i="98" s="1"/>
  <c r="M378" i="1"/>
  <c r="M351" i="98" s="1"/>
  <c r="N378" i="1"/>
  <c r="N351" i="98" s="1"/>
  <c r="P378" i="1"/>
  <c r="P351" i="98" s="1"/>
  <c r="A384" i="1"/>
  <c r="A357" i="98" s="1"/>
  <c r="C384" i="1"/>
  <c r="C357" i="98" s="1"/>
  <c r="K384" i="1"/>
  <c r="K357" i="98" s="1"/>
  <c r="M384" i="1"/>
  <c r="M357" i="98" s="1"/>
  <c r="N384" i="1"/>
  <c r="N357" i="98" s="1"/>
  <c r="P384" i="1"/>
  <c r="P357" i="98" s="1"/>
  <c r="A383" i="1"/>
  <c r="A356" i="98" s="1"/>
  <c r="C383" i="1"/>
  <c r="C356" i="98" s="1"/>
  <c r="K383" i="1"/>
  <c r="K356" i="98" s="1"/>
  <c r="M383" i="1"/>
  <c r="M356" i="98" s="1"/>
  <c r="N383" i="1"/>
  <c r="N356" i="98" s="1"/>
  <c r="P383" i="1"/>
  <c r="P356" i="98" s="1"/>
  <c r="A377" i="1"/>
  <c r="A350" i="98" s="1"/>
  <c r="C377" i="1"/>
  <c r="C350" i="98" s="1"/>
  <c r="K377" i="1"/>
  <c r="K350" i="98" s="1"/>
  <c r="M377" i="1"/>
  <c r="M350" i="98" s="1"/>
  <c r="N377" i="1"/>
  <c r="N350" i="98" s="1"/>
  <c r="P377" i="1"/>
  <c r="P350" i="98" s="1"/>
  <c r="A359" i="1"/>
  <c r="A332" i="98" s="1"/>
  <c r="A360" i="1"/>
  <c r="A333" i="98" s="1"/>
  <c r="A361" i="1"/>
  <c r="A334" i="98" s="1"/>
  <c r="A362" i="1"/>
  <c r="A335" i="98" s="1"/>
  <c r="A363" i="1"/>
  <c r="A336" i="98" s="1"/>
  <c r="A364" i="1"/>
  <c r="A337" i="98" s="1"/>
  <c r="A374" i="1"/>
  <c r="A347" i="98" s="1"/>
  <c r="A375" i="1"/>
  <c r="A348" i="98" s="1"/>
  <c r="A376" i="1"/>
  <c r="A349" i="98" s="1"/>
  <c r="C359" i="1"/>
  <c r="C332" i="98" s="1"/>
  <c r="C360" i="1"/>
  <c r="C333" i="98" s="1"/>
  <c r="C361" i="1"/>
  <c r="C334" i="98" s="1"/>
  <c r="C362" i="1"/>
  <c r="C335" i="98" s="1"/>
  <c r="C363" i="1"/>
  <c r="C336" i="98" s="1"/>
  <c r="C364" i="1"/>
  <c r="C337" i="98" s="1"/>
  <c r="C374" i="1"/>
  <c r="C347" i="98" s="1"/>
  <c r="C375" i="1"/>
  <c r="C348" i="98" s="1"/>
  <c r="C376" i="1"/>
  <c r="C349" i="98" s="1"/>
  <c r="K359" i="1"/>
  <c r="K332" i="98" s="1"/>
  <c r="K360" i="1"/>
  <c r="K333" i="98" s="1"/>
  <c r="K361" i="1"/>
  <c r="K334" i="98" s="1"/>
  <c r="K362" i="1"/>
  <c r="K335" i="98" s="1"/>
  <c r="K363" i="1"/>
  <c r="K336" i="98" s="1"/>
  <c r="K364" i="1"/>
  <c r="K337" i="98" s="1"/>
  <c r="K374" i="1"/>
  <c r="K347" i="98" s="1"/>
  <c r="K375" i="1"/>
  <c r="K348" i="98" s="1"/>
  <c r="K376" i="1"/>
  <c r="K349" i="98" s="1"/>
  <c r="M359" i="1"/>
  <c r="M332" i="98" s="1"/>
  <c r="M360" i="1"/>
  <c r="M333" i="98" s="1"/>
  <c r="M361" i="1"/>
  <c r="M334" i="98" s="1"/>
  <c r="M362" i="1"/>
  <c r="M335" i="98" s="1"/>
  <c r="M363" i="1"/>
  <c r="M336" i="98" s="1"/>
  <c r="M364" i="1"/>
  <c r="M337" i="98" s="1"/>
  <c r="M374" i="1"/>
  <c r="M347" i="98" s="1"/>
  <c r="M375" i="1"/>
  <c r="M348" i="98" s="1"/>
  <c r="M376" i="1"/>
  <c r="M349" i="98" s="1"/>
  <c r="N359" i="1"/>
  <c r="N332" i="98" s="1"/>
  <c r="N360" i="1"/>
  <c r="N333" i="98" s="1"/>
  <c r="N361" i="1"/>
  <c r="N334" i="98" s="1"/>
  <c r="N362" i="1"/>
  <c r="N335" i="98" s="1"/>
  <c r="N363" i="1"/>
  <c r="N336" i="98" s="1"/>
  <c r="N364" i="1"/>
  <c r="N337" i="98" s="1"/>
  <c r="N374" i="1"/>
  <c r="N347" i="98" s="1"/>
  <c r="N375" i="1"/>
  <c r="N348" i="98" s="1"/>
  <c r="N376" i="1"/>
  <c r="N349" i="98" s="1"/>
  <c r="P359" i="1"/>
  <c r="P332" i="98" s="1"/>
  <c r="P360" i="1"/>
  <c r="P333" i="98" s="1"/>
  <c r="P361" i="1"/>
  <c r="P334" i="98" s="1"/>
  <c r="P362" i="1"/>
  <c r="P335" i="98" s="1"/>
  <c r="P363" i="1"/>
  <c r="P336" i="98" s="1"/>
  <c r="P364" i="1"/>
  <c r="P337" i="98" s="1"/>
  <c r="P374" i="1"/>
  <c r="P347" i="98" s="1"/>
  <c r="P375" i="1"/>
  <c r="P348" i="98" s="1"/>
  <c r="P376" i="1"/>
  <c r="P349" i="98" s="1"/>
  <c r="A372" i="1"/>
  <c r="A345" i="98" s="1"/>
  <c r="A373" i="1"/>
  <c r="A346" i="98" s="1"/>
  <c r="C372" i="1"/>
  <c r="C345" i="98" s="1"/>
  <c r="C373" i="1"/>
  <c r="C346" i="98" s="1"/>
  <c r="K372" i="1"/>
  <c r="K345" i="98" s="1"/>
  <c r="K373" i="1"/>
  <c r="K346" i="98" s="1"/>
  <c r="M372" i="1"/>
  <c r="M345" i="98" s="1"/>
  <c r="M373" i="1"/>
  <c r="M346" i="98" s="1"/>
  <c r="N372" i="1"/>
  <c r="N345" i="98" s="1"/>
  <c r="N373" i="1"/>
  <c r="N346" i="98" s="1"/>
  <c r="P372" i="1"/>
  <c r="P345" i="98" s="1"/>
  <c r="P373" i="1"/>
  <c r="P346" i="98" s="1"/>
  <c r="A365" i="1"/>
  <c r="A338" i="98" s="1"/>
  <c r="A366" i="1"/>
  <c r="A339" i="98" s="1"/>
  <c r="A367" i="1"/>
  <c r="A340" i="98" s="1"/>
  <c r="A368" i="1"/>
  <c r="A341" i="98" s="1"/>
  <c r="A369" i="1"/>
  <c r="A342" i="98" s="1"/>
  <c r="A370" i="1"/>
  <c r="A343" i="98" s="1"/>
  <c r="A371" i="1"/>
  <c r="A344" i="98" s="1"/>
  <c r="C365" i="1"/>
  <c r="C338" i="98" s="1"/>
  <c r="C366" i="1"/>
  <c r="C339" i="98" s="1"/>
  <c r="C367" i="1"/>
  <c r="C340" i="98" s="1"/>
  <c r="C368" i="1"/>
  <c r="C341" i="98" s="1"/>
  <c r="C369" i="1"/>
  <c r="C342" i="98" s="1"/>
  <c r="C370" i="1"/>
  <c r="C343" i="98" s="1"/>
  <c r="C371" i="1"/>
  <c r="C344" i="98" s="1"/>
  <c r="K365" i="1"/>
  <c r="K338" i="98" s="1"/>
  <c r="K366" i="1"/>
  <c r="K339" i="98" s="1"/>
  <c r="K367" i="1"/>
  <c r="K340" i="98" s="1"/>
  <c r="K368" i="1"/>
  <c r="K341" i="98" s="1"/>
  <c r="K369" i="1"/>
  <c r="K342" i="98" s="1"/>
  <c r="K370" i="1"/>
  <c r="K343" i="98" s="1"/>
  <c r="K371" i="1"/>
  <c r="K344" i="98" s="1"/>
  <c r="M365" i="1"/>
  <c r="M338" i="98" s="1"/>
  <c r="M366" i="1"/>
  <c r="M339" i="98" s="1"/>
  <c r="M367" i="1"/>
  <c r="M340" i="98" s="1"/>
  <c r="M368" i="1"/>
  <c r="M341" i="98" s="1"/>
  <c r="M369" i="1"/>
  <c r="M342" i="98" s="1"/>
  <c r="M370" i="1"/>
  <c r="M343" i="98" s="1"/>
  <c r="M371" i="1"/>
  <c r="M344" i="98" s="1"/>
  <c r="N365" i="1"/>
  <c r="N338" i="98" s="1"/>
  <c r="N366" i="1"/>
  <c r="N339" i="98" s="1"/>
  <c r="N367" i="1"/>
  <c r="N340" i="98" s="1"/>
  <c r="N368" i="1"/>
  <c r="N341" i="98" s="1"/>
  <c r="N369" i="1"/>
  <c r="N342" i="98" s="1"/>
  <c r="N370" i="1"/>
  <c r="N343" i="98" s="1"/>
  <c r="N371" i="1"/>
  <c r="N344" i="98" s="1"/>
  <c r="P365" i="1"/>
  <c r="P338" i="98" s="1"/>
  <c r="P366" i="1"/>
  <c r="P339" i="98" s="1"/>
  <c r="P367" i="1"/>
  <c r="P340" i="98" s="1"/>
  <c r="P368" i="1"/>
  <c r="P341" i="98" s="1"/>
  <c r="P369" i="1"/>
  <c r="P342" i="98" s="1"/>
  <c r="P370" i="1"/>
  <c r="P343" i="98" s="1"/>
  <c r="P371" i="1"/>
  <c r="P344" i="98" s="1"/>
  <c r="A91" i="6"/>
  <c r="C91" i="6"/>
  <c r="E91" i="6" s="1"/>
  <c r="K91" i="6"/>
  <c r="N91" i="6" s="1"/>
  <c r="O91" i="6" s="1"/>
  <c r="A88" i="6"/>
  <c r="A89" i="6"/>
  <c r="A90" i="6"/>
  <c r="C88" i="6"/>
  <c r="E88" i="6" s="1"/>
  <c r="C89" i="6"/>
  <c r="E89" i="6" s="1"/>
  <c r="C90" i="6"/>
  <c r="E90" i="6" s="1"/>
  <c r="K88" i="6"/>
  <c r="N88" i="6" s="1"/>
  <c r="O88" i="6" s="1"/>
  <c r="K89" i="6"/>
  <c r="N89" i="6" s="1"/>
  <c r="O89" i="6" s="1"/>
  <c r="K90" i="6"/>
  <c r="N90" i="6" s="1"/>
  <c r="O90" i="6" s="1"/>
  <c r="A64" i="6"/>
  <c r="C64" i="6"/>
  <c r="E64" i="6" s="1"/>
  <c r="K64" i="6"/>
  <c r="N64" i="6" s="1"/>
  <c r="O64" i="6" s="1"/>
  <c r="A86" i="6"/>
  <c r="A87" i="6"/>
  <c r="C86" i="6"/>
  <c r="E86" i="6" s="1"/>
  <c r="C87" i="6"/>
  <c r="E87" i="6" s="1"/>
  <c r="K86" i="6"/>
  <c r="N86" i="6" s="1"/>
  <c r="O86" i="6" s="1"/>
  <c r="K87" i="6"/>
  <c r="N87" i="6" s="1"/>
  <c r="O87" i="6" s="1"/>
  <c r="A283" i="1"/>
  <c r="A262" i="98" s="1"/>
  <c r="A284" i="1"/>
  <c r="A263" i="98" s="1"/>
  <c r="A285" i="1"/>
  <c r="A264" i="98" s="1"/>
  <c r="A286" i="1"/>
  <c r="A265" i="98" s="1"/>
  <c r="A287" i="1"/>
  <c r="A266" i="98" s="1"/>
  <c r="A288" i="1"/>
  <c r="A267" i="98" s="1"/>
  <c r="A289" i="1"/>
  <c r="A268" i="98" s="1"/>
  <c r="A290" i="1"/>
  <c r="A269" i="98" s="1"/>
  <c r="A291" i="1"/>
  <c r="A270" i="98" s="1"/>
  <c r="A292" i="1"/>
  <c r="A271" i="98" s="1"/>
  <c r="C283" i="1"/>
  <c r="C262" i="98" s="1"/>
  <c r="C284" i="1"/>
  <c r="C263" i="98" s="1"/>
  <c r="C285" i="1"/>
  <c r="C264" i="98" s="1"/>
  <c r="C286" i="1"/>
  <c r="C265" i="98" s="1"/>
  <c r="C287" i="1"/>
  <c r="C266" i="98" s="1"/>
  <c r="C288" i="1"/>
  <c r="C267" i="98" s="1"/>
  <c r="C289" i="1"/>
  <c r="C268" i="98" s="1"/>
  <c r="C290" i="1"/>
  <c r="C269" i="98" s="1"/>
  <c r="C291" i="1"/>
  <c r="C270" i="98" s="1"/>
  <c r="C292" i="1"/>
  <c r="C271" i="98" s="1"/>
  <c r="K283" i="1"/>
  <c r="K262" i="98" s="1"/>
  <c r="K284" i="1"/>
  <c r="K263" i="98" s="1"/>
  <c r="K285" i="1"/>
  <c r="K264" i="98" s="1"/>
  <c r="K286" i="1"/>
  <c r="K265" i="98" s="1"/>
  <c r="K287" i="1"/>
  <c r="K266" i="98" s="1"/>
  <c r="K288" i="1"/>
  <c r="K267" i="98" s="1"/>
  <c r="K289" i="1"/>
  <c r="K268" i="98" s="1"/>
  <c r="K290" i="1"/>
  <c r="K269" i="98" s="1"/>
  <c r="K291" i="1"/>
  <c r="K270" i="98" s="1"/>
  <c r="K292" i="1"/>
  <c r="K271" i="98" s="1"/>
  <c r="M283" i="1"/>
  <c r="M262" i="98" s="1"/>
  <c r="M284" i="1"/>
  <c r="M263" i="98" s="1"/>
  <c r="M285" i="1"/>
  <c r="M264" i="98" s="1"/>
  <c r="M286" i="1"/>
  <c r="M265" i="98" s="1"/>
  <c r="M287" i="1"/>
  <c r="M266" i="98" s="1"/>
  <c r="M288" i="1"/>
  <c r="M267" i="98" s="1"/>
  <c r="M289" i="1"/>
  <c r="M268" i="98" s="1"/>
  <c r="M290" i="1"/>
  <c r="M269" i="98" s="1"/>
  <c r="M291" i="1"/>
  <c r="M270" i="98" s="1"/>
  <c r="M292" i="1"/>
  <c r="M271" i="98" s="1"/>
  <c r="N283" i="1"/>
  <c r="N262" i="98" s="1"/>
  <c r="N284" i="1"/>
  <c r="N263" i="98" s="1"/>
  <c r="N285" i="1"/>
  <c r="N264" i="98" s="1"/>
  <c r="N286" i="1"/>
  <c r="N265" i="98" s="1"/>
  <c r="N287" i="1"/>
  <c r="N266" i="98" s="1"/>
  <c r="N288" i="1"/>
  <c r="N267" i="98" s="1"/>
  <c r="N289" i="1"/>
  <c r="N268" i="98" s="1"/>
  <c r="N290" i="1"/>
  <c r="N269" i="98" s="1"/>
  <c r="N291" i="1"/>
  <c r="N270" i="98" s="1"/>
  <c r="N292" i="1"/>
  <c r="N271" i="98" s="1"/>
  <c r="P283" i="1"/>
  <c r="P262" i="98" s="1"/>
  <c r="P284" i="1"/>
  <c r="P263" i="98" s="1"/>
  <c r="P285" i="1"/>
  <c r="P264" i="98" s="1"/>
  <c r="P286" i="1"/>
  <c r="P265" i="98" s="1"/>
  <c r="P287" i="1"/>
  <c r="P266" i="98" s="1"/>
  <c r="P288" i="1"/>
  <c r="P267" i="98" s="1"/>
  <c r="P289" i="1"/>
  <c r="P268" i="98" s="1"/>
  <c r="P290" i="1"/>
  <c r="P269" i="98" s="1"/>
  <c r="P291" i="1"/>
  <c r="P270" i="98" s="1"/>
  <c r="P292" i="1"/>
  <c r="P271" i="98" s="1"/>
  <c r="A83" i="6"/>
  <c r="A84" i="6"/>
  <c r="A85" i="6"/>
  <c r="C83" i="6"/>
  <c r="E83" i="6" s="1"/>
  <c r="C84" i="6"/>
  <c r="E84" i="6" s="1"/>
  <c r="C85" i="6"/>
  <c r="E85" i="6" s="1"/>
  <c r="K83" i="6"/>
  <c r="N83" i="6" s="1"/>
  <c r="O83" i="6" s="1"/>
  <c r="K84" i="6"/>
  <c r="N84" i="6" s="1"/>
  <c r="O84" i="6" s="1"/>
  <c r="K85" i="6"/>
  <c r="N85" i="6" s="1"/>
  <c r="O85" i="6" s="1"/>
  <c r="A17" i="5"/>
  <c r="A18" i="5"/>
  <c r="C17" i="5"/>
  <c r="E17" i="5" s="1"/>
  <c r="C18" i="5"/>
  <c r="E18" i="5" s="1"/>
  <c r="A276" i="1"/>
  <c r="A255" i="98" s="1"/>
  <c r="A277" i="1"/>
  <c r="A256" i="98" s="1"/>
  <c r="A278" i="1"/>
  <c r="A257" i="98" s="1"/>
  <c r="A279" i="1"/>
  <c r="A258" i="98" s="1"/>
  <c r="A280" i="1"/>
  <c r="A259" i="98" s="1"/>
  <c r="A281" i="1"/>
  <c r="A260" i="98" s="1"/>
  <c r="A282" i="1"/>
  <c r="A261" i="98" s="1"/>
  <c r="C276" i="1"/>
  <c r="C255" i="98" s="1"/>
  <c r="C277" i="1"/>
  <c r="C256" i="98" s="1"/>
  <c r="C278" i="1"/>
  <c r="C257" i="98" s="1"/>
  <c r="C279" i="1"/>
  <c r="C258" i="98" s="1"/>
  <c r="C280" i="1"/>
  <c r="C259" i="98" s="1"/>
  <c r="C281" i="1"/>
  <c r="C260" i="98" s="1"/>
  <c r="C282" i="1"/>
  <c r="C261" i="98" s="1"/>
  <c r="K276" i="1"/>
  <c r="K255" i="98" s="1"/>
  <c r="K277" i="1"/>
  <c r="K256" i="98" s="1"/>
  <c r="K278" i="1"/>
  <c r="K257" i="98" s="1"/>
  <c r="K279" i="1"/>
  <c r="K258" i="98" s="1"/>
  <c r="K280" i="1"/>
  <c r="K259" i="98" s="1"/>
  <c r="K281" i="1"/>
  <c r="K260" i="98" s="1"/>
  <c r="K282" i="1"/>
  <c r="K261" i="98" s="1"/>
  <c r="M276" i="1"/>
  <c r="M255" i="98" s="1"/>
  <c r="M277" i="1"/>
  <c r="M256" i="98" s="1"/>
  <c r="M278" i="1"/>
  <c r="M257" i="98" s="1"/>
  <c r="M279" i="1"/>
  <c r="M258" i="98" s="1"/>
  <c r="M280" i="1"/>
  <c r="M259" i="98" s="1"/>
  <c r="M281" i="1"/>
  <c r="M260" i="98" s="1"/>
  <c r="M282" i="1"/>
  <c r="M261" i="98" s="1"/>
  <c r="N276" i="1"/>
  <c r="N255" i="98" s="1"/>
  <c r="N277" i="1"/>
  <c r="N256" i="98" s="1"/>
  <c r="N278" i="1"/>
  <c r="N257" i="98" s="1"/>
  <c r="N279" i="1"/>
  <c r="N258" i="98" s="1"/>
  <c r="N280" i="1"/>
  <c r="N259" i="98" s="1"/>
  <c r="N281" i="1"/>
  <c r="N260" i="98" s="1"/>
  <c r="N282" i="1"/>
  <c r="N261" i="98" s="1"/>
  <c r="P276" i="1"/>
  <c r="P255" i="98" s="1"/>
  <c r="P277" i="1"/>
  <c r="P256" i="98" s="1"/>
  <c r="P278" i="1"/>
  <c r="P257" i="98" s="1"/>
  <c r="P279" i="1"/>
  <c r="P258" i="98" s="1"/>
  <c r="P280" i="1"/>
  <c r="P259" i="98" s="1"/>
  <c r="P281" i="1"/>
  <c r="P260" i="98" s="1"/>
  <c r="P282" i="1"/>
  <c r="P261" i="98" s="1"/>
  <c r="A16" i="5"/>
  <c r="C16" i="5"/>
  <c r="E16" i="5" s="1"/>
  <c r="A253" i="1"/>
  <c r="A232" i="98" s="1"/>
  <c r="C253" i="1"/>
  <c r="C232" i="98" s="1"/>
  <c r="K253" i="1"/>
  <c r="K232" i="98" s="1"/>
  <c r="M253" i="1"/>
  <c r="M232" i="98" s="1"/>
  <c r="N253" i="1"/>
  <c r="N232" i="98" s="1"/>
  <c r="P253" i="1"/>
  <c r="P232" i="98" s="1"/>
  <c r="A245" i="1"/>
  <c r="A224" i="98" s="1"/>
  <c r="A246" i="1"/>
  <c r="A225" i="98" s="1"/>
  <c r="A247" i="1"/>
  <c r="A226" i="98" s="1"/>
  <c r="A248" i="1"/>
  <c r="A227" i="98" s="1"/>
  <c r="A249" i="1"/>
  <c r="A228" i="98" s="1"/>
  <c r="A250" i="1"/>
  <c r="A229" i="98" s="1"/>
  <c r="A251" i="1"/>
  <c r="A230" i="98" s="1"/>
  <c r="A252" i="1"/>
  <c r="A231" i="98" s="1"/>
  <c r="C245" i="1"/>
  <c r="C224" i="98" s="1"/>
  <c r="C246" i="1"/>
  <c r="C225" i="98" s="1"/>
  <c r="C247" i="1"/>
  <c r="C226" i="98" s="1"/>
  <c r="C248" i="1"/>
  <c r="C227" i="98" s="1"/>
  <c r="C249" i="1"/>
  <c r="C228" i="98" s="1"/>
  <c r="C250" i="1"/>
  <c r="C229" i="98" s="1"/>
  <c r="C251" i="1"/>
  <c r="C230" i="98" s="1"/>
  <c r="C252" i="1"/>
  <c r="C231" i="98" s="1"/>
  <c r="K245" i="1"/>
  <c r="K224" i="98" s="1"/>
  <c r="K246" i="1"/>
  <c r="K225" i="98" s="1"/>
  <c r="K247" i="1"/>
  <c r="K226" i="98" s="1"/>
  <c r="K248" i="1"/>
  <c r="K227" i="98" s="1"/>
  <c r="K249" i="1"/>
  <c r="K228" i="98" s="1"/>
  <c r="K250" i="1"/>
  <c r="K229" i="98" s="1"/>
  <c r="K251" i="1"/>
  <c r="K230" i="98" s="1"/>
  <c r="K252" i="1"/>
  <c r="K231" i="98" s="1"/>
  <c r="M245" i="1"/>
  <c r="M224" i="98" s="1"/>
  <c r="M246" i="1"/>
  <c r="M225" i="98" s="1"/>
  <c r="M247" i="1"/>
  <c r="M226" i="98" s="1"/>
  <c r="M248" i="1"/>
  <c r="M227" i="98" s="1"/>
  <c r="M249" i="1"/>
  <c r="M228" i="98" s="1"/>
  <c r="M250" i="1"/>
  <c r="M229" i="98" s="1"/>
  <c r="M251" i="1"/>
  <c r="M230" i="98" s="1"/>
  <c r="M252" i="1"/>
  <c r="M231" i="98" s="1"/>
  <c r="N245" i="1"/>
  <c r="N224" i="98" s="1"/>
  <c r="N246" i="1"/>
  <c r="N225" i="98" s="1"/>
  <c r="N247" i="1"/>
  <c r="N226" i="98" s="1"/>
  <c r="N248" i="1"/>
  <c r="N227" i="98" s="1"/>
  <c r="N249" i="1"/>
  <c r="N228" i="98" s="1"/>
  <c r="N250" i="1"/>
  <c r="N229" i="98" s="1"/>
  <c r="N251" i="1"/>
  <c r="N230" i="98" s="1"/>
  <c r="N252" i="1"/>
  <c r="N231" i="98" s="1"/>
  <c r="P245" i="1"/>
  <c r="P224" i="98" s="1"/>
  <c r="P246" i="1"/>
  <c r="P225" i="98" s="1"/>
  <c r="P247" i="1"/>
  <c r="P226" i="98" s="1"/>
  <c r="P248" i="1"/>
  <c r="P227" i="98" s="1"/>
  <c r="P249" i="1"/>
  <c r="P228" i="98" s="1"/>
  <c r="P250" i="1"/>
  <c r="P229" i="98" s="1"/>
  <c r="P251" i="1"/>
  <c r="P230" i="98" s="1"/>
  <c r="P252" i="1"/>
  <c r="P231" i="98" s="1"/>
  <c r="A227" i="1"/>
  <c r="A206" i="98" s="1"/>
  <c r="A228" i="1"/>
  <c r="A207" i="98" s="1"/>
  <c r="A229" i="1"/>
  <c r="A208" i="98" s="1"/>
  <c r="A230" i="1"/>
  <c r="A209" i="98" s="1"/>
  <c r="A231" i="1"/>
  <c r="A210" i="98" s="1"/>
  <c r="A232" i="1"/>
  <c r="A211" i="98" s="1"/>
  <c r="A233" i="1"/>
  <c r="A212" i="98" s="1"/>
  <c r="A234" i="1"/>
  <c r="A213" i="98" s="1"/>
  <c r="A235" i="1"/>
  <c r="A214" i="98" s="1"/>
  <c r="A236" i="1"/>
  <c r="A215" i="98" s="1"/>
  <c r="A237" i="1"/>
  <c r="A216" i="98" s="1"/>
  <c r="A238" i="1"/>
  <c r="A217" i="98" s="1"/>
  <c r="A239" i="1"/>
  <c r="A218" i="98" s="1"/>
  <c r="A240" i="1"/>
  <c r="A219" i="98" s="1"/>
  <c r="A241" i="1"/>
  <c r="A220" i="98" s="1"/>
  <c r="A242" i="1"/>
  <c r="A221" i="98" s="1"/>
  <c r="C227" i="1"/>
  <c r="C206" i="98" s="1"/>
  <c r="C228" i="1"/>
  <c r="C207" i="98" s="1"/>
  <c r="C229" i="1"/>
  <c r="C208" i="98" s="1"/>
  <c r="C230" i="1"/>
  <c r="C209" i="98" s="1"/>
  <c r="C231" i="1"/>
  <c r="C210" i="98" s="1"/>
  <c r="C232" i="1"/>
  <c r="C211" i="98" s="1"/>
  <c r="C233" i="1"/>
  <c r="C212" i="98" s="1"/>
  <c r="C234" i="1"/>
  <c r="C213" i="98" s="1"/>
  <c r="C235" i="1"/>
  <c r="C214" i="98" s="1"/>
  <c r="C236" i="1"/>
  <c r="C215" i="98" s="1"/>
  <c r="C237" i="1"/>
  <c r="C216" i="98" s="1"/>
  <c r="C238" i="1"/>
  <c r="C217" i="98" s="1"/>
  <c r="C239" i="1"/>
  <c r="C218" i="98" s="1"/>
  <c r="C240" i="1"/>
  <c r="C219" i="98" s="1"/>
  <c r="C241" i="1"/>
  <c r="C220" i="98" s="1"/>
  <c r="C242" i="1"/>
  <c r="C221" i="98" s="1"/>
  <c r="K227" i="1"/>
  <c r="K206" i="98" s="1"/>
  <c r="K228" i="1"/>
  <c r="K207" i="98" s="1"/>
  <c r="K229" i="1"/>
  <c r="K208" i="98" s="1"/>
  <c r="K230" i="1"/>
  <c r="K209" i="98" s="1"/>
  <c r="K231" i="1"/>
  <c r="K210" i="98" s="1"/>
  <c r="K232" i="1"/>
  <c r="K211" i="98" s="1"/>
  <c r="K233" i="1"/>
  <c r="K212" i="98" s="1"/>
  <c r="K234" i="1"/>
  <c r="K213" i="98" s="1"/>
  <c r="K235" i="1"/>
  <c r="K214" i="98" s="1"/>
  <c r="K236" i="1"/>
  <c r="K215" i="98" s="1"/>
  <c r="K237" i="1"/>
  <c r="K216" i="98" s="1"/>
  <c r="K238" i="1"/>
  <c r="K217" i="98" s="1"/>
  <c r="K239" i="1"/>
  <c r="K218" i="98" s="1"/>
  <c r="K240" i="1"/>
  <c r="K219" i="98" s="1"/>
  <c r="K241" i="1"/>
  <c r="K220" i="98" s="1"/>
  <c r="K242" i="1"/>
  <c r="K221" i="98" s="1"/>
  <c r="M227" i="1"/>
  <c r="M206" i="98" s="1"/>
  <c r="M228" i="1"/>
  <c r="M207" i="98" s="1"/>
  <c r="M229" i="1"/>
  <c r="M208" i="98" s="1"/>
  <c r="M230" i="1"/>
  <c r="M209" i="98" s="1"/>
  <c r="M231" i="1"/>
  <c r="M210" i="98" s="1"/>
  <c r="M232" i="1"/>
  <c r="M211" i="98" s="1"/>
  <c r="M233" i="1"/>
  <c r="M212" i="98" s="1"/>
  <c r="M234" i="1"/>
  <c r="M213" i="98" s="1"/>
  <c r="M235" i="1"/>
  <c r="M214" i="98" s="1"/>
  <c r="M236" i="1"/>
  <c r="M215" i="98" s="1"/>
  <c r="M237" i="1"/>
  <c r="M216" i="98" s="1"/>
  <c r="M238" i="1"/>
  <c r="M217" i="98" s="1"/>
  <c r="M239" i="1"/>
  <c r="M218" i="98" s="1"/>
  <c r="M240" i="1"/>
  <c r="M219" i="98" s="1"/>
  <c r="M241" i="1"/>
  <c r="M220" i="98" s="1"/>
  <c r="M242" i="1"/>
  <c r="M221" i="98" s="1"/>
  <c r="N227" i="1"/>
  <c r="N206" i="98" s="1"/>
  <c r="N228" i="1"/>
  <c r="N207" i="98" s="1"/>
  <c r="N229" i="1"/>
  <c r="N208" i="98" s="1"/>
  <c r="N230" i="1"/>
  <c r="N209" i="98" s="1"/>
  <c r="N231" i="1"/>
  <c r="N210" i="98" s="1"/>
  <c r="N232" i="1"/>
  <c r="N211" i="98" s="1"/>
  <c r="N233" i="1"/>
  <c r="N212" i="98" s="1"/>
  <c r="N234" i="1"/>
  <c r="N213" i="98" s="1"/>
  <c r="N235" i="1"/>
  <c r="N214" i="98" s="1"/>
  <c r="N236" i="1"/>
  <c r="N215" i="98" s="1"/>
  <c r="N237" i="1"/>
  <c r="N216" i="98" s="1"/>
  <c r="N238" i="1"/>
  <c r="N217" i="98" s="1"/>
  <c r="N239" i="1"/>
  <c r="N218" i="98" s="1"/>
  <c r="N240" i="1"/>
  <c r="N219" i="98" s="1"/>
  <c r="N241" i="1"/>
  <c r="N220" i="98" s="1"/>
  <c r="N242" i="1"/>
  <c r="N221" i="98" s="1"/>
  <c r="P227" i="1"/>
  <c r="P206" i="98" s="1"/>
  <c r="P228" i="1"/>
  <c r="P207" i="98" s="1"/>
  <c r="P229" i="1"/>
  <c r="P208" i="98" s="1"/>
  <c r="P230" i="1"/>
  <c r="P209" i="98" s="1"/>
  <c r="P231" i="1"/>
  <c r="P210" i="98" s="1"/>
  <c r="P232" i="1"/>
  <c r="P211" i="98" s="1"/>
  <c r="P233" i="1"/>
  <c r="P212" i="98" s="1"/>
  <c r="P234" i="1"/>
  <c r="P213" i="98" s="1"/>
  <c r="P235" i="1"/>
  <c r="P214" i="98" s="1"/>
  <c r="P236" i="1"/>
  <c r="P215" i="98" s="1"/>
  <c r="P237" i="1"/>
  <c r="P216" i="98" s="1"/>
  <c r="P238" i="1"/>
  <c r="P217" i="98" s="1"/>
  <c r="P239" i="1"/>
  <c r="P218" i="98" s="1"/>
  <c r="P240" i="1"/>
  <c r="P219" i="98" s="1"/>
  <c r="P241" i="1"/>
  <c r="P220" i="98" s="1"/>
  <c r="P242" i="1"/>
  <c r="P221" i="98" s="1"/>
  <c r="A226" i="1"/>
  <c r="A205" i="98" s="1"/>
  <c r="C226" i="1"/>
  <c r="C205" i="98" s="1"/>
  <c r="K226" i="1"/>
  <c r="K205" i="98" s="1"/>
  <c r="M226" i="1"/>
  <c r="M205" i="98" s="1"/>
  <c r="N226" i="1"/>
  <c r="N205" i="98" s="1"/>
  <c r="P226" i="1"/>
  <c r="P205" i="98" s="1"/>
  <c r="A244" i="1"/>
  <c r="A223" i="98" s="1"/>
  <c r="C244" i="1"/>
  <c r="C223" i="98" s="1"/>
  <c r="K244" i="1"/>
  <c r="K223" i="98" s="1"/>
  <c r="M244" i="1"/>
  <c r="M223" i="98" s="1"/>
  <c r="N244" i="1"/>
  <c r="N223" i="98" s="1"/>
  <c r="P244" i="1"/>
  <c r="P223" i="98" s="1"/>
  <c r="A78" i="6"/>
  <c r="A79" i="6"/>
  <c r="A80" i="6"/>
  <c r="A81" i="6"/>
  <c r="A82" i="6"/>
  <c r="C78" i="6"/>
  <c r="E78" i="6" s="1"/>
  <c r="C79" i="6"/>
  <c r="E79" i="6" s="1"/>
  <c r="C80" i="6"/>
  <c r="E80" i="6" s="1"/>
  <c r="C81" i="6"/>
  <c r="E81" i="6" s="1"/>
  <c r="C82" i="6"/>
  <c r="E82" i="6" s="1"/>
  <c r="K78" i="6"/>
  <c r="N78" i="6" s="1"/>
  <c r="O78" i="6" s="1"/>
  <c r="K79" i="6"/>
  <c r="N79" i="6" s="1"/>
  <c r="O79" i="6" s="1"/>
  <c r="K80" i="6"/>
  <c r="N80" i="6" s="1"/>
  <c r="O80" i="6" s="1"/>
  <c r="K81" i="6"/>
  <c r="N81" i="6" s="1"/>
  <c r="O81" i="6" s="1"/>
  <c r="K82" i="6"/>
  <c r="N82" i="6" s="1"/>
  <c r="O82" i="6" s="1"/>
  <c r="A77" i="6"/>
  <c r="C77" i="6"/>
  <c r="E77" i="6" s="1"/>
  <c r="K77" i="6"/>
  <c r="N77" i="6" s="1"/>
  <c r="O77" i="6" s="1"/>
  <c r="A216" i="1"/>
  <c r="A195" i="98" s="1"/>
  <c r="A217" i="1"/>
  <c r="A196" i="98" s="1"/>
  <c r="A218" i="1"/>
  <c r="A197" i="98" s="1"/>
  <c r="A219" i="1"/>
  <c r="A198" i="98" s="1"/>
  <c r="A220" i="1"/>
  <c r="A199" i="98" s="1"/>
  <c r="A221" i="1"/>
  <c r="A200" i="98" s="1"/>
  <c r="A222" i="1"/>
  <c r="A201" i="98" s="1"/>
  <c r="A223" i="1"/>
  <c r="A202" i="98" s="1"/>
  <c r="A224" i="1"/>
  <c r="A203" i="98" s="1"/>
  <c r="C216" i="1"/>
  <c r="C195" i="98" s="1"/>
  <c r="C217" i="1"/>
  <c r="C196" i="98" s="1"/>
  <c r="C218" i="1"/>
  <c r="C197" i="98" s="1"/>
  <c r="C219" i="1"/>
  <c r="C198" i="98" s="1"/>
  <c r="C220" i="1"/>
  <c r="C199" i="98" s="1"/>
  <c r="C221" i="1"/>
  <c r="C200" i="98" s="1"/>
  <c r="C222" i="1"/>
  <c r="C201" i="98" s="1"/>
  <c r="C223" i="1"/>
  <c r="C202" i="98" s="1"/>
  <c r="C224" i="1"/>
  <c r="C203" i="98" s="1"/>
  <c r="K216" i="1"/>
  <c r="K195" i="98" s="1"/>
  <c r="K217" i="1"/>
  <c r="K196" i="98" s="1"/>
  <c r="K218" i="1"/>
  <c r="K197" i="98" s="1"/>
  <c r="K219" i="1"/>
  <c r="K198" i="98" s="1"/>
  <c r="K220" i="1"/>
  <c r="K199" i="98" s="1"/>
  <c r="K221" i="1"/>
  <c r="K200" i="98" s="1"/>
  <c r="K222" i="1"/>
  <c r="K201" i="98" s="1"/>
  <c r="K223" i="1"/>
  <c r="K202" i="98" s="1"/>
  <c r="K224" i="1"/>
  <c r="K203" i="98" s="1"/>
  <c r="M216" i="1"/>
  <c r="M195" i="98" s="1"/>
  <c r="M217" i="1"/>
  <c r="M196" i="98" s="1"/>
  <c r="M218" i="1"/>
  <c r="M197" i="98" s="1"/>
  <c r="M219" i="1"/>
  <c r="M198" i="98" s="1"/>
  <c r="M220" i="1"/>
  <c r="M199" i="98" s="1"/>
  <c r="M221" i="1"/>
  <c r="M200" i="98" s="1"/>
  <c r="M222" i="1"/>
  <c r="M201" i="98" s="1"/>
  <c r="M223" i="1"/>
  <c r="M202" i="98" s="1"/>
  <c r="M224" i="1"/>
  <c r="M203" i="98" s="1"/>
  <c r="N216" i="1"/>
  <c r="N195" i="98" s="1"/>
  <c r="N217" i="1"/>
  <c r="N196" i="98" s="1"/>
  <c r="N218" i="1"/>
  <c r="N197" i="98" s="1"/>
  <c r="N219" i="1"/>
  <c r="N198" i="98" s="1"/>
  <c r="N220" i="1"/>
  <c r="N199" i="98" s="1"/>
  <c r="N221" i="1"/>
  <c r="N200" i="98" s="1"/>
  <c r="N222" i="1"/>
  <c r="N201" i="98" s="1"/>
  <c r="N223" i="1"/>
  <c r="N202" i="98" s="1"/>
  <c r="N224" i="1"/>
  <c r="N203" i="98" s="1"/>
  <c r="P216" i="1"/>
  <c r="P195" i="98" s="1"/>
  <c r="P217" i="1"/>
  <c r="P196" i="98" s="1"/>
  <c r="P218" i="1"/>
  <c r="P197" i="98" s="1"/>
  <c r="P219" i="1"/>
  <c r="P198" i="98" s="1"/>
  <c r="P220" i="1"/>
  <c r="P199" i="98" s="1"/>
  <c r="P221" i="1"/>
  <c r="P200" i="98" s="1"/>
  <c r="P222" i="1"/>
  <c r="P201" i="98" s="1"/>
  <c r="P223" i="1"/>
  <c r="P202" i="98" s="1"/>
  <c r="P224" i="1"/>
  <c r="P203" i="98" s="1"/>
  <c r="A204" i="1"/>
  <c r="A183" i="98" s="1"/>
  <c r="A205" i="1"/>
  <c r="A184" i="98" s="1"/>
  <c r="A206" i="1"/>
  <c r="A185" i="98" s="1"/>
  <c r="A207" i="1"/>
  <c r="A186" i="98" s="1"/>
  <c r="A208" i="1"/>
  <c r="A187" i="98" s="1"/>
  <c r="A209" i="1"/>
  <c r="A188" i="98" s="1"/>
  <c r="A210" i="1"/>
  <c r="A189" i="98" s="1"/>
  <c r="A211" i="1"/>
  <c r="A190" i="98" s="1"/>
  <c r="A212" i="1"/>
  <c r="A191" i="98" s="1"/>
  <c r="A213" i="1"/>
  <c r="A192" i="98" s="1"/>
  <c r="A214" i="1"/>
  <c r="A193" i="98" s="1"/>
  <c r="A215" i="1"/>
  <c r="A194" i="98" s="1"/>
  <c r="C204" i="1"/>
  <c r="C183" i="98" s="1"/>
  <c r="C205" i="1"/>
  <c r="C184" i="98" s="1"/>
  <c r="C206" i="1"/>
  <c r="C185" i="98" s="1"/>
  <c r="C207" i="1"/>
  <c r="C186" i="98" s="1"/>
  <c r="C208" i="1"/>
  <c r="C187" i="98" s="1"/>
  <c r="C209" i="1"/>
  <c r="C188" i="98" s="1"/>
  <c r="C210" i="1"/>
  <c r="C189" i="98" s="1"/>
  <c r="C211" i="1"/>
  <c r="C190" i="98" s="1"/>
  <c r="C212" i="1"/>
  <c r="C191" i="98" s="1"/>
  <c r="C213" i="1"/>
  <c r="C192" i="98" s="1"/>
  <c r="C214" i="1"/>
  <c r="C193" i="98" s="1"/>
  <c r="C215" i="1"/>
  <c r="C194" i="98" s="1"/>
  <c r="K204" i="1"/>
  <c r="K183" i="98" s="1"/>
  <c r="K205" i="1"/>
  <c r="K184" i="98" s="1"/>
  <c r="K206" i="1"/>
  <c r="K185" i="98" s="1"/>
  <c r="K207" i="1"/>
  <c r="K186" i="98" s="1"/>
  <c r="K208" i="1"/>
  <c r="K187" i="98" s="1"/>
  <c r="K209" i="1"/>
  <c r="K188" i="98" s="1"/>
  <c r="K210" i="1"/>
  <c r="K189" i="98" s="1"/>
  <c r="K211" i="1"/>
  <c r="K190" i="98" s="1"/>
  <c r="K212" i="1"/>
  <c r="K191" i="98" s="1"/>
  <c r="K213" i="1"/>
  <c r="K192" i="98" s="1"/>
  <c r="K214" i="1"/>
  <c r="K193" i="98" s="1"/>
  <c r="K215" i="1"/>
  <c r="K194" i="98" s="1"/>
  <c r="M204" i="1"/>
  <c r="M183" i="98" s="1"/>
  <c r="M205" i="1"/>
  <c r="M184" i="98" s="1"/>
  <c r="M206" i="1"/>
  <c r="M185" i="98" s="1"/>
  <c r="M207" i="1"/>
  <c r="M186" i="98" s="1"/>
  <c r="M208" i="1"/>
  <c r="M187" i="98" s="1"/>
  <c r="M209" i="1"/>
  <c r="M188" i="98" s="1"/>
  <c r="M210" i="1"/>
  <c r="M189" i="98" s="1"/>
  <c r="M211" i="1"/>
  <c r="M190" i="98" s="1"/>
  <c r="M212" i="1"/>
  <c r="M191" i="98" s="1"/>
  <c r="M213" i="1"/>
  <c r="M192" i="98" s="1"/>
  <c r="M214" i="1"/>
  <c r="M193" i="98" s="1"/>
  <c r="M215" i="1"/>
  <c r="M194" i="98" s="1"/>
  <c r="N204" i="1"/>
  <c r="N183" i="98" s="1"/>
  <c r="N205" i="1"/>
  <c r="N184" i="98" s="1"/>
  <c r="N206" i="1"/>
  <c r="N185" i="98" s="1"/>
  <c r="N207" i="1"/>
  <c r="N186" i="98" s="1"/>
  <c r="N208" i="1"/>
  <c r="N187" i="98" s="1"/>
  <c r="N209" i="1"/>
  <c r="N188" i="98" s="1"/>
  <c r="N210" i="1"/>
  <c r="N189" i="98" s="1"/>
  <c r="N211" i="1"/>
  <c r="N190" i="98" s="1"/>
  <c r="N212" i="1"/>
  <c r="N191" i="98" s="1"/>
  <c r="N213" i="1"/>
  <c r="N192" i="98" s="1"/>
  <c r="N214" i="1"/>
  <c r="N193" i="98" s="1"/>
  <c r="N215" i="1"/>
  <c r="N194" i="98" s="1"/>
  <c r="P204" i="1"/>
  <c r="P183" i="98" s="1"/>
  <c r="P205" i="1"/>
  <c r="P184" i="98" s="1"/>
  <c r="P206" i="1"/>
  <c r="P185" i="98" s="1"/>
  <c r="P207" i="1"/>
  <c r="P186" i="98" s="1"/>
  <c r="P208" i="1"/>
  <c r="P187" i="98" s="1"/>
  <c r="P209" i="1"/>
  <c r="P188" i="98" s="1"/>
  <c r="P210" i="1"/>
  <c r="P189" i="98" s="1"/>
  <c r="P211" i="1"/>
  <c r="P190" i="98" s="1"/>
  <c r="P212" i="1"/>
  <c r="P191" i="98" s="1"/>
  <c r="P213" i="1"/>
  <c r="P192" i="98" s="1"/>
  <c r="P214" i="1"/>
  <c r="P193" i="98" s="1"/>
  <c r="P215" i="1"/>
  <c r="P194" i="98" s="1"/>
  <c r="A74" i="6"/>
  <c r="A75" i="6"/>
  <c r="A76" i="6"/>
  <c r="C74" i="6"/>
  <c r="E74" i="6" s="1"/>
  <c r="C75" i="6"/>
  <c r="E75" i="6" s="1"/>
  <c r="C76" i="6"/>
  <c r="E76" i="6" s="1"/>
  <c r="K74" i="6"/>
  <c r="N74" i="6" s="1"/>
  <c r="O74" i="6" s="1"/>
  <c r="K75" i="6"/>
  <c r="N75" i="6" s="1"/>
  <c r="O75" i="6" s="1"/>
  <c r="K76" i="6"/>
  <c r="N76" i="6" s="1"/>
  <c r="O76" i="6" s="1"/>
  <c r="E210" i="1" l="1"/>
  <c r="E189" i="98" s="1"/>
  <c r="E251" i="1"/>
  <c r="E230" i="98" s="1"/>
  <c r="E215" i="1"/>
  <c r="E194" i="98" s="1"/>
  <c r="E207" i="1"/>
  <c r="E186" i="98" s="1"/>
  <c r="E220" i="1"/>
  <c r="E199" i="98" s="1"/>
  <c r="E238" i="1"/>
  <c r="E217" i="98" s="1"/>
  <c r="E230" i="1"/>
  <c r="E209" i="98" s="1"/>
  <c r="E248" i="1"/>
  <c r="E227" i="98" s="1"/>
  <c r="E253" i="1"/>
  <c r="E232" i="98" s="1"/>
  <c r="E282" i="1"/>
  <c r="E261" i="98" s="1"/>
  <c r="E287" i="1"/>
  <c r="E266" i="98" s="1"/>
  <c r="E371" i="1"/>
  <c r="E344" i="98" s="1"/>
  <c r="E374" i="1"/>
  <c r="E347" i="98" s="1"/>
  <c r="E384" i="1"/>
  <c r="E357" i="98" s="1"/>
  <c r="E381" i="1"/>
  <c r="E354" i="98" s="1"/>
  <c r="E419" i="1"/>
  <c r="E391" i="98" s="1"/>
  <c r="E426" i="1"/>
  <c r="E398" i="98" s="1"/>
  <c r="E423" i="1"/>
  <c r="E395" i="98" s="1"/>
  <c r="E237" i="1"/>
  <c r="E216" i="98" s="1"/>
  <c r="E370" i="1"/>
  <c r="E343" i="98" s="1"/>
  <c r="E418" i="1"/>
  <c r="E390" i="98" s="1"/>
  <c r="E421" i="1"/>
  <c r="E393" i="98" s="1"/>
  <c r="E219" i="1"/>
  <c r="E198" i="98" s="1"/>
  <c r="E229" i="1"/>
  <c r="E208" i="98" s="1"/>
  <c r="E281" i="1"/>
  <c r="E260" i="98" s="1"/>
  <c r="E213" i="1"/>
  <c r="E192" i="98" s="1"/>
  <c r="E205" i="1"/>
  <c r="E184" i="98" s="1"/>
  <c r="E218" i="1"/>
  <c r="E197" i="98" s="1"/>
  <c r="E226" i="1"/>
  <c r="E205" i="98" s="1"/>
  <c r="E236" i="1"/>
  <c r="E215" i="98" s="1"/>
  <c r="E228" i="1"/>
  <c r="E207" i="98" s="1"/>
  <c r="E246" i="1"/>
  <c r="E225" i="98" s="1"/>
  <c r="E280" i="1"/>
  <c r="E259" i="98" s="1"/>
  <c r="E285" i="1"/>
  <c r="E264" i="98" s="1"/>
  <c r="E369" i="1"/>
  <c r="E342" i="98" s="1"/>
  <c r="E363" i="1"/>
  <c r="E336" i="98" s="1"/>
  <c r="E383" i="1"/>
  <c r="E356" i="98" s="1"/>
  <c r="E380" i="1"/>
  <c r="E353" i="98" s="1"/>
  <c r="E364" i="1"/>
  <c r="E337" i="98" s="1"/>
  <c r="E212" i="1"/>
  <c r="E191" i="98" s="1"/>
  <c r="E204" i="1"/>
  <c r="E183" i="98" s="1"/>
  <c r="E217" i="1"/>
  <c r="E196" i="98" s="1"/>
  <c r="E235" i="1"/>
  <c r="E214" i="98" s="1"/>
  <c r="E227" i="1"/>
  <c r="E206" i="98" s="1"/>
  <c r="E245" i="1"/>
  <c r="E224" i="98" s="1"/>
  <c r="E279" i="1"/>
  <c r="E258" i="98" s="1"/>
  <c r="E292" i="1"/>
  <c r="E271" i="98" s="1"/>
  <c r="E284" i="1"/>
  <c r="E263" i="98" s="1"/>
  <c r="E368" i="1"/>
  <c r="E341" i="98" s="1"/>
  <c r="E362" i="1"/>
  <c r="E335" i="98" s="1"/>
  <c r="E422" i="1"/>
  <c r="E394" i="98" s="1"/>
  <c r="E214" i="1"/>
  <c r="E193" i="98" s="1"/>
  <c r="E247" i="1"/>
  <c r="E226" i="98" s="1"/>
  <c r="E286" i="1"/>
  <c r="E265" i="98" s="1"/>
  <c r="E211" i="1"/>
  <c r="E190" i="98" s="1"/>
  <c r="E224" i="1"/>
  <c r="E203" i="98" s="1"/>
  <c r="E216" i="1"/>
  <c r="E195" i="98" s="1"/>
  <c r="E244" i="1"/>
  <c r="E223" i="98" s="1"/>
  <c r="E242" i="1"/>
  <c r="E221" i="98" s="1"/>
  <c r="E234" i="1"/>
  <c r="E213" i="98" s="1"/>
  <c r="E252" i="1"/>
  <c r="E231" i="98" s="1"/>
  <c r="E278" i="1"/>
  <c r="E257" i="98" s="1"/>
  <c r="E291" i="1"/>
  <c r="E270" i="98" s="1"/>
  <c r="E283" i="1"/>
  <c r="E262" i="98" s="1"/>
  <c r="E367" i="1"/>
  <c r="E340" i="98" s="1"/>
  <c r="E361" i="1"/>
  <c r="E334" i="98" s="1"/>
  <c r="E377" i="1"/>
  <c r="E350" i="98" s="1"/>
  <c r="E379" i="1"/>
  <c r="E352" i="98" s="1"/>
  <c r="E417" i="1"/>
  <c r="E389" i="98" s="1"/>
  <c r="E425" i="1"/>
  <c r="E397" i="98" s="1"/>
  <c r="E206" i="1"/>
  <c r="E185" i="98" s="1"/>
  <c r="E277" i="1"/>
  <c r="E256" i="98" s="1"/>
  <c r="E290" i="1"/>
  <c r="E269" i="98" s="1"/>
  <c r="E366" i="1"/>
  <c r="E339" i="98" s="1"/>
  <c r="E360" i="1"/>
  <c r="E333" i="98" s="1"/>
  <c r="E241" i="1"/>
  <c r="E220" i="98" s="1"/>
  <c r="E209" i="1"/>
  <c r="E188" i="98" s="1"/>
  <c r="E222" i="1"/>
  <c r="E201" i="98" s="1"/>
  <c r="E240" i="1"/>
  <c r="E219" i="98" s="1"/>
  <c r="E232" i="1"/>
  <c r="E211" i="98" s="1"/>
  <c r="E250" i="1"/>
  <c r="E229" i="98" s="1"/>
  <c r="E276" i="1"/>
  <c r="E255" i="98" s="1"/>
  <c r="E289" i="1"/>
  <c r="E268" i="98" s="1"/>
  <c r="E365" i="1"/>
  <c r="E338" i="98" s="1"/>
  <c r="E373" i="1"/>
  <c r="E346" i="98" s="1"/>
  <c r="E376" i="1"/>
  <c r="E349" i="98" s="1"/>
  <c r="E359" i="1"/>
  <c r="E332" i="98" s="1"/>
  <c r="E378" i="1"/>
  <c r="E351" i="98" s="1"/>
  <c r="E382" i="1"/>
  <c r="E355" i="98" s="1"/>
  <c r="E424" i="1"/>
  <c r="E396" i="98" s="1"/>
  <c r="E223" i="1"/>
  <c r="E202" i="98" s="1"/>
  <c r="E233" i="1"/>
  <c r="E212" i="98" s="1"/>
  <c r="E208" i="1"/>
  <c r="E187" i="98" s="1"/>
  <c r="E221" i="1"/>
  <c r="E200" i="98" s="1"/>
  <c r="E239" i="1"/>
  <c r="E218" i="98" s="1"/>
  <c r="E231" i="1"/>
  <c r="E210" i="98" s="1"/>
  <c r="E249" i="1"/>
  <c r="E228" i="98" s="1"/>
  <c r="E288" i="1"/>
  <c r="E267" i="98" s="1"/>
  <c r="E372" i="1"/>
  <c r="E345" i="98" s="1"/>
  <c r="E375" i="1"/>
  <c r="E348" i="98" s="1"/>
  <c r="E420" i="1"/>
  <c r="E392" i="98" s="1"/>
  <c r="E427" i="1"/>
  <c r="E399" i="98" s="1"/>
  <c r="A118" i="1"/>
  <c r="C118" i="1"/>
  <c r="E118" i="1" s="1"/>
  <c r="K118" i="1"/>
  <c r="M118" i="1"/>
  <c r="N118" i="1"/>
  <c r="P118" i="1"/>
  <c r="A119" i="1"/>
  <c r="A103" i="98" s="1"/>
  <c r="C119" i="1"/>
  <c r="C103" i="98" s="1"/>
  <c r="K119" i="1"/>
  <c r="K103" i="98" s="1"/>
  <c r="M119" i="1"/>
  <c r="M103" i="98" s="1"/>
  <c r="N119" i="1"/>
  <c r="N103" i="98" s="1"/>
  <c r="P119" i="1"/>
  <c r="P103" i="98" s="1"/>
  <c r="A112" i="1"/>
  <c r="A98" i="98" s="1"/>
  <c r="C112" i="1"/>
  <c r="C98" i="98" s="1"/>
  <c r="K112" i="1"/>
  <c r="K98" i="98" s="1"/>
  <c r="M112" i="1"/>
  <c r="M98" i="98" s="1"/>
  <c r="N112" i="1"/>
  <c r="N98" i="98" s="1"/>
  <c r="P112" i="1"/>
  <c r="P98" i="98" s="1"/>
  <c r="A15" i="5"/>
  <c r="C15" i="5"/>
  <c r="E15" i="5" s="1"/>
  <c r="A14" i="5"/>
  <c r="C14" i="5"/>
  <c r="E14" i="5" s="1"/>
  <c r="A2" i="5"/>
  <c r="A3" i="5"/>
  <c r="A4" i="5"/>
  <c r="A5" i="5"/>
  <c r="A6" i="5"/>
  <c r="A7" i="5"/>
  <c r="A8" i="5"/>
  <c r="A9" i="5"/>
  <c r="A10" i="5"/>
  <c r="A11" i="5"/>
  <c r="A12" i="5"/>
  <c r="A13" i="5"/>
  <c r="C2" i="5"/>
  <c r="E2" i="5" s="1"/>
  <c r="C3" i="5"/>
  <c r="E3" i="5" s="1"/>
  <c r="C4" i="5"/>
  <c r="E4" i="5" s="1"/>
  <c r="C5" i="5"/>
  <c r="E5" i="5" s="1"/>
  <c r="C6" i="5"/>
  <c r="E6" i="5" s="1"/>
  <c r="C7" i="5"/>
  <c r="E7" i="5" s="1"/>
  <c r="C8" i="5"/>
  <c r="E8" i="5" s="1"/>
  <c r="C9" i="5"/>
  <c r="E9" i="5" s="1"/>
  <c r="C10" i="5"/>
  <c r="E10" i="5" s="1"/>
  <c r="C11" i="5"/>
  <c r="E11" i="5" s="1"/>
  <c r="C12" i="5"/>
  <c r="E12" i="5" s="1"/>
  <c r="C13" i="5"/>
  <c r="E13" i="5" s="1"/>
  <c r="A201" i="1"/>
  <c r="A180" i="98" s="1"/>
  <c r="A202" i="1"/>
  <c r="A181" i="98" s="1"/>
  <c r="C201" i="1"/>
  <c r="C180" i="98" s="1"/>
  <c r="C202" i="1"/>
  <c r="C181" i="98" s="1"/>
  <c r="K201" i="1"/>
  <c r="K180" i="98" s="1"/>
  <c r="K202" i="1"/>
  <c r="K181" i="98" s="1"/>
  <c r="M201" i="1"/>
  <c r="M180" i="98" s="1"/>
  <c r="M202" i="1"/>
  <c r="M181" i="98" s="1"/>
  <c r="N201" i="1"/>
  <c r="N180" i="98" s="1"/>
  <c r="N202" i="1"/>
  <c r="N181" i="98" s="1"/>
  <c r="P201" i="1"/>
  <c r="P180" i="98" s="1"/>
  <c r="P202" i="1"/>
  <c r="P181" i="98" s="1"/>
  <c r="A203" i="1"/>
  <c r="A182" i="98" s="1"/>
  <c r="C203" i="1"/>
  <c r="C182" i="98" s="1"/>
  <c r="K203" i="1"/>
  <c r="K182" i="98" s="1"/>
  <c r="M203" i="1"/>
  <c r="M182" i="98" s="1"/>
  <c r="N203" i="1"/>
  <c r="N182" i="98" s="1"/>
  <c r="P203" i="1"/>
  <c r="P182" i="98" s="1"/>
  <c r="A198" i="1"/>
  <c r="A177" i="98" s="1"/>
  <c r="A199" i="1"/>
  <c r="A178" i="98" s="1"/>
  <c r="A200" i="1"/>
  <c r="A179" i="98" s="1"/>
  <c r="C198" i="1"/>
  <c r="C177" i="98" s="1"/>
  <c r="C199" i="1"/>
  <c r="C178" i="98" s="1"/>
  <c r="C200" i="1"/>
  <c r="C179" i="98" s="1"/>
  <c r="K198" i="1"/>
  <c r="K177" i="98" s="1"/>
  <c r="K199" i="1"/>
  <c r="K178" i="98" s="1"/>
  <c r="K200" i="1"/>
  <c r="K179" i="98" s="1"/>
  <c r="M198" i="1"/>
  <c r="M177" i="98" s="1"/>
  <c r="M199" i="1"/>
  <c r="M178" i="98" s="1"/>
  <c r="M200" i="1"/>
  <c r="M179" i="98" s="1"/>
  <c r="N198" i="1"/>
  <c r="N177" i="98" s="1"/>
  <c r="N199" i="1"/>
  <c r="N178" i="98" s="1"/>
  <c r="N200" i="1"/>
  <c r="N179" i="98" s="1"/>
  <c r="P198" i="1"/>
  <c r="P177" i="98" s="1"/>
  <c r="P199" i="1"/>
  <c r="P178" i="98" s="1"/>
  <c r="P200" i="1"/>
  <c r="P179" i="98" s="1"/>
  <c r="A181" i="1"/>
  <c r="A160" i="98" s="1"/>
  <c r="A182" i="1"/>
  <c r="A161" i="98" s="1"/>
  <c r="A183" i="1"/>
  <c r="A162" i="98" s="1"/>
  <c r="A184" i="1"/>
  <c r="A163" i="98" s="1"/>
  <c r="A185" i="1"/>
  <c r="A164" i="98" s="1"/>
  <c r="A186" i="1"/>
  <c r="A165" i="98" s="1"/>
  <c r="A187" i="1"/>
  <c r="A166" i="98" s="1"/>
  <c r="A188" i="1"/>
  <c r="A167" i="98" s="1"/>
  <c r="A189" i="1"/>
  <c r="A168" i="98" s="1"/>
  <c r="A190" i="1"/>
  <c r="A169" i="98" s="1"/>
  <c r="A191" i="1"/>
  <c r="A170" i="98" s="1"/>
  <c r="A192" i="1"/>
  <c r="A171" i="98" s="1"/>
  <c r="A193" i="1"/>
  <c r="A172" i="98" s="1"/>
  <c r="A194" i="1"/>
  <c r="A173" i="98" s="1"/>
  <c r="C181" i="1"/>
  <c r="C160" i="98" s="1"/>
  <c r="C182" i="1"/>
  <c r="C161" i="98" s="1"/>
  <c r="C183" i="1"/>
  <c r="C162" i="98" s="1"/>
  <c r="C184" i="1"/>
  <c r="C163" i="98" s="1"/>
  <c r="C185" i="1"/>
  <c r="C164" i="98" s="1"/>
  <c r="C186" i="1"/>
  <c r="C165" i="98" s="1"/>
  <c r="C187" i="1"/>
  <c r="C166" i="98" s="1"/>
  <c r="C188" i="1"/>
  <c r="C167" i="98" s="1"/>
  <c r="C189" i="1"/>
  <c r="C168" i="98" s="1"/>
  <c r="C190" i="1"/>
  <c r="C169" i="98" s="1"/>
  <c r="C191" i="1"/>
  <c r="C170" i="98" s="1"/>
  <c r="C192" i="1"/>
  <c r="C171" i="98" s="1"/>
  <c r="C193" i="1"/>
  <c r="C172" i="98" s="1"/>
  <c r="C194" i="1"/>
  <c r="C173" i="98" s="1"/>
  <c r="K181" i="1"/>
  <c r="K160" i="98" s="1"/>
  <c r="K182" i="1"/>
  <c r="K161" i="98" s="1"/>
  <c r="K183" i="1"/>
  <c r="K162" i="98" s="1"/>
  <c r="K184" i="1"/>
  <c r="K163" i="98" s="1"/>
  <c r="K185" i="1"/>
  <c r="K164" i="98" s="1"/>
  <c r="K186" i="1"/>
  <c r="K165" i="98" s="1"/>
  <c r="K187" i="1"/>
  <c r="K166" i="98" s="1"/>
  <c r="K188" i="1"/>
  <c r="K167" i="98" s="1"/>
  <c r="K189" i="1"/>
  <c r="K168" i="98" s="1"/>
  <c r="K190" i="1"/>
  <c r="K169" i="98" s="1"/>
  <c r="K191" i="1"/>
  <c r="K170" i="98" s="1"/>
  <c r="K192" i="1"/>
  <c r="K171" i="98" s="1"/>
  <c r="K193" i="1"/>
  <c r="K172" i="98" s="1"/>
  <c r="K194" i="1"/>
  <c r="K173" i="98" s="1"/>
  <c r="M181" i="1"/>
  <c r="M160" i="98" s="1"/>
  <c r="M182" i="1"/>
  <c r="M161" i="98" s="1"/>
  <c r="M183" i="1"/>
  <c r="M162" i="98" s="1"/>
  <c r="M184" i="1"/>
  <c r="M163" i="98" s="1"/>
  <c r="M185" i="1"/>
  <c r="M164" i="98" s="1"/>
  <c r="M186" i="1"/>
  <c r="M165" i="98" s="1"/>
  <c r="M187" i="1"/>
  <c r="M166" i="98" s="1"/>
  <c r="M188" i="1"/>
  <c r="M167" i="98" s="1"/>
  <c r="M189" i="1"/>
  <c r="M168" i="98" s="1"/>
  <c r="M190" i="1"/>
  <c r="M169" i="98" s="1"/>
  <c r="M191" i="1"/>
  <c r="M170" i="98" s="1"/>
  <c r="M192" i="1"/>
  <c r="M171" i="98" s="1"/>
  <c r="M193" i="1"/>
  <c r="M172" i="98" s="1"/>
  <c r="M194" i="1"/>
  <c r="M173" i="98" s="1"/>
  <c r="N181" i="1"/>
  <c r="N160" i="98" s="1"/>
  <c r="N182" i="1"/>
  <c r="N161" i="98" s="1"/>
  <c r="N183" i="1"/>
  <c r="N162" i="98" s="1"/>
  <c r="N184" i="1"/>
  <c r="N163" i="98" s="1"/>
  <c r="N185" i="1"/>
  <c r="N164" i="98" s="1"/>
  <c r="N186" i="1"/>
  <c r="N165" i="98" s="1"/>
  <c r="N187" i="1"/>
  <c r="N166" i="98" s="1"/>
  <c r="N188" i="1"/>
  <c r="N167" i="98" s="1"/>
  <c r="N189" i="1"/>
  <c r="N168" i="98" s="1"/>
  <c r="N190" i="1"/>
  <c r="N169" i="98" s="1"/>
  <c r="N191" i="1"/>
  <c r="N170" i="98" s="1"/>
  <c r="N192" i="1"/>
  <c r="N171" i="98" s="1"/>
  <c r="N193" i="1"/>
  <c r="N172" i="98" s="1"/>
  <c r="N194" i="1"/>
  <c r="N173" i="98" s="1"/>
  <c r="P181" i="1"/>
  <c r="P160" i="98" s="1"/>
  <c r="P182" i="1"/>
  <c r="P161" i="98" s="1"/>
  <c r="P183" i="1"/>
  <c r="P162" i="98" s="1"/>
  <c r="P184" i="1"/>
  <c r="P163" i="98" s="1"/>
  <c r="P185" i="1"/>
  <c r="P164" i="98" s="1"/>
  <c r="P186" i="1"/>
  <c r="P165" i="98" s="1"/>
  <c r="P187" i="1"/>
  <c r="P166" i="98" s="1"/>
  <c r="P188" i="1"/>
  <c r="P167" i="98" s="1"/>
  <c r="P189" i="1"/>
  <c r="P168" i="98" s="1"/>
  <c r="P190" i="1"/>
  <c r="P169" i="98" s="1"/>
  <c r="P191" i="1"/>
  <c r="P170" i="98" s="1"/>
  <c r="P192" i="1"/>
  <c r="P171" i="98" s="1"/>
  <c r="P193" i="1"/>
  <c r="P172" i="98" s="1"/>
  <c r="P194" i="1"/>
  <c r="P173" i="98" s="1"/>
  <c r="A197" i="1"/>
  <c r="A176" i="98" s="1"/>
  <c r="C197" i="1"/>
  <c r="C176" i="98" s="1"/>
  <c r="K197" i="1"/>
  <c r="K176" i="98" s="1"/>
  <c r="M197" i="1"/>
  <c r="M176" i="98" s="1"/>
  <c r="N197" i="1"/>
  <c r="N176" i="98" s="1"/>
  <c r="P197" i="1"/>
  <c r="P176" i="98" s="1"/>
  <c r="A195" i="1"/>
  <c r="A174" i="98" s="1"/>
  <c r="A196" i="1"/>
  <c r="A175" i="98" s="1"/>
  <c r="C195" i="1"/>
  <c r="C174" i="98" s="1"/>
  <c r="C196" i="1"/>
  <c r="C175" i="98" s="1"/>
  <c r="K195" i="1"/>
  <c r="K174" i="98" s="1"/>
  <c r="K196" i="1"/>
  <c r="K175" i="98" s="1"/>
  <c r="M195" i="1"/>
  <c r="M174" i="98" s="1"/>
  <c r="M196" i="1"/>
  <c r="M175" i="98" s="1"/>
  <c r="N195" i="1"/>
  <c r="N174" i="98" s="1"/>
  <c r="N196" i="1"/>
  <c r="N175" i="98" s="1"/>
  <c r="P195" i="1"/>
  <c r="P174" i="98" s="1"/>
  <c r="P196" i="1"/>
  <c r="P175" i="98" s="1"/>
  <c r="A73" i="6"/>
  <c r="C73" i="6"/>
  <c r="E73" i="6" s="1"/>
  <c r="K73" i="6"/>
  <c r="N73" i="6" s="1"/>
  <c r="O73" i="6" s="1"/>
  <c r="A71" i="6"/>
  <c r="A72" i="6"/>
  <c r="C71" i="6"/>
  <c r="E71" i="6" s="1"/>
  <c r="C72" i="6"/>
  <c r="E72" i="6" s="1"/>
  <c r="K71" i="6"/>
  <c r="N71" i="6" s="1"/>
  <c r="O71" i="6" s="1"/>
  <c r="K72" i="6"/>
  <c r="N72" i="6" s="1"/>
  <c r="O72" i="6" s="1"/>
  <c r="A177" i="1"/>
  <c r="A157" i="98" s="1"/>
  <c r="C177" i="1"/>
  <c r="C157" i="98" s="1"/>
  <c r="K177" i="1"/>
  <c r="K157" i="98" s="1"/>
  <c r="M177" i="1"/>
  <c r="M157" i="98" s="1"/>
  <c r="N177" i="1"/>
  <c r="N157" i="98" s="1"/>
  <c r="P177" i="1"/>
  <c r="P157" i="98" s="1"/>
  <c r="A176" i="1"/>
  <c r="A156" i="98" s="1"/>
  <c r="C176" i="1"/>
  <c r="C156" i="98" s="1"/>
  <c r="K176" i="1"/>
  <c r="K156" i="98" s="1"/>
  <c r="M176" i="1"/>
  <c r="M156" i="98" s="1"/>
  <c r="N176" i="1"/>
  <c r="N156" i="98" s="1"/>
  <c r="P176" i="1"/>
  <c r="P156" i="98" s="1"/>
  <c r="A172" i="1"/>
  <c r="A152" i="98" s="1"/>
  <c r="A173" i="1"/>
  <c r="A153" i="98" s="1"/>
  <c r="A174" i="1"/>
  <c r="A154" i="98" s="1"/>
  <c r="A175" i="1"/>
  <c r="A155" i="98" s="1"/>
  <c r="C172" i="1"/>
  <c r="C152" i="98" s="1"/>
  <c r="C173" i="1"/>
  <c r="C153" i="98" s="1"/>
  <c r="C174" i="1"/>
  <c r="C154" i="98" s="1"/>
  <c r="C175" i="1"/>
  <c r="C155" i="98" s="1"/>
  <c r="K172" i="1"/>
  <c r="K152" i="98" s="1"/>
  <c r="K173" i="1"/>
  <c r="K153" i="98" s="1"/>
  <c r="K174" i="1"/>
  <c r="K154" i="98" s="1"/>
  <c r="K175" i="1"/>
  <c r="K155" i="98" s="1"/>
  <c r="M172" i="1"/>
  <c r="M152" i="98" s="1"/>
  <c r="M173" i="1"/>
  <c r="M153" i="98" s="1"/>
  <c r="M174" i="1"/>
  <c r="M154" i="98" s="1"/>
  <c r="M175" i="1"/>
  <c r="M155" i="98" s="1"/>
  <c r="N172" i="1"/>
  <c r="N152" i="98" s="1"/>
  <c r="N173" i="1"/>
  <c r="N153" i="98" s="1"/>
  <c r="N174" i="1"/>
  <c r="N154" i="98" s="1"/>
  <c r="N175" i="1"/>
  <c r="N155" i="98" s="1"/>
  <c r="P172" i="1"/>
  <c r="P152" i="98" s="1"/>
  <c r="P173" i="1"/>
  <c r="P153" i="98" s="1"/>
  <c r="P174" i="1"/>
  <c r="P154" i="98" s="1"/>
  <c r="P175" i="1"/>
  <c r="P155" i="98" s="1"/>
  <c r="A171" i="1"/>
  <c r="A151" i="98" s="1"/>
  <c r="C171" i="1"/>
  <c r="C151" i="98" s="1"/>
  <c r="K171" i="1"/>
  <c r="K151" i="98" s="1"/>
  <c r="M171" i="1"/>
  <c r="M151" i="98" s="1"/>
  <c r="N171" i="1"/>
  <c r="N151" i="98" s="1"/>
  <c r="P171" i="1"/>
  <c r="P151" i="98" s="1"/>
  <c r="A179" i="1"/>
  <c r="A159" i="98" s="1"/>
  <c r="C179" i="1"/>
  <c r="C159" i="98" s="1"/>
  <c r="K179" i="1"/>
  <c r="K159" i="98" s="1"/>
  <c r="M179" i="1"/>
  <c r="M159" i="98" s="1"/>
  <c r="N179" i="1"/>
  <c r="N159" i="98" s="1"/>
  <c r="P179" i="1"/>
  <c r="P159" i="98" s="1"/>
  <c r="A168" i="1"/>
  <c r="A148" i="98" s="1"/>
  <c r="A169" i="1"/>
  <c r="A149" i="98" s="1"/>
  <c r="A170" i="1"/>
  <c r="A150" i="98" s="1"/>
  <c r="C168" i="1"/>
  <c r="C148" i="98" s="1"/>
  <c r="C169" i="1"/>
  <c r="C149" i="98" s="1"/>
  <c r="C170" i="1"/>
  <c r="C150" i="98" s="1"/>
  <c r="K168" i="1"/>
  <c r="K148" i="98" s="1"/>
  <c r="K169" i="1"/>
  <c r="K149" i="98" s="1"/>
  <c r="K170" i="1"/>
  <c r="K150" i="98" s="1"/>
  <c r="M168" i="1"/>
  <c r="M148" i="98" s="1"/>
  <c r="M169" i="1"/>
  <c r="M149" i="98" s="1"/>
  <c r="M170" i="1"/>
  <c r="M150" i="98" s="1"/>
  <c r="N168" i="1"/>
  <c r="N148" i="98" s="1"/>
  <c r="N169" i="1"/>
  <c r="N149" i="98" s="1"/>
  <c r="N170" i="1"/>
  <c r="N150" i="98" s="1"/>
  <c r="P168" i="1"/>
  <c r="P148" i="98" s="1"/>
  <c r="P169" i="1"/>
  <c r="P149" i="98" s="1"/>
  <c r="P170" i="1"/>
  <c r="P150" i="98" s="1"/>
  <c r="A178" i="1"/>
  <c r="A158" i="98" s="1"/>
  <c r="A152" i="1"/>
  <c r="A132" i="98" s="1"/>
  <c r="C178" i="1"/>
  <c r="C158" i="98" s="1"/>
  <c r="C152" i="1"/>
  <c r="C132" i="98" s="1"/>
  <c r="K178" i="1"/>
  <c r="K158" i="98" s="1"/>
  <c r="K152" i="1"/>
  <c r="K132" i="98" s="1"/>
  <c r="M178" i="1"/>
  <c r="M158" i="98" s="1"/>
  <c r="M152" i="1"/>
  <c r="M132" i="98" s="1"/>
  <c r="N178" i="1"/>
  <c r="N158" i="98" s="1"/>
  <c r="N152" i="1"/>
  <c r="N132" i="98" s="1"/>
  <c r="P178" i="1"/>
  <c r="P158" i="98" s="1"/>
  <c r="P152" i="1"/>
  <c r="P132" i="98" s="1"/>
  <c r="A156" i="1"/>
  <c r="A136" i="98" s="1"/>
  <c r="A157" i="1"/>
  <c r="A137" i="98" s="1"/>
  <c r="A158" i="1"/>
  <c r="A138" i="98" s="1"/>
  <c r="A159" i="1"/>
  <c r="A139" i="98" s="1"/>
  <c r="A160" i="1"/>
  <c r="A140" i="98" s="1"/>
  <c r="A161" i="1"/>
  <c r="A141" i="98" s="1"/>
  <c r="A162" i="1"/>
  <c r="A142" i="98" s="1"/>
  <c r="A163" i="1"/>
  <c r="A143" i="98" s="1"/>
  <c r="A164" i="1"/>
  <c r="A144" i="98" s="1"/>
  <c r="A165" i="1"/>
  <c r="A145" i="98" s="1"/>
  <c r="A166" i="1"/>
  <c r="A146" i="98" s="1"/>
  <c r="A167" i="1"/>
  <c r="A147" i="98" s="1"/>
  <c r="C156" i="1"/>
  <c r="C136" i="98" s="1"/>
  <c r="C157" i="1"/>
  <c r="C137" i="98" s="1"/>
  <c r="C158" i="1"/>
  <c r="C138" i="98" s="1"/>
  <c r="C159" i="1"/>
  <c r="C139" i="98" s="1"/>
  <c r="C160" i="1"/>
  <c r="C140" i="98" s="1"/>
  <c r="C161" i="1"/>
  <c r="C141" i="98" s="1"/>
  <c r="C162" i="1"/>
  <c r="C142" i="98" s="1"/>
  <c r="C163" i="1"/>
  <c r="C143" i="98" s="1"/>
  <c r="C164" i="1"/>
  <c r="C144" i="98" s="1"/>
  <c r="C165" i="1"/>
  <c r="C145" i="98" s="1"/>
  <c r="C166" i="1"/>
  <c r="C146" i="98" s="1"/>
  <c r="C167" i="1"/>
  <c r="C147" i="98" s="1"/>
  <c r="K156" i="1"/>
  <c r="K136" i="98" s="1"/>
  <c r="K157" i="1"/>
  <c r="K137" i="98" s="1"/>
  <c r="K158" i="1"/>
  <c r="K138" i="98" s="1"/>
  <c r="K159" i="1"/>
  <c r="K139" i="98" s="1"/>
  <c r="K160" i="1"/>
  <c r="K140" i="98" s="1"/>
  <c r="K161" i="1"/>
  <c r="K141" i="98" s="1"/>
  <c r="K162" i="1"/>
  <c r="K142" i="98" s="1"/>
  <c r="K163" i="1"/>
  <c r="K143" i="98" s="1"/>
  <c r="K164" i="1"/>
  <c r="K144" i="98" s="1"/>
  <c r="K165" i="1"/>
  <c r="K145" i="98" s="1"/>
  <c r="K166" i="1"/>
  <c r="K146" i="98" s="1"/>
  <c r="K167" i="1"/>
  <c r="K147" i="98" s="1"/>
  <c r="M156" i="1"/>
  <c r="M136" i="98" s="1"/>
  <c r="M157" i="1"/>
  <c r="M137" i="98" s="1"/>
  <c r="M158" i="1"/>
  <c r="M138" i="98" s="1"/>
  <c r="M159" i="1"/>
  <c r="M139" i="98" s="1"/>
  <c r="M160" i="1"/>
  <c r="M140" i="98" s="1"/>
  <c r="M161" i="1"/>
  <c r="M141" i="98" s="1"/>
  <c r="M162" i="1"/>
  <c r="M142" i="98" s="1"/>
  <c r="M163" i="1"/>
  <c r="M143" i="98" s="1"/>
  <c r="M164" i="1"/>
  <c r="M144" i="98" s="1"/>
  <c r="M165" i="1"/>
  <c r="M145" i="98" s="1"/>
  <c r="M166" i="1"/>
  <c r="M146" i="98" s="1"/>
  <c r="M167" i="1"/>
  <c r="M147" i="98" s="1"/>
  <c r="N156" i="1"/>
  <c r="N136" i="98" s="1"/>
  <c r="N157" i="1"/>
  <c r="N137" i="98" s="1"/>
  <c r="N158" i="1"/>
  <c r="N138" i="98" s="1"/>
  <c r="N159" i="1"/>
  <c r="N139" i="98" s="1"/>
  <c r="N160" i="1"/>
  <c r="N140" i="98" s="1"/>
  <c r="N161" i="1"/>
  <c r="N141" i="98" s="1"/>
  <c r="N162" i="1"/>
  <c r="N142" i="98" s="1"/>
  <c r="N163" i="1"/>
  <c r="N143" i="98" s="1"/>
  <c r="N164" i="1"/>
  <c r="N144" i="98" s="1"/>
  <c r="N165" i="1"/>
  <c r="N145" i="98" s="1"/>
  <c r="N166" i="1"/>
  <c r="N146" i="98" s="1"/>
  <c r="N167" i="1"/>
  <c r="N147" i="98" s="1"/>
  <c r="P156" i="1"/>
  <c r="P136" i="98" s="1"/>
  <c r="P157" i="1"/>
  <c r="P137" i="98" s="1"/>
  <c r="P158" i="1"/>
  <c r="P138" i="98" s="1"/>
  <c r="P159" i="1"/>
  <c r="P139" i="98" s="1"/>
  <c r="P160" i="1"/>
  <c r="P140" i="98" s="1"/>
  <c r="P161" i="1"/>
  <c r="P141" i="98" s="1"/>
  <c r="P162" i="1"/>
  <c r="P142" i="98" s="1"/>
  <c r="P163" i="1"/>
  <c r="P143" i="98" s="1"/>
  <c r="P164" i="1"/>
  <c r="P144" i="98" s="1"/>
  <c r="P165" i="1"/>
  <c r="P145" i="98" s="1"/>
  <c r="P166" i="1"/>
  <c r="P146" i="98" s="1"/>
  <c r="P167" i="1"/>
  <c r="P147" i="98" s="1"/>
  <c r="A135" i="1"/>
  <c r="A115" i="98" s="1"/>
  <c r="A136" i="1"/>
  <c r="A116" i="98" s="1"/>
  <c r="A137" i="1"/>
  <c r="A117" i="98" s="1"/>
  <c r="A138" i="1"/>
  <c r="A118" i="98" s="1"/>
  <c r="A139" i="1"/>
  <c r="A119" i="98" s="1"/>
  <c r="A140" i="1"/>
  <c r="A120" i="98" s="1"/>
  <c r="A141" i="1"/>
  <c r="A121" i="98" s="1"/>
  <c r="A142" i="1"/>
  <c r="A122" i="98" s="1"/>
  <c r="A143" i="1"/>
  <c r="A123" i="98" s="1"/>
  <c r="A144" i="1"/>
  <c r="A124" i="98" s="1"/>
  <c r="A145" i="1"/>
  <c r="A125" i="98" s="1"/>
  <c r="A146" i="1"/>
  <c r="A126" i="98" s="1"/>
  <c r="A147" i="1"/>
  <c r="A127" i="98" s="1"/>
  <c r="A148" i="1"/>
  <c r="A128" i="98" s="1"/>
  <c r="A149" i="1"/>
  <c r="A129" i="98" s="1"/>
  <c r="A150" i="1"/>
  <c r="A130" i="98" s="1"/>
  <c r="A151" i="1"/>
  <c r="A131" i="98" s="1"/>
  <c r="C135" i="1"/>
  <c r="C115" i="98" s="1"/>
  <c r="C136" i="1"/>
  <c r="C116" i="98" s="1"/>
  <c r="C137" i="1"/>
  <c r="C117" i="98" s="1"/>
  <c r="C138" i="1"/>
  <c r="C118" i="98" s="1"/>
  <c r="C139" i="1"/>
  <c r="C119" i="98" s="1"/>
  <c r="C140" i="1"/>
  <c r="C120" i="98" s="1"/>
  <c r="C141" i="1"/>
  <c r="C121" i="98" s="1"/>
  <c r="C142" i="1"/>
  <c r="C122" i="98" s="1"/>
  <c r="C143" i="1"/>
  <c r="C123" i="98" s="1"/>
  <c r="C144" i="1"/>
  <c r="C124" i="98" s="1"/>
  <c r="C145" i="1"/>
  <c r="C125" i="98" s="1"/>
  <c r="C146" i="1"/>
  <c r="C126" i="98" s="1"/>
  <c r="C147" i="1"/>
  <c r="C127" i="98" s="1"/>
  <c r="C148" i="1"/>
  <c r="C128" i="98" s="1"/>
  <c r="C149" i="1"/>
  <c r="C129" i="98" s="1"/>
  <c r="C150" i="1"/>
  <c r="C130" i="98" s="1"/>
  <c r="C151" i="1"/>
  <c r="C131" i="98" s="1"/>
  <c r="K135" i="1"/>
  <c r="K115" i="98" s="1"/>
  <c r="K136" i="1"/>
  <c r="K116" i="98" s="1"/>
  <c r="K137" i="1"/>
  <c r="K117" i="98" s="1"/>
  <c r="K138" i="1"/>
  <c r="K118" i="98" s="1"/>
  <c r="K139" i="1"/>
  <c r="K119" i="98" s="1"/>
  <c r="K140" i="1"/>
  <c r="K120" i="98" s="1"/>
  <c r="K141" i="1"/>
  <c r="K121" i="98" s="1"/>
  <c r="K142" i="1"/>
  <c r="K122" i="98" s="1"/>
  <c r="K143" i="1"/>
  <c r="K123" i="98" s="1"/>
  <c r="K144" i="1"/>
  <c r="K124" i="98" s="1"/>
  <c r="K145" i="1"/>
  <c r="K125" i="98" s="1"/>
  <c r="K146" i="1"/>
  <c r="K126" i="98" s="1"/>
  <c r="K147" i="1"/>
  <c r="K127" i="98" s="1"/>
  <c r="K148" i="1"/>
  <c r="K128" i="98" s="1"/>
  <c r="K149" i="1"/>
  <c r="K129" i="98" s="1"/>
  <c r="K150" i="1"/>
  <c r="K130" i="98" s="1"/>
  <c r="K151" i="1"/>
  <c r="K131" i="98" s="1"/>
  <c r="M135" i="1"/>
  <c r="M115" i="98" s="1"/>
  <c r="M136" i="1"/>
  <c r="M116" i="98" s="1"/>
  <c r="M137" i="1"/>
  <c r="M117" i="98" s="1"/>
  <c r="M138" i="1"/>
  <c r="M118" i="98" s="1"/>
  <c r="M139" i="1"/>
  <c r="M119" i="98" s="1"/>
  <c r="M140" i="1"/>
  <c r="M120" i="98" s="1"/>
  <c r="M141" i="1"/>
  <c r="M121" i="98" s="1"/>
  <c r="M142" i="1"/>
  <c r="M122" i="98" s="1"/>
  <c r="M143" i="1"/>
  <c r="M123" i="98" s="1"/>
  <c r="M144" i="1"/>
  <c r="M124" i="98" s="1"/>
  <c r="M145" i="1"/>
  <c r="M125" i="98" s="1"/>
  <c r="M146" i="1"/>
  <c r="M126" i="98" s="1"/>
  <c r="M147" i="1"/>
  <c r="M127" i="98" s="1"/>
  <c r="M148" i="1"/>
  <c r="M128" i="98" s="1"/>
  <c r="M149" i="1"/>
  <c r="M129" i="98" s="1"/>
  <c r="M150" i="1"/>
  <c r="M130" i="98" s="1"/>
  <c r="M151" i="1"/>
  <c r="M131" i="98" s="1"/>
  <c r="N135" i="1"/>
  <c r="N115" i="98" s="1"/>
  <c r="N136" i="1"/>
  <c r="N116" i="98" s="1"/>
  <c r="N137" i="1"/>
  <c r="N117" i="98" s="1"/>
  <c r="N138" i="1"/>
  <c r="N118" i="98" s="1"/>
  <c r="N139" i="1"/>
  <c r="N119" i="98" s="1"/>
  <c r="N140" i="1"/>
  <c r="N120" i="98" s="1"/>
  <c r="N141" i="1"/>
  <c r="N121" i="98" s="1"/>
  <c r="N142" i="1"/>
  <c r="N122" i="98" s="1"/>
  <c r="N143" i="1"/>
  <c r="N123" i="98" s="1"/>
  <c r="N144" i="1"/>
  <c r="N124" i="98" s="1"/>
  <c r="N145" i="1"/>
  <c r="N125" i="98" s="1"/>
  <c r="N146" i="1"/>
  <c r="N126" i="98" s="1"/>
  <c r="N147" i="1"/>
  <c r="N127" i="98" s="1"/>
  <c r="N148" i="1"/>
  <c r="N128" i="98" s="1"/>
  <c r="N149" i="1"/>
  <c r="N129" i="98" s="1"/>
  <c r="N150" i="1"/>
  <c r="N130" i="98" s="1"/>
  <c r="N151" i="1"/>
  <c r="N131" i="98" s="1"/>
  <c r="P135" i="1"/>
  <c r="P115" i="98" s="1"/>
  <c r="P136" i="1"/>
  <c r="P116" i="98" s="1"/>
  <c r="P137" i="1"/>
  <c r="P117" i="98" s="1"/>
  <c r="P138" i="1"/>
  <c r="P118" i="98" s="1"/>
  <c r="P139" i="1"/>
  <c r="P119" i="98" s="1"/>
  <c r="P140" i="1"/>
  <c r="P120" i="98" s="1"/>
  <c r="P141" i="1"/>
  <c r="P121" i="98" s="1"/>
  <c r="P142" i="1"/>
  <c r="P122" i="98" s="1"/>
  <c r="P143" i="1"/>
  <c r="P123" i="98" s="1"/>
  <c r="P144" i="1"/>
  <c r="P124" i="98" s="1"/>
  <c r="P145" i="1"/>
  <c r="P125" i="98" s="1"/>
  <c r="P146" i="1"/>
  <c r="P126" i="98" s="1"/>
  <c r="P147" i="1"/>
  <c r="P127" i="98" s="1"/>
  <c r="P148" i="1"/>
  <c r="P128" i="98" s="1"/>
  <c r="P149" i="1"/>
  <c r="P129" i="98" s="1"/>
  <c r="P150" i="1"/>
  <c r="P130" i="98" s="1"/>
  <c r="P151" i="1"/>
  <c r="P131" i="98" s="1"/>
  <c r="A155" i="1"/>
  <c r="A135" i="98" s="1"/>
  <c r="C155" i="1"/>
  <c r="C135" i="98" s="1"/>
  <c r="K155" i="1"/>
  <c r="K135" i="98" s="1"/>
  <c r="M155" i="1"/>
  <c r="M135" i="98" s="1"/>
  <c r="N155" i="1"/>
  <c r="N135" i="98" s="1"/>
  <c r="P155" i="1"/>
  <c r="P135" i="98" s="1"/>
  <c r="A154" i="1"/>
  <c r="A134" i="98" s="1"/>
  <c r="C154" i="1"/>
  <c r="C134" i="98" s="1"/>
  <c r="K154" i="1"/>
  <c r="K134" i="98" s="1"/>
  <c r="M154" i="1"/>
  <c r="M134" i="98" s="1"/>
  <c r="N154" i="1"/>
  <c r="N134" i="98" s="1"/>
  <c r="P154" i="1"/>
  <c r="P134" i="98" s="1"/>
  <c r="A153" i="1"/>
  <c r="A133" i="98" s="1"/>
  <c r="C153" i="1"/>
  <c r="C133" i="98" s="1"/>
  <c r="K153" i="1"/>
  <c r="K133" i="98" s="1"/>
  <c r="M153" i="1"/>
  <c r="M133" i="98" s="1"/>
  <c r="N153" i="1"/>
  <c r="N133" i="98" s="1"/>
  <c r="P153" i="1"/>
  <c r="P133" i="98" s="1"/>
  <c r="A90" i="1"/>
  <c r="A78" i="98" s="1"/>
  <c r="C90" i="1"/>
  <c r="C78" i="98" s="1"/>
  <c r="K90" i="1"/>
  <c r="K78" i="98" s="1"/>
  <c r="M90" i="1"/>
  <c r="M78" i="98" s="1"/>
  <c r="N90" i="1"/>
  <c r="N78" i="98" s="1"/>
  <c r="P90" i="1"/>
  <c r="P78" i="98" s="1"/>
  <c r="A306" i="1"/>
  <c r="C306" i="1"/>
  <c r="E306" i="1" s="1"/>
  <c r="K306" i="1"/>
  <c r="M306" i="1"/>
  <c r="N306" i="1"/>
  <c r="P306" i="1"/>
  <c r="A305" i="1"/>
  <c r="C305" i="1"/>
  <c r="E305" i="1" s="1"/>
  <c r="K305" i="1"/>
  <c r="M305" i="1"/>
  <c r="N305" i="1"/>
  <c r="P305" i="1"/>
  <c r="A304" i="1"/>
  <c r="C304" i="1"/>
  <c r="E304" i="1" s="1"/>
  <c r="K304" i="1"/>
  <c r="M304" i="1"/>
  <c r="N304" i="1"/>
  <c r="P304" i="1"/>
  <c r="A303" i="1"/>
  <c r="A281" i="98" s="1"/>
  <c r="C303" i="1"/>
  <c r="C281" i="98" s="1"/>
  <c r="K303" i="1"/>
  <c r="K281" i="98" s="1"/>
  <c r="M303" i="1"/>
  <c r="M281" i="98" s="1"/>
  <c r="N303" i="1"/>
  <c r="N281" i="98" s="1"/>
  <c r="P303" i="1"/>
  <c r="P281" i="98" s="1"/>
  <c r="A134" i="1"/>
  <c r="A10" i="96" s="1"/>
  <c r="C134" i="1"/>
  <c r="K134" i="1"/>
  <c r="K10" i="96" s="1"/>
  <c r="M134" i="1"/>
  <c r="M10" i="96" s="1"/>
  <c r="N134" i="1"/>
  <c r="N10" i="96" s="1"/>
  <c r="P134" i="1"/>
  <c r="P10" i="96" s="1"/>
  <c r="A133" i="1"/>
  <c r="A9" i="96" s="1"/>
  <c r="C133" i="1"/>
  <c r="K133" i="1"/>
  <c r="K9" i="96" s="1"/>
  <c r="M133" i="1"/>
  <c r="M9" i="96" s="1"/>
  <c r="N133" i="1"/>
  <c r="N9" i="96" s="1"/>
  <c r="P133" i="1"/>
  <c r="P9" i="96" s="1"/>
  <c r="A70" i="6"/>
  <c r="C70" i="6"/>
  <c r="E70" i="6" s="1"/>
  <c r="K70" i="6"/>
  <c r="N70" i="6" s="1"/>
  <c r="O70" i="6" s="1"/>
  <c r="A65" i="6"/>
  <c r="A66" i="6"/>
  <c r="A67" i="6"/>
  <c r="A68" i="6"/>
  <c r="A69" i="6"/>
  <c r="C65" i="6"/>
  <c r="E65" i="6" s="1"/>
  <c r="C66" i="6"/>
  <c r="E66" i="6" s="1"/>
  <c r="C67" i="6"/>
  <c r="E67" i="6" s="1"/>
  <c r="C68" i="6"/>
  <c r="E68" i="6" s="1"/>
  <c r="C69" i="6"/>
  <c r="E69" i="6" s="1"/>
  <c r="K65" i="6"/>
  <c r="N65" i="6" s="1"/>
  <c r="O65" i="6" s="1"/>
  <c r="K66" i="6"/>
  <c r="N66" i="6" s="1"/>
  <c r="O66" i="6" s="1"/>
  <c r="K67" i="6"/>
  <c r="N67" i="6" s="1"/>
  <c r="O67" i="6" s="1"/>
  <c r="K68" i="6"/>
  <c r="N68" i="6" s="1"/>
  <c r="O68" i="6" s="1"/>
  <c r="K69" i="6"/>
  <c r="N69" i="6" s="1"/>
  <c r="O69" i="6" s="1"/>
  <c r="A132" i="1"/>
  <c r="A114" i="98" s="1"/>
  <c r="C132" i="1"/>
  <c r="C114" i="98" s="1"/>
  <c r="K132" i="1"/>
  <c r="K114" i="98" s="1"/>
  <c r="M132" i="1"/>
  <c r="M114" i="98" s="1"/>
  <c r="N132" i="1"/>
  <c r="N114" i="98" s="1"/>
  <c r="P132" i="1"/>
  <c r="P114" i="98" s="1"/>
  <c r="H117" i="1"/>
  <c r="H102" i="98" s="1"/>
  <c r="A117" i="1"/>
  <c r="A102" i="98" s="1"/>
  <c r="C117" i="1"/>
  <c r="C102" i="98" s="1"/>
  <c r="K117" i="1"/>
  <c r="K102" i="98" s="1"/>
  <c r="M117" i="1"/>
  <c r="M102" i="98" s="1"/>
  <c r="N117" i="1"/>
  <c r="N102" i="98" s="1"/>
  <c r="P117" i="1"/>
  <c r="P102" i="98" s="1"/>
  <c r="A116" i="1"/>
  <c r="A101" i="98" s="1"/>
  <c r="C116" i="1"/>
  <c r="C101" i="98" s="1"/>
  <c r="K116" i="1"/>
  <c r="K101" i="98" s="1"/>
  <c r="M116" i="1"/>
  <c r="M101" i="98" s="1"/>
  <c r="N116" i="1"/>
  <c r="N101" i="98" s="1"/>
  <c r="P116" i="1"/>
  <c r="P101" i="98" s="1"/>
  <c r="A115" i="1"/>
  <c r="A100" i="98" s="1"/>
  <c r="C115" i="1"/>
  <c r="C100" i="98" s="1"/>
  <c r="K115" i="1"/>
  <c r="K100" i="98" s="1"/>
  <c r="M115" i="1"/>
  <c r="M100" i="98" s="1"/>
  <c r="N115" i="1"/>
  <c r="N100" i="98" s="1"/>
  <c r="P115" i="1"/>
  <c r="P100" i="98" s="1"/>
  <c r="A114" i="1"/>
  <c r="A99" i="98" s="1"/>
  <c r="C114" i="1"/>
  <c r="C99" i="98" s="1"/>
  <c r="K114" i="1"/>
  <c r="K99" i="98" s="1"/>
  <c r="M114" i="1"/>
  <c r="M99" i="98" s="1"/>
  <c r="N114" i="1"/>
  <c r="N99" i="98" s="1"/>
  <c r="P114" i="1"/>
  <c r="P99" i="98" s="1"/>
  <c r="A113" i="1"/>
  <c r="C113" i="1"/>
  <c r="E113" i="1" s="1"/>
  <c r="K113" i="1"/>
  <c r="M113" i="1"/>
  <c r="N113" i="1"/>
  <c r="P113" i="1"/>
  <c r="A63" i="6"/>
  <c r="C63" i="6"/>
  <c r="E63" i="6" s="1"/>
  <c r="K63" i="6"/>
  <c r="N63" i="6" s="1"/>
  <c r="O63" i="6" s="1"/>
  <c r="A62" i="6"/>
  <c r="C62" i="6"/>
  <c r="E62" i="6" s="1"/>
  <c r="K62" i="6"/>
  <c r="N62" i="6" s="1"/>
  <c r="O62" i="6" s="1"/>
  <c r="A61" i="6"/>
  <c r="C61" i="6"/>
  <c r="E61" i="6" s="1"/>
  <c r="K61" i="6"/>
  <c r="N61" i="6" s="1"/>
  <c r="O61" i="6" s="1"/>
  <c r="M17" i="1"/>
  <c r="M17" i="98" s="1"/>
  <c r="A17" i="1"/>
  <c r="A17" i="98" s="1"/>
  <c r="C17" i="1"/>
  <c r="C17" i="98" s="1"/>
  <c r="K17" i="1"/>
  <c r="K17" i="98" s="1"/>
  <c r="N17" i="1"/>
  <c r="N17" i="98" s="1"/>
  <c r="P17" i="1"/>
  <c r="P17" i="98" s="1"/>
  <c r="A76" i="1"/>
  <c r="A70" i="98" s="1"/>
  <c r="C76" i="1"/>
  <c r="C70" i="98" s="1"/>
  <c r="K76" i="1"/>
  <c r="K70" i="98" s="1"/>
  <c r="M76" i="1"/>
  <c r="M70" i="98" s="1"/>
  <c r="N76" i="1"/>
  <c r="N70" i="98" s="1"/>
  <c r="P76" i="1"/>
  <c r="P70" i="98" s="1"/>
  <c r="A59" i="6"/>
  <c r="C59" i="6"/>
  <c r="E59" i="6" s="1"/>
  <c r="K59" i="6"/>
  <c r="N59" i="6" s="1"/>
  <c r="O59" i="6" s="1"/>
  <c r="A7" i="1"/>
  <c r="A7" i="98" s="1"/>
  <c r="C7" i="1"/>
  <c r="C7" i="98" s="1"/>
  <c r="K7" i="1"/>
  <c r="K7" i="98" s="1"/>
  <c r="M7" i="1"/>
  <c r="M7" i="98" s="1"/>
  <c r="N7" i="1"/>
  <c r="N7" i="98" s="1"/>
  <c r="P7" i="1"/>
  <c r="P7" i="98" s="1"/>
  <c r="A6" i="1"/>
  <c r="A6" i="98" s="1"/>
  <c r="C6" i="1"/>
  <c r="C6" i="98" s="1"/>
  <c r="K6" i="1"/>
  <c r="K6" i="98" s="1"/>
  <c r="M6" i="1"/>
  <c r="M6" i="98" s="1"/>
  <c r="N6" i="1"/>
  <c r="N6" i="98" s="1"/>
  <c r="P6" i="1"/>
  <c r="P6" i="98" s="1"/>
  <c r="A2" i="1"/>
  <c r="A2" i="98" s="1"/>
  <c r="A3" i="1"/>
  <c r="A3" i="98" s="1"/>
  <c r="A4" i="1"/>
  <c r="A4" i="98" s="1"/>
  <c r="A5" i="1"/>
  <c r="A5" i="98" s="1"/>
  <c r="C2" i="1"/>
  <c r="C2" i="98" s="1"/>
  <c r="C3" i="1"/>
  <c r="C3" i="98" s="1"/>
  <c r="C4" i="1"/>
  <c r="C4" i="98" s="1"/>
  <c r="C5" i="1"/>
  <c r="C5" i="98" s="1"/>
  <c r="K2" i="1"/>
  <c r="K2" i="98" s="1"/>
  <c r="K3" i="1"/>
  <c r="K3" i="98" s="1"/>
  <c r="K4" i="1"/>
  <c r="K4" i="98" s="1"/>
  <c r="K5" i="1"/>
  <c r="K5" i="98" s="1"/>
  <c r="M2" i="1"/>
  <c r="M2" i="98" s="1"/>
  <c r="M3" i="1"/>
  <c r="M3" i="98" s="1"/>
  <c r="M4" i="1"/>
  <c r="M4" i="98" s="1"/>
  <c r="M5" i="1"/>
  <c r="M5" i="98" s="1"/>
  <c r="N2" i="1"/>
  <c r="N2" i="98" s="1"/>
  <c r="N3" i="1"/>
  <c r="N3" i="98" s="1"/>
  <c r="N4" i="1"/>
  <c r="N4" i="98" s="1"/>
  <c r="N5" i="1"/>
  <c r="N5" i="98" s="1"/>
  <c r="P2" i="1"/>
  <c r="P2" i="98" s="1"/>
  <c r="P3" i="1"/>
  <c r="P3" i="98" s="1"/>
  <c r="P4" i="1"/>
  <c r="P4" i="98" s="1"/>
  <c r="P5" i="1"/>
  <c r="P5" i="98" s="1"/>
  <c r="K56" i="6"/>
  <c r="N56" i="6" s="1"/>
  <c r="O56" i="6" s="1"/>
  <c r="K57" i="6"/>
  <c r="N57" i="6" s="1"/>
  <c r="O57" i="6" s="1"/>
  <c r="K58" i="6"/>
  <c r="N58" i="6" s="1"/>
  <c r="O58" i="6" s="1"/>
  <c r="A56" i="6"/>
  <c r="A57" i="6"/>
  <c r="A58" i="6"/>
  <c r="A60" i="6"/>
  <c r="C56" i="6"/>
  <c r="E56" i="6" s="1"/>
  <c r="C57" i="6"/>
  <c r="E57" i="6" s="1"/>
  <c r="C58" i="6"/>
  <c r="E58" i="6" s="1"/>
  <c r="C60" i="6"/>
  <c r="E60" i="6" s="1"/>
  <c r="K60" i="6"/>
  <c r="N60" i="6" s="1"/>
  <c r="O60" i="6" s="1"/>
  <c r="A1059" i="1"/>
  <c r="A1015" i="98" s="1"/>
  <c r="A1060" i="1"/>
  <c r="A1016" i="98" s="1"/>
  <c r="A1061" i="1"/>
  <c r="A1017" i="98" s="1"/>
  <c r="C1059" i="1"/>
  <c r="C1015" i="98" s="1"/>
  <c r="C1060" i="1"/>
  <c r="C1016" i="98" s="1"/>
  <c r="C1061" i="1"/>
  <c r="C1017" i="98" s="1"/>
  <c r="K1059" i="1"/>
  <c r="K1015" i="98" s="1"/>
  <c r="K1060" i="1"/>
  <c r="K1016" i="98" s="1"/>
  <c r="K1061" i="1"/>
  <c r="K1017" i="98" s="1"/>
  <c r="M1059" i="1"/>
  <c r="M1015" i="98" s="1"/>
  <c r="M1060" i="1"/>
  <c r="M1016" i="98" s="1"/>
  <c r="M1061" i="1"/>
  <c r="M1017" i="98" s="1"/>
  <c r="N1059" i="1"/>
  <c r="N1015" i="98" s="1"/>
  <c r="N1060" i="1"/>
  <c r="N1016" i="98" s="1"/>
  <c r="N1061" i="1"/>
  <c r="N1017" i="98" s="1"/>
  <c r="P1059" i="1"/>
  <c r="P1015" i="98" s="1"/>
  <c r="P1060" i="1"/>
  <c r="P1016" i="98" s="1"/>
  <c r="P1061" i="1"/>
  <c r="P1017" i="98" s="1"/>
  <c r="A50" i="6"/>
  <c r="A51" i="6"/>
  <c r="A52" i="6"/>
  <c r="A53" i="6"/>
  <c r="A54" i="6"/>
  <c r="A55" i="6"/>
  <c r="C50" i="6"/>
  <c r="E50" i="6" s="1"/>
  <c r="C51" i="6"/>
  <c r="E51" i="6" s="1"/>
  <c r="C52" i="6"/>
  <c r="E52" i="6" s="1"/>
  <c r="C53" i="6"/>
  <c r="E53" i="6" s="1"/>
  <c r="C54" i="6"/>
  <c r="E54" i="6" s="1"/>
  <c r="C55" i="6"/>
  <c r="E55" i="6" s="1"/>
  <c r="K50" i="6"/>
  <c r="N50" i="6" s="1"/>
  <c r="O50" i="6" s="1"/>
  <c r="K51" i="6"/>
  <c r="N51" i="6" s="1"/>
  <c r="O51" i="6" s="1"/>
  <c r="K52" i="6"/>
  <c r="N52" i="6" s="1"/>
  <c r="O52" i="6" s="1"/>
  <c r="K53" i="6"/>
  <c r="N53" i="6" s="1"/>
  <c r="O53" i="6" s="1"/>
  <c r="K54" i="6"/>
  <c r="N54" i="6" s="1"/>
  <c r="O54" i="6" s="1"/>
  <c r="K55" i="6"/>
  <c r="N55" i="6" s="1"/>
  <c r="O55" i="6" s="1"/>
  <c r="A1058" i="1"/>
  <c r="A1014" i="98" s="1"/>
  <c r="C1058" i="1"/>
  <c r="C1014" i="98" s="1"/>
  <c r="K1058" i="1"/>
  <c r="K1014" i="98" s="1"/>
  <c r="M1058" i="1"/>
  <c r="M1014" i="98" s="1"/>
  <c r="N1058" i="1"/>
  <c r="N1014" i="98" s="1"/>
  <c r="P1058" i="1"/>
  <c r="P1014" i="98" s="1"/>
  <c r="A1057" i="1"/>
  <c r="A1013" i="98" s="1"/>
  <c r="C1057" i="1"/>
  <c r="C1013" i="98" s="1"/>
  <c r="K1057" i="1"/>
  <c r="K1013" i="98" s="1"/>
  <c r="M1057" i="1"/>
  <c r="M1013" i="98" s="1"/>
  <c r="N1057" i="1"/>
  <c r="N1013" i="98" s="1"/>
  <c r="P1057" i="1"/>
  <c r="P1013" i="98" s="1"/>
  <c r="A1056" i="1"/>
  <c r="A1012" i="98" s="1"/>
  <c r="C1056" i="1"/>
  <c r="C1012" i="98" s="1"/>
  <c r="K1056" i="1"/>
  <c r="K1012" i="98" s="1"/>
  <c r="M1056" i="1"/>
  <c r="M1012" i="98" s="1"/>
  <c r="N1056" i="1"/>
  <c r="N1012" i="98" s="1"/>
  <c r="P1056" i="1"/>
  <c r="P1012" i="98" s="1"/>
  <c r="A1054" i="1"/>
  <c r="A1010" i="98" s="1"/>
  <c r="A1055" i="1"/>
  <c r="A1011" i="98" s="1"/>
  <c r="C1054" i="1"/>
  <c r="C1010" i="98" s="1"/>
  <c r="C1055" i="1"/>
  <c r="C1011" i="98" s="1"/>
  <c r="K1054" i="1"/>
  <c r="K1010" i="98" s="1"/>
  <c r="K1055" i="1"/>
  <c r="K1011" i="98" s="1"/>
  <c r="M1054" i="1"/>
  <c r="M1010" i="98" s="1"/>
  <c r="M1055" i="1"/>
  <c r="M1011" i="98" s="1"/>
  <c r="N1054" i="1"/>
  <c r="N1010" i="98" s="1"/>
  <c r="N1055" i="1"/>
  <c r="N1011" i="98" s="1"/>
  <c r="P1054" i="1"/>
  <c r="P1010" i="98" s="1"/>
  <c r="P1055" i="1"/>
  <c r="P1011" i="98" s="1"/>
  <c r="A1053" i="1"/>
  <c r="A1009" i="98" s="1"/>
  <c r="C1053" i="1"/>
  <c r="C1009" i="98" s="1"/>
  <c r="K1053" i="1"/>
  <c r="K1009" i="98" s="1"/>
  <c r="M1053" i="1"/>
  <c r="M1009" i="98" s="1"/>
  <c r="N1053" i="1"/>
  <c r="N1009" i="98" s="1"/>
  <c r="P1053" i="1"/>
  <c r="P1009" i="98" s="1"/>
  <c r="A49" i="6"/>
  <c r="C49" i="6"/>
  <c r="E49" i="6" s="1"/>
  <c r="K49" i="6"/>
  <c r="N49" i="6" s="1"/>
  <c r="O49" i="6" s="1"/>
  <c r="A94" i="1"/>
  <c r="C94" i="1"/>
  <c r="E94" i="1" s="1"/>
  <c r="K94" i="1"/>
  <c r="M94" i="1"/>
  <c r="N94" i="1"/>
  <c r="P94" i="1"/>
  <c r="A93" i="1"/>
  <c r="A81" i="98" s="1"/>
  <c r="C93" i="1"/>
  <c r="C81" i="98" s="1"/>
  <c r="K93" i="1"/>
  <c r="K81" i="98" s="1"/>
  <c r="M93" i="1"/>
  <c r="M81" i="98" s="1"/>
  <c r="N93" i="1"/>
  <c r="N81" i="98" s="1"/>
  <c r="P93" i="1"/>
  <c r="P81" i="98" s="1"/>
  <c r="A104" i="1"/>
  <c r="A90" i="98" s="1"/>
  <c r="C104" i="1"/>
  <c r="C90" i="98" s="1"/>
  <c r="K104" i="1"/>
  <c r="K90" i="98" s="1"/>
  <c r="M104" i="1"/>
  <c r="M90" i="98" s="1"/>
  <c r="N104" i="1"/>
  <c r="N90" i="98" s="1"/>
  <c r="P104" i="1"/>
  <c r="P90" i="98" s="1"/>
  <c r="A103" i="1"/>
  <c r="A89" i="98" s="1"/>
  <c r="C103" i="1"/>
  <c r="C89" i="98" s="1"/>
  <c r="K103" i="1"/>
  <c r="K89" i="98" s="1"/>
  <c r="M103" i="1"/>
  <c r="M89" i="98" s="1"/>
  <c r="N103" i="1"/>
  <c r="N89" i="98" s="1"/>
  <c r="P103" i="1"/>
  <c r="P89" i="98" s="1"/>
  <c r="A100" i="1"/>
  <c r="A86" i="98" s="1"/>
  <c r="C100" i="1"/>
  <c r="C86" i="98" s="1"/>
  <c r="K100" i="1"/>
  <c r="K86" i="98" s="1"/>
  <c r="M100" i="1"/>
  <c r="M86" i="98" s="1"/>
  <c r="N100" i="1"/>
  <c r="N86" i="98" s="1"/>
  <c r="P100" i="1"/>
  <c r="P86" i="98" s="1"/>
  <c r="A102" i="1"/>
  <c r="A88" i="98" s="1"/>
  <c r="C102" i="1"/>
  <c r="C88" i="98" s="1"/>
  <c r="K102" i="1"/>
  <c r="K88" i="98" s="1"/>
  <c r="M102" i="1"/>
  <c r="M88" i="98" s="1"/>
  <c r="N102" i="1"/>
  <c r="N88" i="98" s="1"/>
  <c r="P102" i="1"/>
  <c r="P88" i="98" s="1"/>
  <c r="A101" i="1"/>
  <c r="A87" i="98" s="1"/>
  <c r="C101" i="1"/>
  <c r="C87" i="98" s="1"/>
  <c r="K101" i="1"/>
  <c r="K87" i="98" s="1"/>
  <c r="M101" i="1"/>
  <c r="M87" i="98" s="1"/>
  <c r="N101" i="1"/>
  <c r="N87" i="98" s="1"/>
  <c r="P101" i="1"/>
  <c r="P87" i="98" s="1"/>
  <c r="A48" i="6"/>
  <c r="C48" i="6"/>
  <c r="E48" i="6" s="1"/>
  <c r="K48" i="6"/>
  <c r="N48" i="6" s="1"/>
  <c r="O48" i="6" s="1"/>
  <c r="K46" i="6"/>
  <c r="N46" i="6" s="1"/>
  <c r="O46" i="6" s="1"/>
  <c r="A341" i="1"/>
  <c r="A316" i="98" s="1"/>
  <c r="C341" i="1"/>
  <c r="C316" i="98" s="1"/>
  <c r="K341" i="1"/>
  <c r="K316" i="98" s="1"/>
  <c r="M341" i="1"/>
  <c r="M316" i="98" s="1"/>
  <c r="N341" i="1"/>
  <c r="N316" i="98" s="1"/>
  <c r="P341" i="1"/>
  <c r="P316" i="98" s="1"/>
  <c r="A340" i="1"/>
  <c r="A315" i="98" s="1"/>
  <c r="C340" i="1"/>
  <c r="C315" i="98" s="1"/>
  <c r="K340" i="1"/>
  <c r="K315" i="98" s="1"/>
  <c r="M340" i="1"/>
  <c r="M315" i="98" s="1"/>
  <c r="N340" i="1"/>
  <c r="N315" i="98" s="1"/>
  <c r="P340" i="1"/>
  <c r="P315" i="98" s="1"/>
  <c r="A339" i="1"/>
  <c r="A314" i="98" s="1"/>
  <c r="C339" i="1"/>
  <c r="C314" i="98" s="1"/>
  <c r="K339" i="1"/>
  <c r="K314" i="98" s="1"/>
  <c r="M339" i="1"/>
  <c r="M314" i="98" s="1"/>
  <c r="N339" i="1"/>
  <c r="N314" i="98" s="1"/>
  <c r="P339" i="1"/>
  <c r="P314" i="98" s="1"/>
  <c r="A47" i="6"/>
  <c r="C47" i="6"/>
  <c r="E47" i="6" s="1"/>
  <c r="K47" i="6"/>
  <c r="N47" i="6" s="1"/>
  <c r="O47" i="6" s="1"/>
  <c r="A338" i="1"/>
  <c r="A313" i="98" s="1"/>
  <c r="C338" i="1"/>
  <c r="C313" i="98" s="1"/>
  <c r="K338" i="1"/>
  <c r="K313" i="98" s="1"/>
  <c r="M338" i="1"/>
  <c r="M313" i="98" s="1"/>
  <c r="N338" i="1"/>
  <c r="N313" i="98" s="1"/>
  <c r="P338" i="1"/>
  <c r="P313" i="98" s="1"/>
  <c r="A334" i="1"/>
  <c r="A309" i="98" s="1"/>
  <c r="C334" i="1"/>
  <c r="C309" i="98" s="1"/>
  <c r="K334" i="1"/>
  <c r="K309" i="98" s="1"/>
  <c r="M334" i="1"/>
  <c r="M309" i="98" s="1"/>
  <c r="N334" i="1"/>
  <c r="N309" i="98" s="1"/>
  <c r="P334" i="1"/>
  <c r="P309" i="98" s="1"/>
  <c r="A332" i="1"/>
  <c r="A307" i="98" s="1"/>
  <c r="A333" i="1"/>
  <c r="A308" i="98" s="1"/>
  <c r="C332" i="1"/>
  <c r="C307" i="98" s="1"/>
  <c r="C333" i="1"/>
  <c r="C308" i="98" s="1"/>
  <c r="K332" i="1"/>
  <c r="K307" i="98" s="1"/>
  <c r="K333" i="1"/>
  <c r="K308" i="98" s="1"/>
  <c r="M332" i="1"/>
  <c r="M307" i="98" s="1"/>
  <c r="M333" i="1"/>
  <c r="M308" i="98" s="1"/>
  <c r="N332" i="1"/>
  <c r="N307" i="98" s="1"/>
  <c r="N333" i="1"/>
  <c r="N308" i="98" s="1"/>
  <c r="P332" i="1"/>
  <c r="P307" i="98" s="1"/>
  <c r="P333" i="1"/>
  <c r="P308" i="98" s="1"/>
  <c r="A336" i="1"/>
  <c r="A311" i="98" s="1"/>
  <c r="C336" i="1"/>
  <c r="C311" i="98" s="1"/>
  <c r="K336" i="1"/>
  <c r="K311" i="98" s="1"/>
  <c r="M336" i="1"/>
  <c r="M311" i="98" s="1"/>
  <c r="N336" i="1"/>
  <c r="N311" i="98" s="1"/>
  <c r="P336" i="1"/>
  <c r="P311" i="98" s="1"/>
  <c r="A335" i="1"/>
  <c r="A310" i="98" s="1"/>
  <c r="C335" i="1"/>
  <c r="C310" i="98" s="1"/>
  <c r="K335" i="1"/>
  <c r="K310" i="98" s="1"/>
  <c r="M335" i="1"/>
  <c r="M310" i="98" s="1"/>
  <c r="N335" i="1"/>
  <c r="N310" i="98" s="1"/>
  <c r="P335" i="1"/>
  <c r="P310" i="98" s="1"/>
  <c r="A331" i="1"/>
  <c r="A306" i="98" s="1"/>
  <c r="C331" i="1"/>
  <c r="C306" i="98" s="1"/>
  <c r="K331" i="1"/>
  <c r="K306" i="98" s="1"/>
  <c r="M331" i="1"/>
  <c r="M306" i="98" s="1"/>
  <c r="N331" i="1"/>
  <c r="N306" i="98" s="1"/>
  <c r="P331" i="1"/>
  <c r="P306" i="98" s="1"/>
  <c r="A337" i="1"/>
  <c r="A312" i="98" s="1"/>
  <c r="C337" i="1"/>
  <c r="C312" i="98" s="1"/>
  <c r="K337" i="1"/>
  <c r="K312" i="98" s="1"/>
  <c r="M337" i="1"/>
  <c r="M312" i="98" s="1"/>
  <c r="N337" i="1"/>
  <c r="N312" i="98" s="1"/>
  <c r="P337" i="1"/>
  <c r="P312" i="98" s="1"/>
  <c r="A343" i="1"/>
  <c r="A318" i="98" s="1"/>
  <c r="C343" i="1"/>
  <c r="C318" i="98" s="1"/>
  <c r="K343" i="1"/>
  <c r="K318" i="98" s="1"/>
  <c r="M343" i="1"/>
  <c r="M318" i="98" s="1"/>
  <c r="N343" i="1"/>
  <c r="N318" i="98" s="1"/>
  <c r="P343" i="1"/>
  <c r="P318" i="98" s="1"/>
  <c r="A344" i="1"/>
  <c r="A319" i="98" s="1"/>
  <c r="C344" i="1"/>
  <c r="C319" i="98" s="1"/>
  <c r="K344" i="1"/>
  <c r="K319" i="98" s="1"/>
  <c r="M344" i="1"/>
  <c r="M319" i="98" s="1"/>
  <c r="N344" i="1"/>
  <c r="N319" i="98" s="1"/>
  <c r="P344" i="1"/>
  <c r="P319" i="98" s="1"/>
  <c r="A46" i="6"/>
  <c r="C46" i="6"/>
  <c r="E46" i="6" s="1"/>
  <c r="A345" i="1"/>
  <c r="A320" i="98" s="1"/>
  <c r="C345" i="1"/>
  <c r="C320" i="98" s="1"/>
  <c r="K345" i="1"/>
  <c r="K320" i="98" s="1"/>
  <c r="M345" i="1"/>
  <c r="M320" i="98" s="1"/>
  <c r="N345" i="1"/>
  <c r="N320" i="98" s="1"/>
  <c r="P345" i="1"/>
  <c r="P320" i="98" s="1"/>
  <c r="E90" i="1" l="1"/>
  <c r="E78" i="98" s="1"/>
  <c r="E339" i="1"/>
  <c r="E314" i="98" s="1"/>
  <c r="E6" i="1"/>
  <c r="E6" i="98" s="1"/>
  <c r="E115" i="1"/>
  <c r="E100" i="98" s="1"/>
  <c r="E345" i="1"/>
  <c r="E320" i="98" s="1"/>
  <c r="E344" i="1"/>
  <c r="E319" i="98" s="1"/>
  <c r="E335" i="1"/>
  <c r="E310" i="98" s="1"/>
  <c r="E333" i="1"/>
  <c r="E308" i="98" s="1"/>
  <c r="E334" i="1"/>
  <c r="E309" i="98" s="1"/>
  <c r="E103" i="1"/>
  <c r="E89" i="98" s="1"/>
  <c r="E148" i="1"/>
  <c r="E128" i="98" s="1"/>
  <c r="E140" i="1"/>
  <c r="E120" i="98" s="1"/>
  <c r="E166" i="1"/>
  <c r="E146" i="98" s="1"/>
  <c r="E158" i="1"/>
  <c r="E138" i="98" s="1"/>
  <c r="E178" i="1"/>
  <c r="E158" i="98" s="1"/>
  <c r="E169" i="1"/>
  <c r="E149" i="98" s="1"/>
  <c r="E194" i="1"/>
  <c r="E173" i="98" s="1"/>
  <c r="E186" i="1"/>
  <c r="E165" i="98" s="1"/>
  <c r="E200" i="1"/>
  <c r="E179" i="98" s="1"/>
  <c r="E112" i="1"/>
  <c r="E98" i="98" s="1"/>
  <c r="E1056" i="1"/>
  <c r="E1012" i="98" s="1"/>
  <c r="E1058" i="1"/>
  <c r="E1014" i="98" s="1"/>
  <c r="E114" i="1"/>
  <c r="E99" i="98" s="1"/>
  <c r="E139" i="1"/>
  <c r="E119" i="98" s="1"/>
  <c r="E165" i="1"/>
  <c r="E145" i="98" s="1"/>
  <c r="E157" i="1"/>
  <c r="E137" i="98" s="1"/>
  <c r="E168" i="1"/>
  <c r="E148" i="98" s="1"/>
  <c r="E179" i="1"/>
  <c r="E159" i="98" s="1"/>
  <c r="E175" i="1"/>
  <c r="E155" i="98" s="1"/>
  <c r="E193" i="1"/>
  <c r="E172" i="98" s="1"/>
  <c r="E185" i="1"/>
  <c r="E164" i="98" s="1"/>
  <c r="E199" i="1"/>
  <c r="E178" i="98" s="1"/>
  <c r="E303" i="1"/>
  <c r="E281" i="98" s="1"/>
  <c r="E1061" i="1"/>
  <c r="E1017" i="98" s="1"/>
  <c r="E154" i="1"/>
  <c r="E134" i="98" s="1"/>
  <c r="E147" i="1"/>
  <c r="E127" i="98" s="1"/>
  <c r="E331" i="1"/>
  <c r="E306" i="98" s="1"/>
  <c r="E100" i="1"/>
  <c r="E86" i="98" s="1"/>
  <c r="E1060" i="1"/>
  <c r="E1016" i="98" s="1"/>
  <c r="E132" i="1"/>
  <c r="E114" i="98" s="1"/>
  <c r="E146" i="1"/>
  <c r="E126" i="98" s="1"/>
  <c r="E138" i="1"/>
  <c r="E118" i="98" s="1"/>
  <c r="E164" i="1"/>
  <c r="E144" i="98" s="1"/>
  <c r="E156" i="1"/>
  <c r="E136" i="98" s="1"/>
  <c r="E174" i="1"/>
  <c r="E154" i="98" s="1"/>
  <c r="E192" i="1"/>
  <c r="E171" i="98" s="1"/>
  <c r="E184" i="1"/>
  <c r="E163" i="98" s="1"/>
  <c r="E198" i="1"/>
  <c r="E177" i="98" s="1"/>
  <c r="E203" i="1"/>
  <c r="E182" i="98" s="1"/>
  <c r="E7" i="1"/>
  <c r="E7" i="98" s="1"/>
  <c r="E332" i="1"/>
  <c r="E307" i="98" s="1"/>
  <c r="E1059" i="1"/>
  <c r="E1015" i="98" s="1"/>
  <c r="E153" i="1"/>
  <c r="E133" i="98" s="1"/>
  <c r="E145" i="1"/>
  <c r="E125" i="98" s="1"/>
  <c r="E137" i="1"/>
  <c r="E117" i="98" s="1"/>
  <c r="E163" i="1"/>
  <c r="E143" i="98" s="1"/>
  <c r="E173" i="1"/>
  <c r="E153" i="98" s="1"/>
  <c r="E177" i="1"/>
  <c r="E157" i="98" s="1"/>
  <c r="E191" i="1"/>
  <c r="E170" i="98" s="1"/>
  <c r="E183" i="1"/>
  <c r="E162" i="98" s="1"/>
  <c r="E1055" i="1"/>
  <c r="E1011" i="98" s="1"/>
  <c r="E3" i="1"/>
  <c r="E3" i="98" s="1"/>
  <c r="E1053" i="1"/>
  <c r="E1009" i="98" s="1"/>
  <c r="E1057" i="1"/>
  <c r="E1013" i="98" s="1"/>
  <c r="E5" i="1"/>
  <c r="E5" i="98" s="1"/>
  <c r="E17" i="1"/>
  <c r="E17" i="98" s="1"/>
  <c r="E117" i="1"/>
  <c r="E102" i="98" s="1"/>
  <c r="E337" i="1"/>
  <c r="E312" i="98" s="1"/>
  <c r="E341" i="1"/>
  <c r="E316" i="98" s="1"/>
  <c r="E102" i="1"/>
  <c r="E88" i="98" s="1"/>
  <c r="E93" i="1"/>
  <c r="E81" i="98" s="1"/>
  <c r="E4" i="1"/>
  <c r="E4" i="98" s="1"/>
  <c r="E144" i="1"/>
  <c r="E124" i="98" s="1"/>
  <c r="E136" i="1"/>
  <c r="E116" i="98" s="1"/>
  <c r="E162" i="1"/>
  <c r="E142" i="98" s="1"/>
  <c r="E172" i="1"/>
  <c r="E152" i="98" s="1"/>
  <c r="E190" i="1"/>
  <c r="E169" i="98" s="1"/>
  <c r="E182" i="1"/>
  <c r="E161" i="98" s="1"/>
  <c r="E202" i="1"/>
  <c r="E181" i="98" s="1"/>
  <c r="E135" i="1"/>
  <c r="E115" i="98" s="1"/>
  <c r="E161" i="1"/>
  <c r="E141" i="98" s="1"/>
  <c r="E176" i="1"/>
  <c r="E156" i="98" s="1"/>
  <c r="E189" i="1"/>
  <c r="E168" i="98" s="1"/>
  <c r="E116" i="1"/>
  <c r="E101" i="98" s="1"/>
  <c r="E151" i="1"/>
  <c r="E131" i="98" s="1"/>
  <c r="E181" i="1"/>
  <c r="E160" i="98" s="1"/>
  <c r="E201" i="1"/>
  <c r="E180" i="98" s="1"/>
  <c r="E343" i="1"/>
  <c r="E318" i="98" s="1"/>
  <c r="E336" i="1"/>
  <c r="E311" i="98" s="1"/>
  <c r="E338" i="1"/>
  <c r="E313" i="98" s="1"/>
  <c r="E340" i="1"/>
  <c r="E315" i="98" s="1"/>
  <c r="E101" i="1"/>
  <c r="E87" i="98" s="1"/>
  <c r="E104" i="1"/>
  <c r="E90" i="98" s="1"/>
  <c r="E1054" i="1"/>
  <c r="E1010" i="98" s="1"/>
  <c r="E2" i="1"/>
  <c r="E2" i="98" s="1"/>
  <c r="E76" i="1"/>
  <c r="E70" i="98" s="1"/>
  <c r="E150" i="1"/>
  <c r="E130" i="98" s="1"/>
  <c r="E142" i="1"/>
  <c r="E122" i="98" s="1"/>
  <c r="E160" i="1"/>
  <c r="E140" i="98" s="1"/>
  <c r="E196" i="1"/>
  <c r="E175" i="98" s="1"/>
  <c r="E197" i="1"/>
  <c r="E176" i="98" s="1"/>
  <c r="E188" i="1"/>
  <c r="E167" i="98" s="1"/>
  <c r="E119" i="1"/>
  <c r="E103" i="98" s="1"/>
  <c r="E143" i="1"/>
  <c r="E123" i="98" s="1"/>
  <c r="E155" i="1"/>
  <c r="E135" i="98" s="1"/>
  <c r="E149" i="1"/>
  <c r="E129" i="98" s="1"/>
  <c r="E141" i="1"/>
  <c r="E121" i="98" s="1"/>
  <c r="E167" i="1"/>
  <c r="E147" i="98" s="1"/>
  <c r="E159" i="1"/>
  <c r="E139" i="98" s="1"/>
  <c r="E152" i="1"/>
  <c r="E132" i="98" s="1"/>
  <c r="E170" i="1"/>
  <c r="E150" i="98" s="1"/>
  <c r="E171" i="1"/>
  <c r="E151" i="98" s="1"/>
  <c r="E195" i="1"/>
  <c r="E174" i="98" s="1"/>
  <c r="E187" i="1"/>
  <c r="E166" i="98" s="1"/>
  <c r="E134" i="1"/>
  <c r="E10" i="96" s="1"/>
  <c r="C10" i="96"/>
  <c r="E133" i="1"/>
  <c r="E9" i="96" s="1"/>
  <c r="C9" i="96"/>
  <c r="A346" i="1"/>
  <c r="A321" i="98" s="1"/>
  <c r="C346" i="1"/>
  <c r="C321" i="98" s="1"/>
  <c r="K346" i="1"/>
  <c r="K321" i="98" s="1"/>
  <c r="M346" i="1"/>
  <c r="M321" i="98" s="1"/>
  <c r="N346" i="1"/>
  <c r="N321" i="98" s="1"/>
  <c r="P346" i="1"/>
  <c r="P321" i="98" s="1"/>
  <c r="A439" i="1"/>
  <c r="A411" i="98" s="1"/>
  <c r="C439" i="1"/>
  <c r="C411" i="98" s="1"/>
  <c r="K439" i="1"/>
  <c r="K411" i="98" s="1"/>
  <c r="M439" i="1"/>
  <c r="M411" i="98" s="1"/>
  <c r="N439" i="1"/>
  <c r="N411" i="98" s="1"/>
  <c r="P439" i="1"/>
  <c r="P411" i="98" s="1"/>
  <c r="A438" i="1"/>
  <c r="A410" i="98" s="1"/>
  <c r="C438" i="1"/>
  <c r="C410" i="98" s="1"/>
  <c r="K438" i="1"/>
  <c r="K410" i="98" s="1"/>
  <c r="M438" i="1"/>
  <c r="M410" i="98" s="1"/>
  <c r="N438" i="1"/>
  <c r="N410" i="98" s="1"/>
  <c r="P438" i="1"/>
  <c r="P410" i="98" s="1"/>
  <c r="A455" i="1"/>
  <c r="A427" i="98" s="1"/>
  <c r="C455" i="1"/>
  <c r="C427" i="98" s="1"/>
  <c r="K455" i="1"/>
  <c r="K427" i="98" s="1"/>
  <c r="M455" i="1"/>
  <c r="M427" i="98" s="1"/>
  <c r="N455" i="1"/>
  <c r="N427" i="98" s="1"/>
  <c r="P455" i="1"/>
  <c r="P427" i="98" s="1"/>
  <c r="A447" i="1"/>
  <c r="A419" i="98" s="1"/>
  <c r="C447" i="1"/>
  <c r="C419" i="98" s="1"/>
  <c r="K447" i="1"/>
  <c r="K419" i="98" s="1"/>
  <c r="M447" i="1"/>
  <c r="M419" i="98" s="1"/>
  <c r="N447" i="1"/>
  <c r="N419" i="98" s="1"/>
  <c r="P447" i="1"/>
  <c r="P419" i="98" s="1"/>
  <c r="A437" i="1"/>
  <c r="A409" i="98" s="1"/>
  <c r="C437" i="1"/>
  <c r="C409" i="98" s="1"/>
  <c r="K437" i="1"/>
  <c r="K409" i="98" s="1"/>
  <c r="M437" i="1"/>
  <c r="M409" i="98" s="1"/>
  <c r="N437" i="1"/>
  <c r="N409" i="98" s="1"/>
  <c r="P437" i="1"/>
  <c r="P409" i="98" s="1"/>
  <c r="A436" i="1"/>
  <c r="A408" i="98" s="1"/>
  <c r="C436" i="1"/>
  <c r="C408" i="98" s="1"/>
  <c r="K436" i="1"/>
  <c r="K408" i="98" s="1"/>
  <c r="M436" i="1"/>
  <c r="M408" i="98" s="1"/>
  <c r="N436" i="1"/>
  <c r="N408" i="98" s="1"/>
  <c r="P436" i="1"/>
  <c r="P408" i="98" s="1"/>
  <c r="A446" i="1"/>
  <c r="A418" i="98" s="1"/>
  <c r="C446" i="1"/>
  <c r="C418" i="98" s="1"/>
  <c r="K446" i="1"/>
  <c r="K418" i="98" s="1"/>
  <c r="M446" i="1"/>
  <c r="M418" i="98" s="1"/>
  <c r="N446" i="1"/>
  <c r="N418" i="98" s="1"/>
  <c r="P446" i="1"/>
  <c r="P418" i="98" s="1"/>
  <c r="A445" i="1"/>
  <c r="A417" i="98" s="1"/>
  <c r="C445" i="1"/>
  <c r="C417" i="98" s="1"/>
  <c r="K445" i="1"/>
  <c r="K417" i="98" s="1"/>
  <c r="M445" i="1"/>
  <c r="M417" i="98" s="1"/>
  <c r="N445" i="1"/>
  <c r="N417" i="98" s="1"/>
  <c r="P445" i="1"/>
  <c r="P417" i="98" s="1"/>
  <c r="A435" i="1"/>
  <c r="A407" i="98" s="1"/>
  <c r="C435" i="1"/>
  <c r="C407" i="98" s="1"/>
  <c r="K435" i="1"/>
  <c r="K407" i="98" s="1"/>
  <c r="M435" i="1"/>
  <c r="M407" i="98" s="1"/>
  <c r="N435" i="1"/>
  <c r="N407" i="98" s="1"/>
  <c r="P435" i="1"/>
  <c r="P407" i="98" s="1"/>
  <c r="A454" i="1"/>
  <c r="A426" i="98" s="1"/>
  <c r="C454" i="1"/>
  <c r="C426" i="98" s="1"/>
  <c r="K454" i="1"/>
  <c r="K426" i="98" s="1"/>
  <c r="M454" i="1"/>
  <c r="M426" i="98" s="1"/>
  <c r="N454" i="1"/>
  <c r="N426" i="98" s="1"/>
  <c r="P454" i="1"/>
  <c r="P426" i="98" s="1"/>
  <c r="A444" i="1"/>
  <c r="A416" i="98" s="1"/>
  <c r="C444" i="1"/>
  <c r="C416" i="98" s="1"/>
  <c r="K444" i="1"/>
  <c r="K416" i="98" s="1"/>
  <c r="M444" i="1"/>
  <c r="M416" i="98" s="1"/>
  <c r="N444" i="1"/>
  <c r="N416" i="98" s="1"/>
  <c r="P444" i="1"/>
  <c r="P416" i="98" s="1"/>
  <c r="A434" i="1"/>
  <c r="A406" i="98" s="1"/>
  <c r="C434" i="1"/>
  <c r="C406" i="98" s="1"/>
  <c r="K434" i="1"/>
  <c r="K406" i="98" s="1"/>
  <c r="M434" i="1"/>
  <c r="M406" i="98" s="1"/>
  <c r="N434" i="1"/>
  <c r="N406" i="98" s="1"/>
  <c r="P434" i="1"/>
  <c r="P406" i="98" s="1"/>
  <c r="A433" i="1"/>
  <c r="A405" i="98" s="1"/>
  <c r="C433" i="1"/>
  <c r="C405" i="98" s="1"/>
  <c r="K433" i="1"/>
  <c r="K405" i="98" s="1"/>
  <c r="M433" i="1"/>
  <c r="M405" i="98" s="1"/>
  <c r="N433" i="1"/>
  <c r="N405" i="98" s="1"/>
  <c r="P433" i="1"/>
  <c r="P405" i="98" s="1"/>
  <c r="A432" i="1"/>
  <c r="A404" i="98" s="1"/>
  <c r="C432" i="1"/>
  <c r="C404" i="98" s="1"/>
  <c r="K432" i="1"/>
  <c r="K404" i="98" s="1"/>
  <c r="M432" i="1"/>
  <c r="M404" i="98" s="1"/>
  <c r="N432" i="1"/>
  <c r="N404" i="98" s="1"/>
  <c r="P432" i="1"/>
  <c r="P404" i="98" s="1"/>
  <c r="A451" i="1"/>
  <c r="A423" i="98" s="1"/>
  <c r="C451" i="1"/>
  <c r="C423" i="98" s="1"/>
  <c r="K451" i="1"/>
  <c r="K423" i="98" s="1"/>
  <c r="M451" i="1"/>
  <c r="M423" i="98" s="1"/>
  <c r="N451" i="1"/>
  <c r="N423" i="98" s="1"/>
  <c r="P451" i="1"/>
  <c r="P423" i="98" s="1"/>
  <c r="A442" i="1"/>
  <c r="A414" i="98" s="1"/>
  <c r="C442" i="1"/>
  <c r="C414" i="98" s="1"/>
  <c r="K442" i="1"/>
  <c r="K414" i="98" s="1"/>
  <c r="M442" i="1"/>
  <c r="M414" i="98" s="1"/>
  <c r="N442" i="1"/>
  <c r="N414" i="98" s="1"/>
  <c r="P442" i="1"/>
  <c r="P414" i="98" s="1"/>
  <c r="A458" i="1"/>
  <c r="A430" i="98" s="1"/>
  <c r="C458" i="1"/>
  <c r="C430" i="98" s="1"/>
  <c r="K458" i="1"/>
  <c r="K430" i="98" s="1"/>
  <c r="M458" i="1"/>
  <c r="M430" i="98" s="1"/>
  <c r="N458" i="1"/>
  <c r="N430" i="98" s="1"/>
  <c r="P458" i="1"/>
  <c r="P430" i="98" s="1"/>
  <c r="A450" i="1"/>
  <c r="A422" i="98" s="1"/>
  <c r="C450" i="1"/>
  <c r="C422" i="98" s="1"/>
  <c r="K450" i="1"/>
  <c r="K422" i="98" s="1"/>
  <c r="M450" i="1"/>
  <c r="M422" i="98" s="1"/>
  <c r="N450" i="1"/>
  <c r="N422" i="98" s="1"/>
  <c r="P450" i="1"/>
  <c r="P422" i="98" s="1"/>
  <c r="A441" i="1"/>
  <c r="A413" i="98" s="1"/>
  <c r="C441" i="1"/>
  <c r="C413" i="98" s="1"/>
  <c r="K441" i="1"/>
  <c r="K413" i="98" s="1"/>
  <c r="M441" i="1"/>
  <c r="M413" i="98" s="1"/>
  <c r="N441" i="1"/>
  <c r="N413" i="98" s="1"/>
  <c r="P441" i="1"/>
  <c r="P413" i="98" s="1"/>
  <c r="A431" i="1"/>
  <c r="A403" i="98" s="1"/>
  <c r="C431" i="1"/>
  <c r="C403" i="98" s="1"/>
  <c r="K431" i="1"/>
  <c r="K403" i="98" s="1"/>
  <c r="M431" i="1"/>
  <c r="M403" i="98" s="1"/>
  <c r="N431" i="1"/>
  <c r="N403" i="98" s="1"/>
  <c r="P431" i="1"/>
  <c r="P403" i="98" s="1"/>
  <c r="A457" i="1"/>
  <c r="A429" i="98" s="1"/>
  <c r="C457" i="1"/>
  <c r="C429" i="98" s="1"/>
  <c r="K457" i="1"/>
  <c r="K429" i="98" s="1"/>
  <c r="M457" i="1"/>
  <c r="M429" i="98" s="1"/>
  <c r="N457" i="1"/>
  <c r="N429" i="98" s="1"/>
  <c r="P457" i="1"/>
  <c r="P429" i="98" s="1"/>
  <c r="A449" i="1"/>
  <c r="A421" i="98" s="1"/>
  <c r="C449" i="1"/>
  <c r="C421" i="98" s="1"/>
  <c r="K449" i="1"/>
  <c r="K421" i="98" s="1"/>
  <c r="M449" i="1"/>
  <c r="M421" i="98" s="1"/>
  <c r="N449" i="1"/>
  <c r="N421" i="98" s="1"/>
  <c r="P449" i="1"/>
  <c r="P421" i="98" s="1"/>
  <c r="A456" i="1"/>
  <c r="A428" i="98" s="1"/>
  <c r="C456" i="1"/>
  <c r="C428" i="98" s="1"/>
  <c r="K456" i="1"/>
  <c r="K428" i="98" s="1"/>
  <c r="M456" i="1"/>
  <c r="M428" i="98" s="1"/>
  <c r="N456" i="1"/>
  <c r="N428" i="98" s="1"/>
  <c r="P456" i="1"/>
  <c r="P428" i="98" s="1"/>
  <c r="A448" i="1"/>
  <c r="A420" i="98" s="1"/>
  <c r="C448" i="1"/>
  <c r="C420" i="98" s="1"/>
  <c r="K448" i="1"/>
  <c r="K420" i="98" s="1"/>
  <c r="M448" i="1"/>
  <c r="M420" i="98" s="1"/>
  <c r="N448" i="1"/>
  <c r="N420" i="98" s="1"/>
  <c r="P448" i="1"/>
  <c r="P420" i="98" s="1"/>
  <c r="A440" i="1"/>
  <c r="A412" i="98" s="1"/>
  <c r="C440" i="1"/>
  <c r="C412" i="98" s="1"/>
  <c r="K440" i="1"/>
  <c r="K412" i="98" s="1"/>
  <c r="M440" i="1"/>
  <c r="M412" i="98" s="1"/>
  <c r="N440" i="1"/>
  <c r="N412" i="98" s="1"/>
  <c r="P440" i="1"/>
  <c r="P412" i="98" s="1"/>
  <c r="A430" i="1"/>
  <c r="A402" i="98" s="1"/>
  <c r="C430" i="1"/>
  <c r="C402" i="98" s="1"/>
  <c r="K430" i="1"/>
  <c r="K402" i="98" s="1"/>
  <c r="M430" i="1"/>
  <c r="M402" i="98" s="1"/>
  <c r="N430" i="1"/>
  <c r="N402" i="98" s="1"/>
  <c r="P430" i="1"/>
  <c r="P402" i="98" s="1"/>
  <c r="A453" i="1"/>
  <c r="A425" i="98" s="1"/>
  <c r="C453" i="1"/>
  <c r="C425" i="98" s="1"/>
  <c r="K453" i="1"/>
  <c r="K425" i="98" s="1"/>
  <c r="M453" i="1"/>
  <c r="M425" i="98" s="1"/>
  <c r="N453" i="1"/>
  <c r="N425" i="98" s="1"/>
  <c r="P453" i="1"/>
  <c r="P425" i="98" s="1"/>
  <c r="A443" i="1"/>
  <c r="A415" i="98" s="1"/>
  <c r="C443" i="1"/>
  <c r="C415" i="98" s="1"/>
  <c r="K443" i="1"/>
  <c r="K415" i="98" s="1"/>
  <c r="M443" i="1"/>
  <c r="M415" i="98" s="1"/>
  <c r="N443" i="1"/>
  <c r="N415" i="98" s="1"/>
  <c r="P443" i="1"/>
  <c r="P415" i="98" s="1"/>
  <c r="A429" i="1"/>
  <c r="A401" i="98" s="1"/>
  <c r="C429" i="1"/>
  <c r="C401" i="98" s="1"/>
  <c r="K429" i="1"/>
  <c r="K401" i="98" s="1"/>
  <c r="M429" i="1"/>
  <c r="M401" i="98" s="1"/>
  <c r="N429" i="1"/>
  <c r="N401" i="98" s="1"/>
  <c r="P429" i="1"/>
  <c r="P401" i="98" s="1"/>
  <c r="A428" i="1"/>
  <c r="A400" i="98" s="1"/>
  <c r="C428" i="1"/>
  <c r="C400" i="98" s="1"/>
  <c r="K428" i="1"/>
  <c r="K400" i="98" s="1"/>
  <c r="M428" i="1"/>
  <c r="M400" i="98" s="1"/>
  <c r="N428" i="1"/>
  <c r="N400" i="98" s="1"/>
  <c r="P428" i="1"/>
  <c r="P400" i="98" s="1"/>
  <c r="E440" i="1" l="1"/>
  <c r="E412" i="98" s="1"/>
  <c r="E457" i="1"/>
  <c r="E429" i="98" s="1"/>
  <c r="E458" i="1"/>
  <c r="E430" i="98" s="1"/>
  <c r="E433" i="1"/>
  <c r="E405" i="98" s="1"/>
  <c r="E435" i="1"/>
  <c r="E407" i="98" s="1"/>
  <c r="E437" i="1"/>
  <c r="E409" i="98" s="1"/>
  <c r="E439" i="1"/>
  <c r="E411" i="98" s="1"/>
  <c r="E429" i="1"/>
  <c r="E401" i="98" s="1"/>
  <c r="E428" i="1"/>
  <c r="E400" i="98" s="1"/>
  <c r="E430" i="1"/>
  <c r="E402" i="98" s="1"/>
  <c r="E449" i="1"/>
  <c r="E421" i="98" s="1"/>
  <c r="E450" i="1"/>
  <c r="E422" i="98" s="1"/>
  <c r="E432" i="1"/>
  <c r="E404" i="98" s="1"/>
  <c r="E454" i="1"/>
  <c r="E426" i="98" s="1"/>
  <c r="E436" i="1"/>
  <c r="E408" i="98" s="1"/>
  <c r="E438" i="1"/>
  <c r="E410" i="98" s="1"/>
  <c r="E453" i="1"/>
  <c r="E425" i="98" s="1"/>
  <c r="E456" i="1"/>
  <c r="E428" i="98" s="1"/>
  <c r="E441" i="1"/>
  <c r="E413" i="98" s="1"/>
  <c r="E451" i="1"/>
  <c r="E423" i="98" s="1"/>
  <c r="E444" i="1"/>
  <c r="E416" i="98" s="1"/>
  <c r="E446" i="1"/>
  <c r="E418" i="98" s="1"/>
  <c r="E455" i="1"/>
  <c r="E427" i="98" s="1"/>
  <c r="E443" i="1"/>
  <c r="E415" i="98" s="1"/>
  <c r="E448" i="1"/>
  <c r="E420" i="98" s="1"/>
  <c r="E431" i="1"/>
  <c r="E403" i="98" s="1"/>
  <c r="E442" i="1"/>
  <c r="E414" i="98" s="1"/>
  <c r="E434" i="1"/>
  <c r="E406" i="98" s="1"/>
  <c r="E445" i="1"/>
  <c r="E417" i="98" s="1"/>
  <c r="E447" i="1"/>
  <c r="E419" i="98" s="1"/>
  <c r="E346" i="1"/>
  <c r="E321" i="98" s="1"/>
  <c r="A1277" i="1"/>
  <c r="A1225" i="98" s="1"/>
  <c r="C1277" i="1"/>
  <c r="C1225" i="98" s="1"/>
  <c r="K1277" i="1"/>
  <c r="K1225" i="98" s="1"/>
  <c r="M1277" i="1"/>
  <c r="M1225" i="98" s="1"/>
  <c r="N1277" i="1"/>
  <c r="N1225" i="98" s="1"/>
  <c r="P1277" i="1"/>
  <c r="P1225" i="98" s="1"/>
  <c r="A1276" i="1"/>
  <c r="A1224" i="98" s="1"/>
  <c r="C1276" i="1"/>
  <c r="C1224" i="98" s="1"/>
  <c r="K1276" i="1"/>
  <c r="K1224" i="98" s="1"/>
  <c r="M1276" i="1"/>
  <c r="M1224" i="98" s="1"/>
  <c r="N1276" i="1"/>
  <c r="N1224" i="98" s="1"/>
  <c r="P1276" i="1"/>
  <c r="P1224" i="98" s="1"/>
  <c r="A1275" i="1"/>
  <c r="A1223" i="98" s="1"/>
  <c r="C1275" i="1"/>
  <c r="C1223" i="98" s="1"/>
  <c r="K1275" i="1"/>
  <c r="K1223" i="98" s="1"/>
  <c r="M1275" i="1"/>
  <c r="M1223" i="98" s="1"/>
  <c r="N1275" i="1"/>
  <c r="N1223" i="98" s="1"/>
  <c r="P1275" i="1"/>
  <c r="P1223" i="98" s="1"/>
  <c r="A1274" i="1"/>
  <c r="A1222" i="98" s="1"/>
  <c r="C1274" i="1"/>
  <c r="C1222" i="98" s="1"/>
  <c r="K1274" i="1"/>
  <c r="K1222" i="98" s="1"/>
  <c r="M1274" i="1"/>
  <c r="M1222" i="98" s="1"/>
  <c r="N1274" i="1"/>
  <c r="N1222" i="98" s="1"/>
  <c r="P1274" i="1"/>
  <c r="P1222" i="98" s="1"/>
  <c r="A1273" i="1"/>
  <c r="A1221" i="98" s="1"/>
  <c r="C1273" i="1"/>
  <c r="C1221" i="98" s="1"/>
  <c r="K1273" i="1"/>
  <c r="K1221" i="98" s="1"/>
  <c r="M1273" i="1"/>
  <c r="M1221" i="98" s="1"/>
  <c r="N1273" i="1"/>
  <c r="N1221" i="98" s="1"/>
  <c r="P1273" i="1"/>
  <c r="P1221" i="98" s="1"/>
  <c r="A1272" i="1"/>
  <c r="A1220" i="98" s="1"/>
  <c r="C1272" i="1"/>
  <c r="C1220" i="98" s="1"/>
  <c r="K1272" i="1"/>
  <c r="K1220" i="98" s="1"/>
  <c r="M1272" i="1"/>
  <c r="M1220" i="98" s="1"/>
  <c r="N1272" i="1"/>
  <c r="N1220" i="98" s="1"/>
  <c r="P1272" i="1"/>
  <c r="P1220" i="98" s="1"/>
  <c r="A45" i="6"/>
  <c r="C45" i="6"/>
  <c r="E45" i="6" s="1"/>
  <c r="K45" i="6"/>
  <c r="N45" i="6" s="1"/>
  <c r="O45" i="6" s="1"/>
  <c r="A44" i="6"/>
  <c r="C44" i="6"/>
  <c r="E44" i="6" s="1"/>
  <c r="K44" i="6"/>
  <c r="N44" i="6" s="1"/>
  <c r="O44" i="6" s="1"/>
  <c r="A43" i="6"/>
  <c r="C43" i="6"/>
  <c r="E43" i="6" s="1"/>
  <c r="K43" i="6"/>
  <c r="N43" i="6" s="1"/>
  <c r="O43" i="6" s="1"/>
  <c r="A42" i="6"/>
  <c r="C42" i="6"/>
  <c r="E42" i="6" s="1"/>
  <c r="K42" i="6"/>
  <c r="N42" i="6" s="1"/>
  <c r="O42" i="6" s="1"/>
  <c r="A302" i="1"/>
  <c r="A280" i="98" s="1"/>
  <c r="C302" i="1"/>
  <c r="C280" i="98" s="1"/>
  <c r="K302" i="1"/>
  <c r="K280" i="98" s="1"/>
  <c r="M302" i="1"/>
  <c r="M280" i="98" s="1"/>
  <c r="N302" i="1"/>
  <c r="N280" i="98" s="1"/>
  <c r="P302" i="1"/>
  <c r="P280" i="98" s="1"/>
  <c r="H301" i="1"/>
  <c r="H279" i="98" s="1"/>
  <c r="A301" i="1"/>
  <c r="A279" i="98" s="1"/>
  <c r="C301" i="1"/>
  <c r="C279" i="98" s="1"/>
  <c r="K301" i="1"/>
  <c r="K279" i="98" s="1"/>
  <c r="M301" i="1"/>
  <c r="M279" i="98" s="1"/>
  <c r="N301" i="1"/>
  <c r="N279" i="98" s="1"/>
  <c r="P301" i="1"/>
  <c r="P279" i="98" s="1"/>
  <c r="A300" i="1"/>
  <c r="A278" i="98" s="1"/>
  <c r="C300" i="1"/>
  <c r="C278" i="98" s="1"/>
  <c r="K300" i="1"/>
  <c r="K278" i="98" s="1"/>
  <c r="M300" i="1"/>
  <c r="M278" i="98" s="1"/>
  <c r="N300" i="1"/>
  <c r="N278" i="98" s="1"/>
  <c r="P300" i="1"/>
  <c r="P278" i="98" s="1"/>
  <c r="A1110" i="1"/>
  <c r="A1065" i="98" s="1"/>
  <c r="E302" i="1" l="1"/>
  <c r="E280" i="98" s="1"/>
  <c r="E1273" i="1"/>
  <c r="E1221" i="98" s="1"/>
  <c r="E1277" i="1"/>
  <c r="E1225" i="98" s="1"/>
  <c r="E1272" i="1"/>
  <c r="E1220" i="98" s="1"/>
  <c r="E1276" i="1"/>
  <c r="E1224" i="98" s="1"/>
  <c r="E301" i="1"/>
  <c r="E279" i="98" s="1"/>
  <c r="E300" i="1"/>
  <c r="E278" i="98" s="1"/>
  <c r="E1275" i="1"/>
  <c r="E1223" i="98" s="1"/>
  <c r="E1274" i="1"/>
  <c r="E1222" i="98" s="1"/>
  <c r="A1195" i="1"/>
  <c r="A1148" i="98" s="1"/>
  <c r="C1195" i="1"/>
  <c r="C1148" i="98" s="1"/>
  <c r="K1195" i="1"/>
  <c r="K1148" i="98" s="1"/>
  <c r="M1195" i="1"/>
  <c r="M1148" i="98" s="1"/>
  <c r="N1195" i="1"/>
  <c r="N1148" i="98" s="1"/>
  <c r="P1195" i="1"/>
  <c r="P1148" i="98" s="1"/>
  <c r="A1194" i="1"/>
  <c r="A1147" i="98" s="1"/>
  <c r="C1194" i="1"/>
  <c r="C1147" i="98" s="1"/>
  <c r="K1194" i="1"/>
  <c r="K1147" i="98" s="1"/>
  <c r="M1194" i="1"/>
  <c r="M1147" i="98" s="1"/>
  <c r="N1194" i="1"/>
  <c r="N1147" i="98" s="1"/>
  <c r="P1194" i="1"/>
  <c r="P1147" i="98" s="1"/>
  <c r="A1193" i="1"/>
  <c r="A1146" i="98" s="1"/>
  <c r="C1193" i="1"/>
  <c r="C1146" i="98" s="1"/>
  <c r="K1193" i="1"/>
  <c r="K1146" i="98" s="1"/>
  <c r="M1193" i="1"/>
  <c r="M1146" i="98" s="1"/>
  <c r="N1193" i="1"/>
  <c r="N1146" i="98" s="1"/>
  <c r="P1193" i="1"/>
  <c r="P1146" i="98" s="1"/>
  <c r="A41" i="6"/>
  <c r="C41" i="6"/>
  <c r="E41" i="6" s="1"/>
  <c r="K41" i="6"/>
  <c r="N41" i="6" s="1"/>
  <c r="O41" i="6" s="1"/>
  <c r="A40" i="6"/>
  <c r="C40" i="6"/>
  <c r="E40" i="6" s="1"/>
  <c r="K40" i="6"/>
  <c r="N40" i="6" s="1"/>
  <c r="O40" i="6" s="1"/>
  <c r="E1193" i="1" l="1"/>
  <c r="E1146" i="98" s="1"/>
  <c r="E1195" i="1"/>
  <c r="E1148" i="98" s="1"/>
  <c r="E1194" i="1"/>
  <c r="E1147" i="98" s="1"/>
  <c r="A39" i="6"/>
  <c r="C39" i="6"/>
  <c r="E39" i="6" s="1"/>
  <c r="K39" i="6"/>
  <c r="N39" i="6" s="1"/>
  <c r="O39" i="6" s="1"/>
  <c r="A38" i="6"/>
  <c r="C38" i="6"/>
  <c r="E38" i="6" s="1"/>
  <c r="K38" i="6"/>
  <c r="N38" i="6" s="1"/>
  <c r="O38" i="6" s="1"/>
  <c r="A37" i="6"/>
  <c r="C37" i="6"/>
  <c r="E37" i="6" s="1"/>
  <c r="K37" i="6"/>
  <c r="N37" i="6" s="1"/>
  <c r="O37" i="6" s="1"/>
  <c r="A36" i="6"/>
  <c r="C36" i="6"/>
  <c r="E36" i="6" s="1"/>
  <c r="K36" i="6"/>
  <c r="N36" i="6" s="1"/>
  <c r="O36" i="6" s="1"/>
  <c r="A1096" i="1"/>
  <c r="A1052" i="98" s="1"/>
  <c r="A1097" i="1"/>
  <c r="A1053" i="98" s="1"/>
  <c r="A1098" i="1"/>
  <c r="A1054" i="98" s="1"/>
  <c r="A1099" i="1"/>
  <c r="A1055" i="98" s="1"/>
  <c r="C1096" i="1"/>
  <c r="C1052" i="98" s="1"/>
  <c r="C1097" i="1"/>
  <c r="C1053" i="98" s="1"/>
  <c r="C1098" i="1"/>
  <c r="C1054" i="98" s="1"/>
  <c r="C1099" i="1"/>
  <c r="C1055" i="98" s="1"/>
  <c r="K1096" i="1"/>
  <c r="K1052" i="98" s="1"/>
  <c r="K1097" i="1"/>
  <c r="K1053" i="98" s="1"/>
  <c r="K1098" i="1"/>
  <c r="K1054" i="98" s="1"/>
  <c r="K1099" i="1"/>
  <c r="K1055" i="98" s="1"/>
  <c r="M1096" i="1"/>
  <c r="M1052" i="98" s="1"/>
  <c r="M1097" i="1"/>
  <c r="M1053" i="98" s="1"/>
  <c r="M1098" i="1"/>
  <c r="M1054" i="98" s="1"/>
  <c r="M1099" i="1"/>
  <c r="M1055" i="98" s="1"/>
  <c r="N1096" i="1"/>
  <c r="N1052" i="98" s="1"/>
  <c r="N1097" i="1"/>
  <c r="N1053" i="98" s="1"/>
  <c r="N1098" i="1"/>
  <c r="N1054" i="98" s="1"/>
  <c r="N1099" i="1"/>
  <c r="N1055" i="98" s="1"/>
  <c r="P1096" i="1"/>
  <c r="P1052" i="98" s="1"/>
  <c r="P1097" i="1"/>
  <c r="P1053" i="98" s="1"/>
  <c r="P1098" i="1"/>
  <c r="P1054" i="98" s="1"/>
  <c r="P1099" i="1"/>
  <c r="P1055" i="98" s="1"/>
  <c r="A1116" i="1"/>
  <c r="A1071" i="98" s="1"/>
  <c r="A1100" i="1"/>
  <c r="A1056" i="98" s="1"/>
  <c r="A1101" i="1"/>
  <c r="A1102" i="1"/>
  <c r="A1057" i="98" s="1"/>
  <c r="A1103" i="1"/>
  <c r="A1058" i="98" s="1"/>
  <c r="C1116" i="1"/>
  <c r="C1071" i="98" s="1"/>
  <c r="C1100" i="1"/>
  <c r="C1056" i="98" s="1"/>
  <c r="C1101" i="1"/>
  <c r="E1101" i="1" s="1"/>
  <c r="C1102" i="1"/>
  <c r="C1057" i="98" s="1"/>
  <c r="C1103" i="1"/>
  <c r="C1058" i="98" s="1"/>
  <c r="K1116" i="1"/>
  <c r="K1071" i="98" s="1"/>
  <c r="K1100" i="1"/>
  <c r="K1056" i="98" s="1"/>
  <c r="K1101" i="1"/>
  <c r="K1102" i="1"/>
  <c r="K1057" i="98" s="1"/>
  <c r="K1103" i="1"/>
  <c r="K1058" i="98" s="1"/>
  <c r="M1116" i="1"/>
  <c r="M1071" i="98" s="1"/>
  <c r="M1100" i="1"/>
  <c r="M1056" i="98" s="1"/>
  <c r="M1101" i="1"/>
  <c r="M1102" i="1"/>
  <c r="M1057" i="98" s="1"/>
  <c r="M1103" i="1"/>
  <c r="M1058" i="98" s="1"/>
  <c r="N1116" i="1"/>
  <c r="N1071" i="98" s="1"/>
  <c r="N1100" i="1"/>
  <c r="N1056" i="98" s="1"/>
  <c r="N1101" i="1"/>
  <c r="N1102" i="1"/>
  <c r="N1057" i="98" s="1"/>
  <c r="N1103" i="1"/>
  <c r="N1058" i="98" s="1"/>
  <c r="P1116" i="1"/>
  <c r="P1071" i="98" s="1"/>
  <c r="P1100" i="1"/>
  <c r="P1056" i="98" s="1"/>
  <c r="P1101" i="1"/>
  <c r="P1102" i="1"/>
  <c r="P1057" i="98" s="1"/>
  <c r="P1103" i="1"/>
  <c r="P1058" i="98" s="1"/>
  <c r="E1116" i="1" l="1"/>
  <c r="E1071" i="98" s="1"/>
  <c r="E1098" i="1"/>
  <c r="E1054" i="98" s="1"/>
  <c r="E1097" i="1"/>
  <c r="E1053" i="98" s="1"/>
  <c r="E1096" i="1"/>
  <c r="E1052" i="98" s="1"/>
  <c r="E1103" i="1"/>
  <c r="E1058" i="98" s="1"/>
  <c r="E1102" i="1"/>
  <c r="E1057" i="98" s="1"/>
  <c r="E1100" i="1"/>
  <c r="E1056" i="98" s="1"/>
  <c r="E1099" i="1"/>
  <c r="E1055" i="98" s="1"/>
  <c r="A1118" i="1"/>
  <c r="C1118" i="1"/>
  <c r="E1118" i="1" s="1"/>
  <c r="K1118" i="1"/>
  <c r="M1118" i="1"/>
  <c r="N1118" i="1"/>
  <c r="P1118" i="1"/>
  <c r="A1109" i="1"/>
  <c r="A1064" i="98" s="1"/>
  <c r="A1105" i="1"/>
  <c r="A1060" i="98" s="1"/>
  <c r="A1111" i="1"/>
  <c r="A1066" i="98" s="1"/>
  <c r="A1112" i="1"/>
  <c r="A1067" i="98" s="1"/>
  <c r="A1106" i="1"/>
  <c r="A1061" i="98" s="1"/>
  <c r="A1113" i="1"/>
  <c r="A1068" i="98" s="1"/>
  <c r="A1107" i="1"/>
  <c r="A1062" i="98" s="1"/>
  <c r="A1117" i="1"/>
  <c r="A1072" i="98" s="1"/>
  <c r="A1108" i="1"/>
  <c r="A1063" i="98" s="1"/>
  <c r="A1114" i="1"/>
  <c r="A1069" i="98" s="1"/>
  <c r="A1115" i="1"/>
  <c r="A1070" i="98" s="1"/>
  <c r="C1109" i="1"/>
  <c r="C1064" i="98" s="1"/>
  <c r="C1110" i="1"/>
  <c r="C1065" i="98" s="1"/>
  <c r="C1105" i="1"/>
  <c r="C1060" i="98" s="1"/>
  <c r="C1111" i="1"/>
  <c r="C1066" i="98" s="1"/>
  <c r="C1112" i="1"/>
  <c r="C1067" i="98" s="1"/>
  <c r="C1106" i="1"/>
  <c r="C1061" i="98" s="1"/>
  <c r="C1113" i="1"/>
  <c r="C1068" i="98" s="1"/>
  <c r="C1107" i="1"/>
  <c r="C1062" i="98" s="1"/>
  <c r="C1117" i="1"/>
  <c r="C1072" i="98" s="1"/>
  <c r="C1108" i="1"/>
  <c r="C1063" i="98" s="1"/>
  <c r="C1114" i="1"/>
  <c r="C1069" i="98" s="1"/>
  <c r="C1115" i="1"/>
  <c r="C1070" i="98" s="1"/>
  <c r="K1109" i="1"/>
  <c r="K1064" i="98" s="1"/>
  <c r="K1110" i="1"/>
  <c r="K1065" i="98" s="1"/>
  <c r="K1105" i="1"/>
  <c r="K1060" i="98" s="1"/>
  <c r="K1111" i="1"/>
  <c r="K1066" i="98" s="1"/>
  <c r="K1112" i="1"/>
  <c r="K1067" i="98" s="1"/>
  <c r="K1106" i="1"/>
  <c r="K1061" i="98" s="1"/>
  <c r="K1113" i="1"/>
  <c r="K1068" i="98" s="1"/>
  <c r="K1107" i="1"/>
  <c r="K1062" i="98" s="1"/>
  <c r="K1117" i="1"/>
  <c r="K1072" i="98" s="1"/>
  <c r="K1108" i="1"/>
  <c r="K1063" i="98" s="1"/>
  <c r="K1114" i="1"/>
  <c r="K1069" i="98" s="1"/>
  <c r="K1115" i="1"/>
  <c r="K1070" i="98" s="1"/>
  <c r="M1109" i="1"/>
  <c r="M1064" i="98" s="1"/>
  <c r="M1110" i="1"/>
  <c r="M1065" i="98" s="1"/>
  <c r="M1105" i="1"/>
  <c r="M1060" i="98" s="1"/>
  <c r="M1111" i="1"/>
  <c r="M1066" i="98" s="1"/>
  <c r="M1112" i="1"/>
  <c r="M1067" i="98" s="1"/>
  <c r="M1106" i="1"/>
  <c r="M1061" i="98" s="1"/>
  <c r="M1113" i="1"/>
  <c r="M1068" i="98" s="1"/>
  <c r="M1107" i="1"/>
  <c r="M1062" i="98" s="1"/>
  <c r="M1117" i="1"/>
  <c r="M1072" i="98" s="1"/>
  <c r="M1108" i="1"/>
  <c r="M1063" i="98" s="1"/>
  <c r="M1114" i="1"/>
  <c r="M1069" i="98" s="1"/>
  <c r="M1115" i="1"/>
  <c r="M1070" i="98" s="1"/>
  <c r="N1109" i="1"/>
  <c r="N1064" i="98" s="1"/>
  <c r="N1110" i="1"/>
  <c r="N1065" i="98" s="1"/>
  <c r="N1105" i="1"/>
  <c r="N1060" i="98" s="1"/>
  <c r="N1111" i="1"/>
  <c r="N1066" i="98" s="1"/>
  <c r="N1112" i="1"/>
  <c r="N1067" i="98" s="1"/>
  <c r="N1106" i="1"/>
  <c r="N1061" i="98" s="1"/>
  <c r="N1113" i="1"/>
  <c r="N1068" i="98" s="1"/>
  <c r="N1107" i="1"/>
  <c r="N1062" i="98" s="1"/>
  <c r="N1117" i="1"/>
  <c r="N1072" i="98" s="1"/>
  <c r="N1108" i="1"/>
  <c r="N1063" i="98" s="1"/>
  <c r="N1114" i="1"/>
  <c r="N1069" i="98" s="1"/>
  <c r="N1115" i="1"/>
  <c r="N1070" i="98" s="1"/>
  <c r="P1109" i="1"/>
  <c r="P1064" i="98" s="1"/>
  <c r="P1110" i="1"/>
  <c r="P1065" i="98" s="1"/>
  <c r="P1105" i="1"/>
  <c r="P1060" i="98" s="1"/>
  <c r="P1111" i="1"/>
  <c r="P1066" i="98" s="1"/>
  <c r="P1112" i="1"/>
  <c r="P1067" i="98" s="1"/>
  <c r="P1106" i="1"/>
  <c r="P1061" i="98" s="1"/>
  <c r="P1113" i="1"/>
  <c r="P1068" i="98" s="1"/>
  <c r="P1107" i="1"/>
  <c r="P1062" i="98" s="1"/>
  <c r="P1117" i="1"/>
  <c r="P1072" i="98" s="1"/>
  <c r="P1108" i="1"/>
  <c r="P1063" i="98" s="1"/>
  <c r="P1114" i="1"/>
  <c r="P1069" i="98" s="1"/>
  <c r="P1115" i="1"/>
  <c r="P1070" i="98" s="1"/>
  <c r="A1179" i="1"/>
  <c r="A1132" i="98" s="1"/>
  <c r="C1179" i="1"/>
  <c r="C1132" i="98" s="1"/>
  <c r="K1179" i="1"/>
  <c r="K1132" i="98" s="1"/>
  <c r="M1179" i="1"/>
  <c r="M1132" i="98" s="1"/>
  <c r="N1179" i="1"/>
  <c r="N1132" i="98" s="1"/>
  <c r="P1179" i="1"/>
  <c r="P1132" i="98" s="1"/>
  <c r="A1197" i="1"/>
  <c r="A1150" i="98" s="1"/>
  <c r="A1196" i="1"/>
  <c r="A1149" i="98" s="1"/>
  <c r="A1198" i="1"/>
  <c r="A1151" i="98" s="1"/>
  <c r="C1197" i="1"/>
  <c r="C1150" i="98" s="1"/>
  <c r="C1196" i="1"/>
  <c r="C1149" i="98" s="1"/>
  <c r="C1198" i="1"/>
  <c r="C1151" i="98" s="1"/>
  <c r="K1197" i="1"/>
  <c r="K1150" i="98" s="1"/>
  <c r="K1196" i="1"/>
  <c r="K1149" i="98" s="1"/>
  <c r="K1198" i="1"/>
  <c r="K1151" i="98" s="1"/>
  <c r="M1197" i="1"/>
  <c r="M1150" i="98" s="1"/>
  <c r="M1196" i="1"/>
  <c r="M1149" i="98" s="1"/>
  <c r="M1198" i="1"/>
  <c r="M1151" i="98" s="1"/>
  <c r="N1197" i="1"/>
  <c r="N1150" i="98" s="1"/>
  <c r="N1196" i="1"/>
  <c r="N1149" i="98" s="1"/>
  <c r="N1198" i="1"/>
  <c r="N1151" i="98" s="1"/>
  <c r="P1197" i="1"/>
  <c r="P1150" i="98" s="1"/>
  <c r="P1196" i="1"/>
  <c r="P1149" i="98" s="1"/>
  <c r="P1198" i="1"/>
  <c r="P1151" i="98" s="1"/>
  <c r="A1240" i="1"/>
  <c r="C1240" i="1"/>
  <c r="E1240" i="1" s="1"/>
  <c r="K1240" i="1"/>
  <c r="M1240" i="1"/>
  <c r="N1240" i="1"/>
  <c r="P1240" i="1"/>
  <c r="A1239" i="1"/>
  <c r="A1190" i="98" s="1"/>
  <c r="C1239" i="1"/>
  <c r="C1190" i="98" s="1"/>
  <c r="K1239" i="1"/>
  <c r="K1190" i="98" s="1"/>
  <c r="M1239" i="1"/>
  <c r="M1190" i="98" s="1"/>
  <c r="N1239" i="1"/>
  <c r="N1190" i="98" s="1"/>
  <c r="P1239" i="1"/>
  <c r="P1190" i="98" s="1"/>
  <c r="A1238" i="1"/>
  <c r="A1189" i="98" s="1"/>
  <c r="C1238" i="1"/>
  <c r="C1189" i="98" s="1"/>
  <c r="K1238" i="1"/>
  <c r="K1189" i="98" s="1"/>
  <c r="M1238" i="1"/>
  <c r="M1189" i="98" s="1"/>
  <c r="N1238" i="1"/>
  <c r="N1189" i="98" s="1"/>
  <c r="P1238" i="1"/>
  <c r="P1189" i="98" s="1"/>
  <c r="M1269" i="1"/>
  <c r="M1218" i="98" s="1"/>
  <c r="M1268" i="1"/>
  <c r="M1217" i="98" s="1"/>
  <c r="A1235" i="1"/>
  <c r="A1187" i="98" s="1"/>
  <c r="C1235" i="1"/>
  <c r="C1187" i="98" s="1"/>
  <c r="K1235" i="1"/>
  <c r="K1187" i="98" s="1"/>
  <c r="M1235" i="1"/>
  <c r="M1187" i="98" s="1"/>
  <c r="N1235" i="1"/>
  <c r="N1187" i="98" s="1"/>
  <c r="P1235" i="1"/>
  <c r="P1187" i="98" s="1"/>
  <c r="E1235" i="1" l="1"/>
  <c r="E1187" i="98" s="1"/>
  <c r="E1238" i="1"/>
  <c r="E1189" i="98" s="1"/>
  <c r="E1105" i="1"/>
  <c r="E1060" i="98" s="1"/>
  <c r="E1108" i="1"/>
  <c r="E1063" i="98" s="1"/>
  <c r="E1198" i="1"/>
  <c r="E1151" i="98" s="1"/>
  <c r="E1117" i="1"/>
  <c r="E1072" i="98" s="1"/>
  <c r="E1110" i="1"/>
  <c r="E1065" i="98" s="1"/>
  <c r="E1196" i="1"/>
  <c r="E1149" i="98" s="1"/>
  <c r="E1107" i="1"/>
  <c r="E1062" i="98" s="1"/>
  <c r="E1109" i="1"/>
  <c r="E1064" i="98" s="1"/>
  <c r="E1197" i="1"/>
  <c r="E1150" i="98" s="1"/>
  <c r="E1113" i="1"/>
  <c r="E1068" i="98" s="1"/>
  <c r="E1106" i="1"/>
  <c r="E1061" i="98" s="1"/>
  <c r="E1239" i="1"/>
  <c r="E1190" i="98" s="1"/>
  <c r="E1115" i="1"/>
  <c r="E1070" i="98" s="1"/>
  <c r="E1112" i="1"/>
  <c r="E1067" i="98" s="1"/>
  <c r="E1179" i="1"/>
  <c r="E1132" i="98" s="1"/>
  <c r="E1114" i="1"/>
  <c r="E1069" i="98" s="1"/>
  <c r="E1111" i="1"/>
  <c r="E1066" i="98" s="1"/>
  <c r="A1255" i="1"/>
  <c r="A1205" i="98" s="1"/>
  <c r="C1255" i="1"/>
  <c r="C1205" i="98" s="1"/>
  <c r="K1255" i="1"/>
  <c r="K1205" i="98" s="1"/>
  <c r="M1255" i="1"/>
  <c r="M1205" i="98" s="1"/>
  <c r="N1255" i="1"/>
  <c r="N1205" i="98" s="1"/>
  <c r="P1255" i="1"/>
  <c r="P1205" i="98" s="1"/>
  <c r="A1250" i="1"/>
  <c r="A1200" i="98" s="1"/>
  <c r="A1241" i="1"/>
  <c r="A1191" i="98" s="1"/>
  <c r="A1246" i="1"/>
  <c r="A1196" i="98" s="1"/>
  <c r="A1248" i="1"/>
  <c r="A1198" i="98" s="1"/>
  <c r="A1242" i="1"/>
  <c r="A1192" i="98" s="1"/>
  <c r="A1251" i="1"/>
  <c r="A1201" i="98" s="1"/>
  <c r="A1252" i="1"/>
  <c r="A1202" i="98" s="1"/>
  <c r="A1230" i="1"/>
  <c r="A1182" i="98" s="1"/>
  <c r="A1231" i="1"/>
  <c r="A1183" i="98" s="1"/>
  <c r="A1232" i="1"/>
  <c r="A1184" i="98" s="1"/>
  <c r="A1245" i="1"/>
  <c r="A1195" i="98" s="1"/>
  <c r="A1243" i="1"/>
  <c r="A1193" i="98" s="1"/>
  <c r="A1249" i="1"/>
  <c r="A1199" i="98" s="1"/>
  <c r="A1233" i="1"/>
  <c r="A1185" i="98" s="1"/>
  <c r="A1234" i="1"/>
  <c r="A1186" i="98" s="1"/>
  <c r="A1253" i="1"/>
  <c r="A1203" i="98" s="1"/>
  <c r="A1254" i="1"/>
  <c r="A1204" i="98" s="1"/>
  <c r="A1247" i="1"/>
  <c r="A1197" i="98" s="1"/>
  <c r="C1250" i="1"/>
  <c r="C1200" i="98" s="1"/>
  <c r="C1241" i="1"/>
  <c r="C1191" i="98" s="1"/>
  <c r="C1246" i="1"/>
  <c r="C1196" i="98" s="1"/>
  <c r="C1248" i="1"/>
  <c r="C1198" i="98" s="1"/>
  <c r="C1242" i="1"/>
  <c r="C1192" i="98" s="1"/>
  <c r="C1251" i="1"/>
  <c r="C1201" i="98" s="1"/>
  <c r="C1252" i="1"/>
  <c r="C1202" i="98" s="1"/>
  <c r="C1230" i="1"/>
  <c r="C1182" i="98" s="1"/>
  <c r="C1231" i="1"/>
  <c r="C1183" i="98" s="1"/>
  <c r="C1232" i="1"/>
  <c r="C1184" i="98" s="1"/>
  <c r="C1245" i="1"/>
  <c r="C1195" i="98" s="1"/>
  <c r="C1243" i="1"/>
  <c r="C1193" i="98" s="1"/>
  <c r="C1249" i="1"/>
  <c r="C1199" i="98" s="1"/>
  <c r="C1233" i="1"/>
  <c r="C1185" i="98" s="1"/>
  <c r="C1234" i="1"/>
  <c r="C1186" i="98" s="1"/>
  <c r="C1253" i="1"/>
  <c r="C1203" i="98" s="1"/>
  <c r="C1254" i="1"/>
  <c r="C1204" i="98" s="1"/>
  <c r="C1247" i="1"/>
  <c r="C1197" i="98" s="1"/>
  <c r="K1250" i="1"/>
  <c r="K1200" i="98" s="1"/>
  <c r="K1241" i="1"/>
  <c r="K1191" i="98" s="1"/>
  <c r="K1246" i="1"/>
  <c r="K1196" i="98" s="1"/>
  <c r="K1248" i="1"/>
  <c r="K1198" i="98" s="1"/>
  <c r="K1242" i="1"/>
  <c r="K1192" i="98" s="1"/>
  <c r="K1251" i="1"/>
  <c r="K1201" i="98" s="1"/>
  <c r="K1252" i="1"/>
  <c r="K1202" i="98" s="1"/>
  <c r="K1230" i="1"/>
  <c r="K1182" i="98" s="1"/>
  <c r="K1231" i="1"/>
  <c r="K1183" i="98" s="1"/>
  <c r="K1232" i="1"/>
  <c r="K1184" i="98" s="1"/>
  <c r="K1245" i="1"/>
  <c r="K1195" i="98" s="1"/>
  <c r="K1243" i="1"/>
  <c r="K1193" i="98" s="1"/>
  <c r="K1249" i="1"/>
  <c r="K1199" i="98" s="1"/>
  <c r="K1233" i="1"/>
  <c r="K1185" i="98" s="1"/>
  <c r="K1234" i="1"/>
  <c r="K1186" i="98" s="1"/>
  <c r="K1253" i="1"/>
  <c r="K1203" i="98" s="1"/>
  <c r="K1254" i="1"/>
  <c r="K1204" i="98" s="1"/>
  <c r="K1247" i="1"/>
  <c r="K1197" i="98" s="1"/>
  <c r="M1250" i="1"/>
  <c r="M1200" i="98" s="1"/>
  <c r="M1241" i="1"/>
  <c r="M1191" i="98" s="1"/>
  <c r="M1246" i="1"/>
  <c r="M1196" i="98" s="1"/>
  <c r="M1248" i="1"/>
  <c r="M1198" i="98" s="1"/>
  <c r="M1242" i="1"/>
  <c r="M1192" i="98" s="1"/>
  <c r="M1251" i="1"/>
  <c r="M1201" i="98" s="1"/>
  <c r="M1252" i="1"/>
  <c r="M1202" i="98" s="1"/>
  <c r="M1230" i="1"/>
  <c r="M1182" i="98" s="1"/>
  <c r="M1231" i="1"/>
  <c r="M1183" i="98" s="1"/>
  <c r="M1232" i="1"/>
  <c r="M1184" i="98" s="1"/>
  <c r="M1245" i="1"/>
  <c r="M1195" i="98" s="1"/>
  <c r="M1243" i="1"/>
  <c r="M1193" i="98" s="1"/>
  <c r="M1249" i="1"/>
  <c r="M1199" i="98" s="1"/>
  <c r="M1233" i="1"/>
  <c r="M1185" i="98" s="1"/>
  <c r="M1234" i="1"/>
  <c r="M1186" i="98" s="1"/>
  <c r="M1253" i="1"/>
  <c r="M1203" i="98" s="1"/>
  <c r="M1254" i="1"/>
  <c r="M1204" i="98" s="1"/>
  <c r="M1247" i="1"/>
  <c r="M1197" i="98" s="1"/>
  <c r="N1250" i="1"/>
  <c r="N1200" i="98" s="1"/>
  <c r="N1241" i="1"/>
  <c r="N1191" i="98" s="1"/>
  <c r="N1246" i="1"/>
  <c r="N1196" i="98" s="1"/>
  <c r="N1248" i="1"/>
  <c r="N1198" i="98" s="1"/>
  <c r="N1242" i="1"/>
  <c r="N1192" i="98" s="1"/>
  <c r="N1251" i="1"/>
  <c r="N1201" i="98" s="1"/>
  <c r="N1252" i="1"/>
  <c r="N1202" i="98" s="1"/>
  <c r="N1230" i="1"/>
  <c r="N1182" i="98" s="1"/>
  <c r="N1231" i="1"/>
  <c r="N1183" i="98" s="1"/>
  <c r="N1232" i="1"/>
  <c r="N1184" i="98" s="1"/>
  <c r="N1245" i="1"/>
  <c r="N1195" i="98" s="1"/>
  <c r="N1243" i="1"/>
  <c r="N1193" i="98" s="1"/>
  <c r="N1249" i="1"/>
  <c r="N1199" i="98" s="1"/>
  <c r="N1233" i="1"/>
  <c r="N1185" i="98" s="1"/>
  <c r="N1234" i="1"/>
  <c r="N1186" i="98" s="1"/>
  <c r="N1253" i="1"/>
  <c r="N1203" i="98" s="1"/>
  <c r="N1254" i="1"/>
  <c r="N1204" i="98" s="1"/>
  <c r="N1247" i="1"/>
  <c r="N1197" i="98" s="1"/>
  <c r="P1250" i="1"/>
  <c r="P1200" i="98" s="1"/>
  <c r="P1241" i="1"/>
  <c r="P1191" i="98" s="1"/>
  <c r="P1246" i="1"/>
  <c r="P1196" i="98" s="1"/>
  <c r="P1248" i="1"/>
  <c r="P1198" i="98" s="1"/>
  <c r="P1242" i="1"/>
  <c r="P1192" i="98" s="1"/>
  <c r="P1251" i="1"/>
  <c r="P1201" i="98" s="1"/>
  <c r="P1252" i="1"/>
  <c r="P1202" i="98" s="1"/>
  <c r="P1230" i="1"/>
  <c r="P1182" i="98" s="1"/>
  <c r="P1231" i="1"/>
  <c r="P1183" i="98" s="1"/>
  <c r="P1232" i="1"/>
  <c r="P1184" i="98" s="1"/>
  <c r="P1245" i="1"/>
  <c r="P1195" i="98" s="1"/>
  <c r="P1243" i="1"/>
  <c r="P1193" i="98" s="1"/>
  <c r="P1249" i="1"/>
  <c r="P1199" i="98" s="1"/>
  <c r="P1233" i="1"/>
  <c r="P1185" i="98" s="1"/>
  <c r="P1234" i="1"/>
  <c r="P1186" i="98" s="1"/>
  <c r="P1253" i="1"/>
  <c r="P1203" i="98" s="1"/>
  <c r="P1254" i="1"/>
  <c r="P1204" i="98" s="1"/>
  <c r="P1247" i="1"/>
  <c r="P1197" i="98" s="1"/>
  <c r="E1250" i="1" l="1"/>
  <c r="E1200" i="98" s="1"/>
  <c r="E1234" i="1"/>
  <c r="E1186" i="98" s="1"/>
  <c r="E1252" i="1"/>
  <c r="E1202" i="98" s="1"/>
  <c r="E1233" i="1"/>
  <c r="E1185" i="98" s="1"/>
  <c r="E1251" i="1"/>
  <c r="E1201" i="98" s="1"/>
  <c r="E1231" i="1"/>
  <c r="E1183" i="98" s="1"/>
  <c r="E1230" i="1"/>
  <c r="E1182" i="98" s="1"/>
  <c r="E1249" i="1"/>
  <c r="E1199" i="98" s="1"/>
  <c r="E1253" i="1"/>
  <c r="E1203" i="98" s="1"/>
  <c r="E1242" i="1"/>
  <c r="E1192" i="98" s="1"/>
  <c r="E1243" i="1"/>
  <c r="E1193" i="98" s="1"/>
  <c r="E1248" i="1"/>
  <c r="E1198" i="98" s="1"/>
  <c r="E1245" i="1"/>
  <c r="E1195" i="98" s="1"/>
  <c r="E1246" i="1"/>
  <c r="E1196" i="98" s="1"/>
  <c r="E1247" i="1"/>
  <c r="E1197" i="98" s="1"/>
  <c r="E1232" i="1"/>
  <c r="E1184" i="98" s="1"/>
  <c r="E1241" i="1"/>
  <c r="E1191" i="98" s="1"/>
  <c r="E1255" i="1"/>
  <c r="E1205" i="98" s="1"/>
  <c r="E1254" i="1"/>
  <c r="E1204" i="98" s="1"/>
  <c r="A1259" i="1"/>
  <c r="A1209" i="98" s="1"/>
  <c r="A1260" i="1"/>
  <c r="A1210" i="98" s="1"/>
  <c r="A1261" i="1"/>
  <c r="A1211" i="98" s="1"/>
  <c r="C1259" i="1"/>
  <c r="C1209" i="98" s="1"/>
  <c r="C1260" i="1"/>
  <c r="C1210" i="98" s="1"/>
  <c r="C1261" i="1"/>
  <c r="C1211" i="98" s="1"/>
  <c r="K1259" i="1"/>
  <c r="K1209" i="98" s="1"/>
  <c r="K1260" i="1"/>
  <c r="K1210" i="98" s="1"/>
  <c r="K1261" i="1"/>
  <c r="K1211" i="98" s="1"/>
  <c r="M1259" i="1"/>
  <c r="M1209" i="98" s="1"/>
  <c r="M1260" i="1"/>
  <c r="M1210" i="98" s="1"/>
  <c r="M1261" i="1"/>
  <c r="M1211" i="98" s="1"/>
  <c r="N1259" i="1"/>
  <c r="N1209" i="98" s="1"/>
  <c r="N1260" i="1"/>
  <c r="N1210" i="98" s="1"/>
  <c r="N1261" i="1"/>
  <c r="N1211" i="98" s="1"/>
  <c r="P1259" i="1"/>
  <c r="P1209" i="98" s="1"/>
  <c r="P1260" i="1"/>
  <c r="P1210" i="98" s="1"/>
  <c r="P1261" i="1"/>
  <c r="P1211" i="98" s="1"/>
  <c r="A1262" i="1"/>
  <c r="A1212" i="98" s="1"/>
  <c r="A1263" i="1"/>
  <c r="A1213" i="98" s="1"/>
  <c r="C1262" i="1"/>
  <c r="C1212" i="98" s="1"/>
  <c r="C1263" i="1"/>
  <c r="C1213" i="98" s="1"/>
  <c r="K1262" i="1"/>
  <c r="K1212" i="98" s="1"/>
  <c r="K1263" i="1"/>
  <c r="K1213" i="98" s="1"/>
  <c r="M1262" i="1"/>
  <c r="M1212" i="98" s="1"/>
  <c r="M1263" i="1"/>
  <c r="M1213" i="98" s="1"/>
  <c r="N1262" i="1"/>
  <c r="N1212" i="98" s="1"/>
  <c r="N1263" i="1"/>
  <c r="N1213" i="98" s="1"/>
  <c r="P1262" i="1"/>
  <c r="P1212" i="98" s="1"/>
  <c r="P1263" i="1"/>
  <c r="P1213" i="98" s="1"/>
  <c r="A1265" i="1"/>
  <c r="C1265" i="1"/>
  <c r="E1265" i="1" s="1"/>
  <c r="K1265" i="1"/>
  <c r="M1265" i="1"/>
  <c r="N1265" i="1"/>
  <c r="P1265" i="1"/>
  <c r="A1264" i="1"/>
  <c r="A1214" i="98" s="1"/>
  <c r="C1264" i="1"/>
  <c r="C1214" i="98" s="1"/>
  <c r="K1264" i="1"/>
  <c r="K1214" i="98" s="1"/>
  <c r="M1264" i="1"/>
  <c r="M1214" i="98" s="1"/>
  <c r="N1264" i="1"/>
  <c r="N1214" i="98" s="1"/>
  <c r="P1264" i="1"/>
  <c r="P1214" i="98" s="1"/>
  <c r="E1264" i="1" l="1"/>
  <c r="E1214" i="98" s="1"/>
  <c r="E1263" i="1"/>
  <c r="E1213" i="98" s="1"/>
  <c r="E1261" i="1"/>
  <c r="E1211" i="98" s="1"/>
  <c r="E1262" i="1"/>
  <c r="E1212" i="98" s="1"/>
  <c r="E1260" i="1"/>
  <c r="E1210" i="98" s="1"/>
  <c r="E1259" i="1"/>
  <c r="E1209" i="98" s="1"/>
  <c r="A1266" i="1"/>
  <c r="A1215" i="98" s="1"/>
  <c r="A1267" i="1"/>
  <c r="A1216" i="98" s="1"/>
  <c r="A1268" i="1"/>
  <c r="A1217" i="98" s="1"/>
  <c r="A1269" i="1"/>
  <c r="A1218" i="98" s="1"/>
  <c r="A1270" i="1"/>
  <c r="A1219" i="98" s="1"/>
  <c r="C1266" i="1"/>
  <c r="C1215" i="98" s="1"/>
  <c r="C1267" i="1"/>
  <c r="C1216" i="98" s="1"/>
  <c r="C1268" i="1"/>
  <c r="C1217" i="98" s="1"/>
  <c r="C1269" i="1"/>
  <c r="C1218" i="98" s="1"/>
  <c r="C1270" i="1"/>
  <c r="C1219" i="98" s="1"/>
  <c r="K1266" i="1"/>
  <c r="K1215" i="98" s="1"/>
  <c r="K1267" i="1"/>
  <c r="K1216" i="98" s="1"/>
  <c r="K1268" i="1"/>
  <c r="K1217" i="98" s="1"/>
  <c r="K1269" i="1"/>
  <c r="K1218" i="98" s="1"/>
  <c r="K1270" i="1"/>
  <c r="K1219" i="98" s="1"/>
  <c r="M1266" i="1"/>
  <c r="M1215" i="98" s="1"/>
  <c r="M1267" i="1"/>
  <c r="M1216" i="98" s="1"/>
  <c r="M1270" i="1"/>
  <c r="M1219" i="98" s="1"/>
  <c r="N1266" i="1"/>
  <c r="N1215" i="98" s="1"/>
  <c r="N1267" i="1"/>
  <c r="N1216" i="98" s="1"/>
  <c r="N1268" i="1"/>
  <c r="N1217" i="98" s="1"/>
  <c r="N1269" i="1"/>
  <c r="N1218" i="98" s="1"/>
  <c r="N1270" i="1"/>
  <c r="N1219" i="98" s="1"/>
  <c r="P1266" i="1"/>
  <c r="P1215" i="98" s="1"/>
  <c r="P1267" i="1"/>
  <c r="P1216" i="98" s="1"/>
  <c r="P1268" i="1"/>
  <c r="P1217" i="98" s="1"/>
  <c r="P1269" i="1"/>
  <c r="P1218" i="98" s="1"/>
  <c r="P1270" i="1"/>
  <c r="P1219" i="98" s="1"/>
  <c r="A327" i="1"/>
  <c r="A302" i="98" s="1"/>
  <c r="A328" i="1"/>
  <c r="A303" i="98" s="1"/>
  <c r="A329" i="1"/>
  <c r="A304" i="98" s="1"/>
  <c r="A330" i="1"/>
  <c r="A305" i="98" s="1"/>
  <c r="C327" i="1"/>
  <c r="C302" i="98" s="1"/>
  <c r="C328" i="1"/>
  <c r="C303" i="98" s="1"/>
  <c r="C329" i="1"/>
  <c r="C304" i="98" s="1"/>
  <c r="C330" i="1"/>
  <c r="C305" i="98" s="1"/>
  <c r="K327" i="1"/>
  <c r="K302" i="98" s="1"/>
  <c r="K328" i="1"/>
  <c r="K303" i="98" s="1"/>
  <c r="K329" i="1"/>
  <c r="K304" i="98" s="1"/>
  <c r="K330" i="1"/>
  <c r="K305" i="98" s="1"/>
  <c r="M327" i="1"/>
  <c r="M302" i="98" s="1"/>
  <c r="M328" i="1"/>
  <c r="M303" i="98" s="1"/>
  <c r="M329" i="1"/>
  <c r="M304" i="98" s="1"/>
  <c r="M330" i="1"/>
  <c r="M305" i="98" s="1"/>
  <c r="N327" i="1"/>
  <c r="N302" i="98" s="1"/>
  <c r="N328" i="1"/>
  <c r="N303" i="98" s="1"/>
  <c r="N329" i="1"/>
  <c r="N304" i="98" s="1"/>
  <c r="N330" i="1"/>
  <c r="N305" i="98" s="1"/>
  <c r="P327" i="1"/>
  <c r="P302" i="98" s="1"/>
  <c r="P328" i="1"/>
  <c r="P303" i="98" s="1"/>
  <c r="P329" i="1"/>
  <c r="P304" i="98" s="1"/>
  <c r="P330" i="1"/>
  <c r="P305" i="98" s="1"/>
  <c r="A326" i="1"/>
  <c r="A301" i="98" s="1"/>
  <c r="C326" i="1"/>
  <c r="C301" i="98" s="1"/>
  <c r="K326" i="1"/>
  <c r="K301" i="98" s="1"/>
  <c r="M326" i="1"/>
  <c r="M301" i="98" s="1"/>
  <c r="N326" i="1"/>
  <c r="N301" i="98" s="1"/>
  <c r="P326" i="1"/>
  <c r="P301" i="98" s="1"/>
  <c r="A35" i="6"/>
  <c r="C35" i="6"/>
  <c r="E35" i="6" s="1"/>
  <c r="K35" i="6"/>
  <c r="N35" i="6" s="1"/>
  <c r="O35" i="6" s="1"/>
  <c r="E330" i="1" l="1"/>
  <c r="E305" i="98" s="1"/>
  <c r="E329" i="1"/>
  <c r="E304" i="98" s="1"/>
  <c r="E328" i="1"/>
  <c r="E303" i="98" s="1"/>
  <c r="E1270" i="1"/>
  <c r="E1219" i="98" s="1"/>
  <c r="E327" i="1"/>
  <c r="E302" i="98" s="1"/>
  <c r="E1269" i="1"/>
  <c r="E1218" i="98" s="1"/>
  <c r="E1268" i="1"/>
  <c r="E1217" i="98" s="1"/>
  <c r="E1267" i="1"/>
  <c r="E1216" i="98" s="1"/>
  <c r="E326" i="1"/>
  <c r="E301" i="98" s="1"/>
  <c r="E1266" i="1"/>
  <c r="E1215" i="98" s="1"/>
  <c r="A79" i="1"/>
  <c r="C79" i="1"/>
  <c r="E79" i="1" s="1"/>
  <c r="K79" i="1"/>
  <c r="M79" i="1"/>
  <c r="N79" i="1"/>
  <c r="P79" i="1"/>
  <c r="A78" i="1" l="1"/>
  <c r="C78" i="1"/>
  <c r="E78" i="1" s="1"/>
  <c r="K78" i="1"/>
  <c r="M78" i="1"/>
  <c r="N78" i="1"/>
  <c r="P78" i="1"/>
  <c r="N298" i="1"/>
  <c r="N299" i="1"/>
  <c r="N277" i="98" s="1"/>
  <c r="N847" i="1"/>
  <c r="N811" i="98" s="1"/>
  <c r="N896" i="1"/>
  <c r="N860" i="98" s="1"/>
  <c r="N848" i="1"/>
  <c r="N812" i="98" s="1"/>
  <c r="N849" i="1"/>
  <c r="N813" i="98" s="1"/>
  <c r="N850" i="1"/>
  <c r="N814" i="98" s="1"/>
  <c r="N851" i="1"/>
  <c r="N815" i="98" s="1"/>
  <c r="N852" i="1"/>
  <c r="N816" i="98" s="1"/>
  <c r="N748" i="1"/>
  <c r="N714" i="98" s="1"/>
  <c r="N853" i="1"/>
  <c r="N817" i="98" s="1"/>
  <c r="N854" i="1"/>
  <c r="N818" i="98" s="1"/>
  <c r="N884" i="1"/>
  <c r="N848" i="98" s="1"/>
  <c r="N885" i="1"/>
  <c r="N849" i="98" s="1"/>
  <c r="N886" i="1"/>
  <c r="N850" i="98" s="1"/>
  <c r="N887" i="1"/>
  <c r="N851" i="98" s="1"/>
  <c r="N888" i="1"/>
  <c r="N852" i="98" s="1"/>
  <c r="N889" i="1"/>
  <c r="N853" i="98" s="1"/>
  <c r="N890" i="1"/>
  <c r="N854" i="98" s="1"/>
  <c r="N891" i="1"/>
  <c r="N855" i="98" s="1"/>
  <c r="N892" i="1"/>
  <c r="N856" i="98" s="1"/>
  <c r="N893" i="1"/>
  <c r="N857" i="98" s="1"/>
  <c r="N894" i="1"/>
  <c r="N858" i="98" s="1"/>
  <c r="N895" i="1"/>
  <c r="N859" i="98" s="1"/>
  <c r="N855" i="1"/>
  <c r="N819" i="98" s="1"/>
  <c r="N856" i="1"/>
  <c r="N820" i="98" s="1"/>
  <c r="N857" i="1"/>
  <c r="N821" i="98" s="1"/>
  <c r="N858" i="1"/>
  <c r="N822" i="98" s="1"/>
  <c r="N859" i="1"/>
  <c r="N823" i="98" s="1"/>
  <c r="N860" i="1"/>
  <c r="N824" i="98" s="1"/>
  <c r="N861" i="1"/>
  <c r="N825" i="98" s="1"/>
  <c r="N862" i="1"/>
  <c r="N826" i="98" s="1"/>
  <c r="N897" i="1"/>
  <c r="N861" i="98" s="1"/>
  <c r="N898" i="1"/>
  <c r="N862" i="98" s="1"/>
  <c r="N863" i="1"/>
  <c r="N827" i="98" s="1"/>
  <c r="N864" i="1"/>
  <c r="N828" i="98" s="1"/>
  <c r="N899" i="1"/>
  <c r="N863" i="98" s="1"/>
  <c r="N865" i="1"/>
  <c r="N829" i="98" s="1"/>
  <c r="N866" i="1"/>
  <c r="N830" i="98" s="1"/>
  <c r="N867" i="1"/>
  <c r="N831" i="98" s="1"/>
  <c r="N868" i="1"/>
  <c r="N832" i="98" s="1"/>
  <c r="N869" i="1"/>
  <c r="N833" i="98" s="1"/>
  <c r="N870" i="1"/>
  <c r="N834" i="98" s="1"/>
  <c r="N871" i="1"/>
  <c r="N835" i="98" s="1"/>
  <c r="N872" i="1"/>
  <c r="N836" i="98" s="1"/>
  <c r="N873" i="1"/>
  <c r="N837" i="98" s="1"/>
  <c r="N874" i="1"/>
  <c r="N838" i="98" s="1"/>
  <c r="N875" i="1"/>
  <c r="N839" i="98" s="1"/>
  <c r="N876" i="1"/>
  <c r="N840" i="98" s="1"/>
  <c r="N877" i="1"/>
  <c r="N841" i="98" s="1"/>
  <c r="N878" i="1"/>
  <c r="N842" i="98" s="1"/>
  <c r="N879" i="1"/>
  <c r="N843" i="98" s="1"/>
  <c r="N880" i="1"/>
  <c r="N844" i="98" s="1"/>
  <c r="N881" i="1"/>
  <c r="N845" i="98" s="1"/>
  <c r="N882" i="1"/>
  <c r="N846" i="98" s="1"/>
  <c r="N883" i="1"/>
  <c r="N847" i="98" s="1"/>
  <c r="N1180" i="1"/>
  <c r="N1133" i="98" s="1"/>
  <c r="N1181" i="1"/>
  <c r="N1134" i="98" s="1"/>
  <c r="N1182" i="1"/>
  <c r="N1135" i="98" s="1"/>
  <c r="N1183" i="1"/>
  <c r="N1136" i="98" s="1"/>
  <c r="N1190" i="1"/>
  <c r="N1143" i="98" s="1"/>
  <c r="N1184" i="1"/>
  <c r="N1137" i="98" s="1"/>
  <c r="N1191" i="1"/>
  <c r="N1144" i="98" s="1"/>
  <c r="N1192" i="1"/>
  <c r="N1145" i="98" s="1"/>
  <c r="N1185" i="1"/>
  <c r="N1138" i="98" s="1"/>
  <c r="N1186" i="1"/>
  <c r="N1139" i="98" s="1"/>
  <c r="N1187" i="1"/>
  <c r="N1140" i="98" s="1"/>
  <c r="N1188" i="1"/>
  <c r="N1141" i="98" s="1"/>
  <c r="N1189" i="1"/>
  <c r="N1142" i="98" s="1"/>
  <c r="N396" i="1"/>
  <c r="N368" i="98" s="1"/>
  <c r="N397" i="1"/>
  <c r="N369" i="98" s="1"/>
  <c r="N404" i="1"/>
  <c r="N376" i="98" s="1"/>
  <c r="N405" i="1"/>
  <c r="N377" i="98" s="1"/>
  <c r="N398" i="1"/>
  <c r="N370" i="98" s="1"/>
  <c r="N399" i="1"/>
  <c r="N371" i="98" s="1"/>
  <c r="N400" i="1"/>
  <c r="N372" i="98" s="1"/>
  <c r="N401" i="1"/>
  <c r="N373" i="98" s="1"/>
  <c r="N402" i="1"/>
  <c r="N374" i="98" s="1"/>
  <c r="N403" i="1"/>
  <c r="N375" i="98" s="1"/>
  <c r="N9" i="1"/>
  <c r="N9" i="98" s="1"/>
  <c r="N10" i="1"/>
  <c r="N10" i="98" s="1"/>
  <c r="N11" i="1"/>
  <c r="N11" i="98" s="1"/>
  <c r="N12" i="1"/>
  <c r="N12" i="98" s="1"/>
  <c r="N13" i="1"/>
  <c r="N13" i="98" s="1"/>
  <c r="N14" i="1"/>
  <c r="N14" i="98" s="1"/>
  <c r="N15" i="1"/>
  <c r="N15" i="98" s="1"/>
  <c r="N16" i="1"/>
  <c r="N16" i="98" s="1"/>
  <c r="N307" i="1"/>
  <c r="N282" i="98" s="1"/>
  <c r="N308" i="1"/>
  <c r="N283" i="98" s="1"/>
  <c r="N316" i="1"/>
  <c r="N291" i="98" s="1"/>
  <c r="N317" i="1"/>
  <c r="N292" i="98" s="1"/>
  <c r="N318" i="1"/>
  <c r="N293" i="98" s="1"/>
  <c r="N319" i="1"/>
  <c r="N294" i="98" s="1"/>
  <c r="N320" i="1"/>
  <c r="N295" i="98" s="1"/>
  <c r="N321" i="1"/>
  <c r="N296" i="98" s="1"/>
  <c r="N322" i="1"/>
  <c r="N297" i="98" s="1"/>
  <c r="N323" i="1"/>
  <c r="N298" i="98" s="1"/>
  <c r="N324" i="1"/>
  <c r="N299" i="98" s="1"/>
  <c r="N309" i="1"/>
  <c r="N284" i="98" s="1"/>
  <c r="N310" i="1"/>
  <c r="N285" i="98" s="1"/>
  <c r="N325" i="1"/>
  <c r="N300" i="98" s="1"/>
  <c r="N311" i="1"/>
  <c r="N286" i="98" s="1"/>
  <c r="N312" i="1"/>
  <c r="N287" i="98" s="1"/>
  <c r="N313" i="1"/>
  <c r="N288" i="98" s="1"/>
  <c r="N314" i="1"/>
  <c r="N289" i="98" s="1"/>
  <c r="N315" i="1"/>
  <c r="N290" i="98" s="1"/>
  <c r="N83" i="1"/>
  <c r="N71" i="98" s="1"/>
  <c r="A16" i="1" l="1"/>
  <c r="A16" i="98" s="1"/>
  <c r="C16" i="1"/>
  <c r="C16" i="98" s="1"/>
  <c r="K16" i="1"/>
  <c r="K16" i="98" s="1"/>
  <c r="M16" i="1"/>
  <c r="M16" i="98" s="1"/>
  <c r="P16" i="1"/>
  <c r="P16" i="98" s="1"/>
  <c r="E16" i="1" l="1"/>
  <c r="E16" i="98" s="1"/>
  <c r="K3" i="6"/>
  <c r="N3" i="6" s="1"/>
  <c r="K4" i="6"/>
  <c r="N4" i="6" s="1"/>
  <c r="O4" i="6" s="1"/>
  <c r="K5" i="6"/>
  <c r="N5" i="6" s="1"/>
  <c r="O5" i="6" s="1"/>
  <c r="K6" i="6"/>
  <c r="N6" i="6" s="1"/>
  <c r="O6" i="6" s="1"/>
  <c r="K7" i="6"/>
  <c r="N7" i="6" s="1"/>
  <c r="O7" i="6" s="1"/>
  <c r="K8" i="6"/>
  <c r="N8" i="6" s="1"/>
  <c r="O8" i="6" s="1"/>
  <c r="K9" i="6"/>
  <c r="N9" i="6" s="1"/>
  <c r="K10" i="6"/>
  <c r="K11" i="6"/>
  <c r="N11" i="6" s="1"/>
  <c r="O11" i="6" s="1"/>
  <c r="K12" i="6"/>
  <c r="N12" i="6" s="1"/>
  <c r="O12" i="6" s="1"/>
  <c r="K13" i="6"/>
  <c r="N13" i="6" s="1"/>
  <c r="O13" i="6" s="1"/>
  <c r="K14" i="6"/>
  <c r="N14" i="6" s="1"/>
  <c r="O14" i="6" s="1"/>
  <c r="K15" i="6"/>
  <c r="N15" i="6" s="1"/>
  <c r="O15" i="6" s="1"/>
  <c r="K16" i="6"/>
  <c r="N16" i="6" s="1"/>
  <c r="O16" i="6" s="1"/>
  <c r="K17" i="6"/>
  <c r="N17" i="6" s="1"/>
  <c r="O17" i="6" s="1"/>
  <c r="K18" i="6"/>
  <c r="N18" i="6" s="1"/>
  <c r="O18" i="6" s="1"/>
  <c r="K19" i="6"/>
  <c r="N19" i="6" s="1"/>
  <c r="O19" i="6" s="1"/>
  <c r="K20" i="6"/>
  <c r="N20" i="6" s="1"/>
  <c r="O20" i="6" s="1"/>
  <c r="K21" i="6"/>
  <c r="N21" i="6" s="1"/>
  <c r="O21" i="6" s="1"/>
  <c r="K22" i="6"/>
  <c r="N22" i="6" s="1"/>
  <c r="O22" i="6" s="1"/>
  <c r="K23" i="6"/>
  <c r="N23" i="6" s="1"/>
  <c r="O23" i="6" s="1"/>
  <c r="K24" i="6"/>
  <c r="N24" i="6" s="1"/>
  <c r="O24" i="6" s="1"/>
  <c r="K25" i="6"/>
  <c r="N25" i="6" s="1"/>
  <c r="O25" i="6" s="1"/>
  <c r="K26" i="6"/>
  <c r="N26" i="6" s="1"/>
  <c r="O26" i="6" s="1"/>
  <c r="K27" i="6"/>
  <c r="N27" i="6" s="1"/>
  <c r="O27" i="6" s="1"/>
  <c r="K28" i="6"/>
  <c r="N28" i="6" s="1"/>
  <c r="O28" i="6" s="1"/>
  <c r="K29" i="6"/>
  <c r="N29" i="6" s="1"/>
  <c r="O29" i="6" s="1"/>
  <c r="K30" i="6"/>
  <c r="N30" i="6" s="1"/>
  <c r="O30" i="6" s="1"/>
  <c r="K31" i="6"/>
  <c r="N31" i="6" s="1"/>
  <c r="O31" i="6" s="1"/>
  <c r="K32" i="6"/>
  <c r="N32" i="6" s="1"/>
  <c r="O32" i="6" s="1"/>
  <c r="K33" i="6"/>
  <c r="N33" i="6" s="1"/>
  <c r="O33" i="6" s="1"/>
  <c r="K34" i="6"/>
  <c r="N34" i="6" s="1"/>
  <c r="O34" i="6" s="1"/>
  <c r="A10" i="6"/>
  <c r="C10" i="6"/>
  <c r="E10" i="6" s="1"/>
  <c r="O9" i="6" l="1"/>
  <c r="O3" i="6"/>
  <c r="N10" i="6"/>
  <c r="O10" i="6" s="1"/>
  <c r="A83" i="1"/>
  <c r="A71" i="98" s="1"/>
  <c r="C83" i="1"/>
  <c r="C71" i="98" s="1"/>
  <c r="K83" i="1"/>
  <c r="K71" i="98" s="1"/>
  <c r="M83" i="1"/>
  <c r="M71" i="98" s="1"/>
  <c r="P83" i="1"/>
  <c r="P71" i="98" s="1"/>
  <c r="F136" i="8"/>
  <c r="D69" i="8"/>
  <c r="D59" i="8"/>
  <c r="D56" i="8"/>
  <c r="D52" i="8"/>
  <c r="D48" i="8"/>
  <c r="D39" i="8"/>
  <c r="D140" i="8" s="1"/>
  <c r="D35" i="8"/>
  <c r="D26" i="8"/>
  <c r="D22" i="8"/>
  <c r="G22" i="8" s="1"/>
  <c r="D17" i="8"/>
  <c r="D7" i="8"/>
  <c r="D137" i="8" l="1"/>
  <c r="E83" i="1"/>
  <c r="E71" i="98" s="1"/>
  <c r="F56" i="8"/>
  <c r="G56" i="8"/>
  <c r="F97" i="8"/>
  <c r="G97" i="8"/>
  <c r="F48" i="8"/>
  <c r="G48" i="8"/>
  <c r="F59" i="8"/>
  <c r="G59" i="8"/>
  <c r="F69" i="8"/>
  <c r="G69" i="8"/>
  <c r="F52" i="8"/>
  <c r="G52" i="8"/>
  <c r="F119" i="8"/>
  <c r="G119" i="8"/>
  <c r="F35" i="8"/>
  <c r="G35" i="8"/>
  <c r="F26" i="8"/>
  <c r="G26" i="8"/>
  <c r="F39" i="8"/>
  <c r="G39" i="8"/>
  <c r="F17" i="8"/>
  <c r="G17" i="8"/>
  <c r="F7" i="8"/>
  <c r="G7" i="8"/>
  <c r="D27" i="8"/>
  <c r="F22" i="8"/>
  <c r="D18" i="8"/>
  <c r="G18" i="8" s="1"/>
  <c r="F137" i="8" l="1"/>
  <c r="G137" i="8"/>
  <c r="F27" i="8"/>
  <c r="G27" i="8"/>
  <c r="F138" i="8"/>
  <c r="D28" i="8"/>
  <c r="G28" i="8" s="1"/>
  <c r="F18" i="8"/>
  <c r="A33" i="6"/>
  <c r="A34" i="6"/>
  <c r="C33" i="6"/>
  <c r="E33" i="6" s="1"/>
  <c r="C34" i="6"/>
  <c r="E34" i="6" s="1"/>
  <c r="A29" i="6"/>
  <c r="A30" i="6"/>
  <c r="A31" i="6"/>
  <c r="A32" i="6"/>
  <c r="C29" i="6"/>
  <c r="E29" i="6" s="1"/>
  <c r="C30" i="6"/>
  <c r="E30" i="6" s="1"/>
  <c r="C31" i="6"/>
  <c r="E31" i="6" s="1"/>
  <c r="C32" i="6"/>
  <c r="E32" i="6" s="1"/>
  <c r="A312" i="1"/>
  <c r="A287" i="98" s="1"/>
  <c r="A313" i="1"/>
  <c r="A288" i="98" s="1"/>
  <c r="A314" i="1"/>
  <c r="A289" i="98" s="1"/>
  <c r="A315" i="1"/>
  <c r="A290" i="98" s="1"/>
  <c r="C312" i="1"/>
  <c r="C287" i="98" s="1"/>
  <c r="C313" i="1"/>
  <c r="C288" i="98" s="1"/>
  <c r="C314" i="1"/>
  <c r="C289" i="98" s="1"/>
  <c r="C315" i="1"/>
  <c r="C290" i="98" s="1"/>
  <c r="K312" i="1"/>
  <c r="K287" i="98" s="1"/>
  <c r="K313" i="1"/>
  <c r="K288" i="98" s="1"/>
  <c r="K314" i="1"/>
  <c r="K289" i="98" s="1"/>
  <c r="K315" i="1"/>
  <c r="K290" i="98" s="1"/>
  <c r="M312" i="1"/>
  <c r="M287" i="98" s="1"/>
  <c r="M313" i="1"/>
  <c r="M288" i="98" s="1"/>
  <c r="M314" i="1"/>
  <c r="M289" i="98" s="1"/>
  <c r="M315" i="1"/>
  <c r="M290" i="98" s="1"/>
  <c r="P312" i="1"/>
  <c r="P287" i="98" s="1"/>
  <c r="P313" i="1"/>
  <c r="P288" i="98" s="1"/>
  <c r="P314" i="1"/>
  <c r="P289" i="98" s="1"/>
  <c r="P315" i="1"/>
  <c r="P290" i="98" s="1"/>
  <c r="A311" i="1"/>
  <c r="A286" i="98" s="1"/>
  <c r="C311" i="1"/>
  <c r="C286" i="98" s="1"/>
  <c r="K311" i="1"/>
  <c r="K286" i="98" s="1"/>
  <c r="M311" i="1"/>
  <c r="M286" i="98" s="1"/>
  <c r="P311" i="1"/>
  <c r="P286" i="98" s="1"/>
  <c r="A310" i="1"/>
  <c r="A285" i="98" s="1"/>
  <c r="A325" i="1"/>
  <c r="A300" i="98" s="1"/>
  <c r="C310" i="1"/>
  <c r="C285" i="98" s="1"/>
  <c r="C325" i="1"/>
  <c r="C300" i="98" s="1"/>
  <c r="K310" i="1"/>
  <c r="K285" i="98" s="1"/>
  <c r="K325" i="1"/>
  <c r="K300" i="98" s="1"/>
  <c r="M310" i="1"/>
  <c r="M285" i="98" s="1"/>
  <c r="M325" i="1"/>
  <c r="M300" i="98" s="1"/>
  <c r="P310" i="1"/>
  <c r="P285" i="98" s="1"/>
  <c r="P325" i="1"/>
  <c r="P300" i="98" s="1"/>
  <c r="A309" i="1"/>
  <c r="A284" i="98" s="1"/>
  <c r="C309" i="1"/>
  <c r="C284" i="98" s="1"/>
  <c r="K309" i="1"/>
  <c r="K284" i="98" s="1"/>
  <c r="M309" i="1"/>
  <c r="M284" i="98" s="1"/>
  <c r="P309" i="1"/>
  <c r="P284" i="98" s="1"/>
  <c r="A316" i="1"/>
  <c r="A291" i="98" s="1"/>
  <c r="A317" i="1"/>
  <c r="A292" i="98" s="1"/>
  <c r="A318" i="1"/>
  <c r="A293" i="98" s="1"/>
  <c r="A319" i="1"/>
  <c r="A294" i="98" s="1"/>
  <c r="A320" i="1"/>
  <c r="A295" i="98" s="1"/>
  <c r="A321" i="1"/>
  <c r="A296" i="98" s="1"/>
  <c r="A322" i="1"/>
  <c r="A297" i="98" s="1"/>
  <c r="A323" i="1"/>
  <c r="A298" i="98" s="1"/>
  <c r="A324" i="1"/>
  <c r="A299" i="98" s="1"/>
  <c r="C316" i="1"/>
  <c r="C291" i="98" s="1"/>
  <c r="C317" i="1"/>
  <c r="C292" i="98" s="1"/>
  <c r="C318" i="1"/>
  <c r="C293" i="98" s="1"/>
  <c r="C319" i="1"/>
  <c r="C294" i="98" s="1"/>
  <c r="C320" i="1"/>
  <c r="C295" i="98" s="1"/>
  <c r="C321" i="1"/>
  <c r="C296" i="98" s="1"/>
  <c r="C322" i="1"/>
  <c r="C297" i="98" s="1"/>
  <c r="C323" i="1"/>
  <c r="C298" i="98" s="1"/>
  <c r="C324" i="1"/>
  <c r="C299" i="98" s="1"/>
  <c r="K316" i="1"/>
  <c r="K291" i="98" s="1"/>
  <c r="K317" i="1"/>
  <c r="K292" i="98" s="1"/>
  <c r="K318" i="1"/>
  <c r="K293" i="98" s="1"/>
  <c r="K319" i="1"/>
  <c r="K294" i="98" s="1"/>
  <c r="K320" i="1"/>
  <c r="K295" i="98" s="1"/>
  <c r="K321" i="1"/>
  <c r="K296" i="98" s="1"/>
  <c r="K322" i="1"/>
  <c r="K297" i="98" s="1"/>
  <c r="K323" i="1"/>
  <c r="K298" i="98" s="1"/>
  <c r="K324" i="1"/>
  <c r="K299" i="98" s="1"/>
  <c r="M316" i="1"/>
  <c r="M291" i="98" s="1"/>
  <c r="M317" i="1"/>
  <c r="M292" i="98" s="1"/>
  <c r="M318" i="1"/>
  <c r="M293" i="98" s="1"/>
  <c r="M319" i="1"/>
  <c r="M294" i="98" s="1"/>
  <c r="M320" i="1"/>
  <c r="M295" i="98" s="1"/>
  <c r="M321" i="1"/>
  <c r="M296" i="98" s="1"/>
  <c r="M322" i="1"/>
  <c r="M297" i="98" s="1"/>
  <c r="M323" i="1"/>
  <c r="M298" i="98" s="1"/>
  <c r="M324" i="1"/>
  <c r="M299" i="98" s="1"/>
  <c r="P316" i="1"/>
  <c r="P291" i="98" s="1"/>
  <c r="P317" i="1"/>
  <c r="P292" i="98" s="1"/>
  <c r="P318" i="1"/>
  <c r="P293" i="98" s="1"/>
  <c r="P319" i="1"/>
  <c r="P294" i="98" s="1"/>
  <c r="P320" i="1"/>
  <c r="P295" i="98" s="1"/>
  <c r="P321" i="1"/>
  <c r="P296" i="98" s="1"/>
  <c r="P322" i="1"/>
  <c r="P297" i="98" s="1"/>
  <c r="P323" i="1"/>
  <c r="P298" i="98" s="1"/>
  <c r="P324" i="1"/>
  <c r="P299" i="98" s="1"/>
  <c r="A307" i="1"/>
  <c r="A282" i="98" s="1"/>
  <c r="A308" i="1"/>
  <c r="A283" i="98" s="1"/>
  <c r="C307" i="1"/>
  <c r="C282" i="98" s="1"/>
  <c r="C308" i="1"/>
  <c r="C283" i="98" s="1"/>
  <c r="K307" i="1"/>
  <c r="K282" i="98" s="1"/>
  <c r="K308" i="1"/>
  <c r="K283" i="98" s="1"/>
  <c r="M307" i="1"/>
  <c r="M282" i="98" s="1"/>
  <c r="M308" i="1"/>
  <c r="M283" i="98" s="1"/>
  <c r="P307" i="1"/>
  <c r="P282" i="98" s="1"/>
  <c r="P308" i="1"/>
  <c r="P283" i="98" s="1"/>
  <c r="E311" i="1" l="1"/>
  <c r="E286" i="98" s="1"/>
  <c r="E319" i="1"/>
  <c r="E294" i="98" s="1"/>
  <c r="E309" i="1"/>
  <c r="E284" i="98" s="1"/>
  <c r="E325" i="1"/>
  <c r="E300" i="98" s="1"/>
  <c r="E312" i="1"/>
  <c r="E287" i="98" s="1"/>
  <c r="E318" i="1"/>
  <c r="E293" i="98" s="1"/>
  <c r="E310" i="1"/>
  <c r="E285" i="98" s="1"/>
  <c r="E317" i="1"/>
  <c r="E292" i="98" s="1"/>
  <c r="E324" i="1"/>
  <c r="E299" i="98" s="1"/>
  <c r="E316" i="1"/>
  <c r="E291" i="98" s="1"/>
  <c r="E308" i="1"/>
  <c r="E283" i="98" s="1"/>
  <c r="E323" i="1"/>
  <c r="E298" i="98" s="1"/>
  <c r="E322" i="1"/>
  <c r="E297" i="98" s="1"/>
  <c r="E315" i="1"/>
  <c r="E290" i="98" s="1"/>
  <c r="E321" i="1"/>
  <c r="E296" i="98" s="1"/>
  <c r="E314" i="1"/>
  <c r="E289" i="98" s="1"/>
  <c r="E307" i="1"/>
  <c r="E282" i="98" s="1"/>
  <c r="E320" i="1"/>
  <c r="E295" i="98" s="1"/>
  <c r="E313" i="1"/>
  <c r="E288" i="98" s="1"/>
  <c r="F140" i="8"/>
  <c r="D36" i="8"/>
  <c r="G36" i="8" s="1"/>
  <c r="F28" i="8"/>
  <c r="A13" i="1"/>
  <c r="A13" i="98" s="1"/>
  <c r="C13" i="1"/>
  <c r="C13" i="98" s="1"/>
  <c r="K13" i="1"/>
  <c r="K13" i="98" s="1"/>
  <c r="M13" i="1"/>
  <c r="M13" i="98" s="1"/>
  <c r="P13" i="1"/>
  <c r="P13" i="98" s="1"/>
  <c r="A15" i="1"/>
  <c r="A15" i="98" s="1"/>
  <c r="C15" i="1"/>
  <c r="C15" i="98" s="1"/>
  <c r="K15" i="1"/>
  <c r="K15" i="98" s="1"/>
  <c r="M15" i="1"/>
  <c r="M15" i="98" s="1"/>
  <c r="P15" i="1"/>
  <c r="P15" i="98" s="1"/>
  <c r="A14" i="1"/>
  <c r="A14" i="98" s="1"/>
  <c r="C14" i="1"/>
  <c r="C14" i="98" s="1"/>
  <c r="K14" i="1"/>
  <c r="K14" i="98" s="1"/>
  <c r="M14" i="1"/>
  <c r="M14" i="98" s="1"/>
  <c r="P14" i="1"/>
  <c r="P14" i="98" s="1"/>
  <c r="A12" i="1"/>
  <c r="A12" i="98" s="1"/>
  <c r="C12" i="1"/>
  <c r="C12" i="98" s="1"/>
  <c r="K12" i="1"/>
  <c r="K12" i="98" s="1"/>
  <c r="M12" i="1"/>
  <c r="M12" i="98" s="1"/>
  <c r="P12" i="1"/>
  <c r="P12" i="98" s="1"/>
  <c r="A11" i="1"/>
  <c r="A11" i="98" s="1"/>
  <c r="C11" i="1"/>
  <c r="C11" i="98" s="1"/>
  <c r="K11" i="1"/>
  <c r="K11" i="98" s="1"/>
  <c r="M11" i="1"/>
  <c r="M11" i="98" s="1"/>
  <c r="P11" i="1"/>
  <c r="P11" i="98" s="1"/>
  <c r="A10" i="1"/>
  <c r="A10" i="98" s="1"/>
  <c r="C10" i="1"/>
  <c r="C10" i="98" s="1"/>
  <c r="K10" i="1"/>
  <c r="K10" i="98" s="1"/>
  <c r="M10" i="1"/>
  <c r="M10" i="98" s="1"/>
  <c r="P10" i="1"/>
  <c r="P10" i="98" s="1"/>
  <c r="A28" i="6"/>
  <c r="C28" i="6"/>
  <c r="E28" i="6" s="1"/>
  <c r="A27" i="6"/>
  <c r="C27" i="6"/>
  <c r="E27" i="6" s="1"/>
  <c r="A26" i="6"/>
  <c r="C26" i="6"/>
  <c r="E26" i="6" s="1"/>
  <c r="A9" i="1"/>
  <c r="A9" i="98" s="1"/>
  <c r="C9" i="1"/>
  <c r="C9" i="98" s="1"/>
  <c r="K9" i="1"/>
  <c r="K9" i="98" s="1"/>
  <c r="M9" i="1"/>
  <c r="M9" i="98" s="1"/>
  <c r="P9" i="1"/>
  <c r="P9" i="98" s="1"/>
  <c r="E15" i="1" l="1"/>
  <c r="E15" i="98" s="1"/>
  <c r="E9" i="1"/>
  <c r="E9" i="98" s="1"/>
  <c r="E11" i="1"/>
  <c r="E11" i="98" s="1"/>
  <c r="E14" i="1"/>
  <c r="E14" i="98" s="1"/>
  <c r="E10" i="1"/>
  <c r="E10" i="98" s="1"/>
  <c r="E13" i="1"/>
  <c r="E13" i="98" s="1"/>
  <c r="E12" i="1"/>
  <c r="E12" i="98" s="1"/>
  <c r="D40" i="8"/>
  <c r="F36" i="8"/>
  <c r="A25" i="6"/>
  <c r="C25" i="6"/>
  <c r="E25" i="6" s="1"/>
  <c r="A3" i="6"/>
  <c r="A4" i="6"/>
  <c r="A5" i="6"/>
  <c r="A6" i="6"/>
  <c r="A7" i="6"/>
  <c r="A8" i="6"/>
  <c r="A9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C3" i="6"/>
  <c r="E3" i="6" s="1"/>
  <c r="C4" i="6"/>
  <c r="E4" i="6" s="1"/>
  <c r="C5" i="6"/>
  <c r="E5" i="6" s="1"/>
  <c r="C6" i="6"/>
  <c r="E6" i="6" s="1"/>
  <c r="C7" i="6"/>
  <c r="E7" i="6" s="1"/>
  <c r="C8" i="6"/>
  <c r="E8" i="6" s="1"/>
  <c r="C9" i="6"/>
  <c r="E9" i="6" s="1"/>
  <c r="C11" i="6"/>
  <c r="E11" i="6" s="1"/>
  <c r="C12" i="6"/>
  <c r="E12" i="6" s="1"/>
  <c r="C13" i="6"/>
  <c r="E13" i="6" s="1"/>
  <c r="C14" i="6"/>
  <c r="E14" i="6" s="1"/>
  <c r="C15" i="6"/>
  <c r="E15" i="6" s="1"/>
  <c r="C16" i="6"/>
  <c r="E16" i="6" s="1"/>
  <c r="C17" i="6"/>
  <c r="E17" i="6" s="1"/>
  <c r="C18" i="6"/>
  <c r="E18" i="6" s="1"/>
  <c r="C19" i="6"/>
  <c r="E19" i="6" s="1"/>
  <c r="C20" i="6"/>
  <c r="E20" i="6" s="1"/>
  <c r="C21" i="6"/>
  <c r="E21" i="6" s="1"/>
  <c r="C22" i="6"/>
  <c r="E22" i="6" s="1"/>
  <c r="C23" i="6"/>
  <c r="E23" i="6" s="1"/>
  <c r="C24" i="6"/>
  <c r="E24" i="6" s="1"/>
  <c r="K2" i="6"/>
  <c r="C2" i="6"/>
  <c r="E2" i="6" s="1"/>
  <c r="A2" i="6"/>
  <c r="D141" i="8" l="1"/>
  <c r="F40" i="8"/>
  <c r="G40" i="8"/>
  <c r="N2" i="6"/>
  <c r="A402" i="1"/>
  <c r="A374" i="98" s="1"/>
  <c r="A403" i="1"/>
  <c r="A375" i="98" s="1"/>
  <c r="C402" i="1"/>
  <c r="C374" i="98" s="1"/>
  <c r="C403" i="1"/>
  <c r="C375" i="98" s="1"/>
  <c r="K402" i="1"/>
  <c r="K374" i="98" s="1"/>
  <c r="K403" i="1"/>
  <c r="K375" i="98" s="1"/>
  <c r="M402" i="1"/>
  <c r="M374" i="98" s="1"/>
  <c r="M403" i="1"/>
  <c r="M375" i="98" s="1"/>
  <c r="P402" i="1"/>
  <c r="P374" i="98" s="1"/>
  <c r="P403" i="1"/>
  <c r="P375" i="98" s="1"/>
  <c r="A400" i="1"/>
  <c r="A372" i="98" s="1"/>
  <c r="A401" i="1"/>
  <c r="A373" i="98" s="1"/>
  <c r="C400" i="1"/>
  <c r="C372" i="98" s="1"/>
  <c r="C401" i="1"/>
  <c r="C373" i="98" s="1"/>
  <c r="K400" i="1"/>
  <c r="K372" i="98" s="1"/>
  <c r="K401" i="1"/>
  <c r="K373" i="98" s="1"/>
  <c r="M400" i="1"/>
  <c r="M372" i="98" s="1"/>
  <c r="M401" i="1"/>
  <c r="M373" i="98" s="1"/>
  <c r="P400" i="1"/>
  <c r="P372" i="98" s="1"/>
  <c r="P401" i="1"/>
  <c r="P373" i="98" s="1"/>
  <c r="A405" i="1"/>
  <c r="A377" i="98" s="1"/>
  <c r="A398" i="1"/>
  <c r="A370" i="98" s="1"/>
  <c r="A399" i="1"/>
  <c r="A371" i="98" s="1"/>
  <c r="C405" i="1"/>
  <c r="C377" i="98" s="1"/>
  <c r="C398" i="1"/>
  <c r="C370" i="98" s="1"/>
  <c r="C399" i="1"/>
  <c r="C371" i="98" s="1"/>
  <c r="K405" i="1"/>
  <c r="K377" i="98" s="1"/>
  <c r="K398" i="1"/>
  <c r="K370" i="98" s="1"/>
  <c r="K399" i="1"/>
  <c r="K371" i="98" s="1"/>
  <c r="M405" i="1"/>
  <c r="M377" i="98" s="1"/>
  <c r="M398" i="1"/>
  <c r="M370" i="98" s="1"/>
  <c r="M399" i="1"/>
  <c r="M371" i="98" s="1"/>
  <c r="P405" i="1"/>
  <c r="P377" i="98" s="1"/>
  <c r="P398" i="1"/>
  <c r="P370" i="98" s="1"/>
  <c r="P399" i="1"/>
  <c r="P371" i="98" s="1"/>
  <c r="A404" i="1"/>
  <c r="A376" i="98" s="1"/>
  <c r="C404" i="1"/>
  <c r="C376" i="98" s="1"/>
  <c r="K404" i="1"/>
  <c r="K376" i="98" s="1"/>
  <c r="M404" i="1"/>
  <c r="M376" i="98" s="1"/>
  <c r="P404" i="1"/>
  <c r="P376" i="98" s="1"/>
  <c r="A397" i="1"/>
  <c r="A369" i="98" s="1"/>
  <c r="C397" i="1"/>
  <c r="C369" i="98" s="1"/>
  <c r="K397" i="1"/>
  <c r="K369" i="98" s="1"/>
  <c r="M397" i="1"/>
  <c r="M369" i="98" s="1"/>
  <c r="P397" i="1"/>
  <c r="P369" i="98" s="1"/>
  <c r="A396" i="1"/>
  <c r="A368" i="98" s="1"/>
  <c r="C396" i="1"/>
  <c r="C368" i="98" s="1"/>
  <c r="K396" i="1"/>
  <c r="K368" i="98" s="1"/>
  <c r="M396" i="1"/>
  <c r="M368" i="98" s="1"/>
  <c r="P396" i="1"/>
  <c r="P368" i="98" s="1"/>
  <c r="E404" i="1" l="1"/>
  <c r="E376" i="98" s="1"/>
  <c r="E403" i="1"/>
  <c r="E375" i="98" s="1"/>
  <c r="E402" i="1"/>
  <c r="E374" i="98" s="1"/>
  <c r="E397" i="1"/>
  <c r="E369" i="98" s="1"/>
  <c r="E398" i="1"/>
  <c r="E370" i="98" s="1"/>
  <c r="E399" i="1"/>
  <c r="E371" i="98" s="1"/>
  <c r="E405" i="1"/>
  <c r="E377" i="98" s="1"/>
  <c r="E396" i="1"/>
  <c r="E368" i="98" s="1"/>
  <c r="E401" i="1"/>
  <c r="E373" i="98" s="1"/>
  <c r="E400" i="1"/>
  <c r="E372" i="98" s="1"/>
  <c r="F139" i="8"/>
  <c r="O2" i="6"/>
  <c r="A1185" i="1"/>
  <c r="A1138" i="98" s="1"/>
  <c r="A1186" i="1"/>
  <c r="A1139" i="98" s="1"/>
  <c r="A1187" i="1"/>
  <c r="A1140" i="98" s="1"/>
  <c r="A1188" i="1"/>
  <c r="A1141" i="98" s="1"/>
  <c r="A1189" i="1"/>
  <c r="A1142" i="98" s="1"/>
  <c r="C1185" i="1"/>
  <c r="C1138" i="98" s="1"/>
  <c r="C1186" i="1"/>
  <c r="C1139" i="98" s="1"/>
  <c r="C1187" i="1"/>
  <c r="C1140" i="98" s="1"/>
  <c r="C1188" i="1"/>
  <c r="C1141" i="98" s="1"/>
  <c r="C1189" i="1"/>
  <c r="C1142" i="98" s="1"/>
  <c r="K1185" i="1"/>
  <c r="K1138" i="98" s="1"/>
  <c r="K1186" i="1"/>
  <c r="K1139" i="98" s="1"/>
  <c r="K1187" i="1"/>
  <c r="K1140" i="98" s="1"/>
  <c r="K1188" i="1"/>
  <c r="K1141" i="98" s="1"/>
  <c r="K1189" i="1"/>
  <c r="K1142" i="98" s="1"/>
  <c r="M1185" i="1"/>
  <c r="M1138" i="98" s="1"/>
  <c r="M1186" i="1"/>
  <c r="M1139" i="98" s="1"/>
  <c r="M1187" i="1"/>
  <c r="M1140" i="98" s="1"/>
  <c r="M1188" i="1"/>
  <c r="M1141" i="98" s="1"/>
  <c r="M1189" i="1"/>
  <c r="M1142" i="98" s="1"/>
  <c r="P1185" i="1"/>
  <c r="P1138" i="98" s="1"/>
  <c r="P1186" i="1"/>
  <c r="P1139" i="98" s="1"/>
  <c r="P1187" i="1"/>
  <c r="P1140" i="98" s="1"/>
  <c r="P1188" i="1"/>
  <c r="P1141" i="98" s="1"/>
  <c r="P1189" i="1"/>
  <c r="P1142" i="98" s="1"/>
  <c r="A1191" i="1"/>
  <c r="A1144" i="98" s="1"/>
  <c r="A1192" i="1"/>
  <c r="A1145" i="98" s="1"/>
  <c r="C1191" i="1"/>
  <c r="C1144" i="98" s="1"/>
  <c r="C1192" i="1"/>
  <c r="C1145" i="98" s="1"/>
  <c r="K1191" i="1"/>
  <c r="K1144" i="98" s="1"/>
  <c r="K1192" i="1"/>
  <c r="K1145" i="98" s="1"/>
  <c r="M1191" i="1"/>
  <c r="M1144" i="98" s="1"/>
  <c r="M1192" i="1"/>
  <c r="M1145" i="98" s="1"/>
  <c r="P1191" i="1"/>
  <c r="P1144" i="98" s="1"/>
  <c r="P1192" i="1"/>
  <c r="P1145" i="98" s="1"/>
  <c r="A1184" i="1"/>
  <c r="A1137" i="98" s="1"/>
  <c r="C1184" i="1"/>
  <c r="C1137" i="98" s="1"/>
  <c r="K1184" i="1"/>
  <c r="K1137" i="98" s="1"/>
  <c r="M1184" i="1"/>
  <c r="M1137" i="98" s="1"/>
  <c r="P1184" i="1"/>
  <c r="P1137" i="98" s="1"/>
  <c r="A1190" i="1"/>
  <c r="A1143" i="98" s="1"/>
  <c r="C1190" i="1"/>
  <c r="C1143" i="98" s="1"/>
  <c r="K1190" i="1"/>
  <c r="K1143" i="98" s="1"/>
  <c r="M1190" i="1"/>
  <c r="M1143" i="98" s="1"/>
  <c r="P1190" i="1"/>
  <c r="P1143" i="98" s="1"/>
  <c r="A1183" i="1"/>
  <c r="A1136" i="98" s="1"/>
  <c r="C1183" i="1"/>
  <c r="C1136" i="98" s="1"/>
  <c r="K1183" i="1"/>
  <c r="K1136" i="98" s="1"/>
  <c r="M1183" i="1"/>
  <c r="M1136" i="98" s="1"/>
  <c r="P1183" i="1"/>
  <c r="P1136" i="98" s="1"/>
  <c r="A1180" i="1"/>
  <c r="A1133" i="98" s="1"/>
  <c r="A1181" i="1"/>
  <c r="A1134" i="98" s="1"/>
  <c r="A1182" i="1"/>
  <c r="A1135" i="98" s="1"/>
  <c r="C1180" i="1"/>
  <c r="C1133" i="98" s="1"/>
  <c r="C1181" i="1"/>
  <c r="C1134" i="98" s="1"/>
  <c r="C1182" i="1"/>
  <c r="C1135" i="98" s="1"/>
  <c r="K1180" i="1"/>
  <c r="K1133" i="98" s="1"/>
  <c r="K1181" i="1"/>
  <c r="K1134" i="98" s="1"/>
  <c r="K1182" i="1"/>
  <c r="K1135" i="98" s="1"/>
  <c r="M1180" i="1"/>
  <c r="M1133" i="98" s="1"/>
  <c r="M1181" i="1"/>
  <c r="M1134" i="98" s="1"/>
  <c r="M1182" i="1"/>
  <c r="M1135" i="98" s="1"/>
  <c r="P1180" i="1"/>
  <c r="P1133" i="98" s="1"/>
  <c r="P1181" i="1"/>
  <c r="P1134" i="98" s="1"/>
  <c r="P1182" i="1"/>
  <c r="P1135" i="98" s="1"/>
  <c r="E1190" i="1" l="1"/>
  <c r="E1143" i="98" s="1"/>
  <c r="E1182" i="1"/>
  <c r="E1135" i="98" s="1"/>
  <c r="E1187" i="1"/>
  <c r="E1140" i="98" s="1"/>
  <c r="E1181" i="1"/>
  <c r="E1134" i="98" s="1"/>
  <c r="E1183" i="1"/>
  <c r="E1136" i="98" s="1"/>
  <c r="E1186" i="1"/>
  <c r="E1139" i="98" s="1"/>
  <c r="E1180" i="1"/>
  <c r="E1133" i="98" s="1"/>
  <c r="E1184" i="1"/>
  <c r="E1137" i="98" s="1"/>
  <c r="E1185" i="1"/>
  <c r="E1138" i="98" s="1"/>
  <c r="E1191" i="1"/>
  <c r="E1144" i="98" s="1"/>
  <c r="E1188" i="1"/>
  <c r="E1141" i="98" s="1"/>
  <c r="E1192" i="1"/>
  <c r="E1145" i="98" s="1"/>
  <c r="E1189" i="1"/>
  <c r="E1142" i="98" s="1"/>
  <c r="F141" i="8"/>
  <c r="E144" i="8"/>
  <c r="C298" i="1"/>
  <c r="C299" i="1"/>
  <c r="C277" i="98" s="1"/>
  <c r="C847" i="1"/>
  <c r="C811" i="98" s="1"/>
  <c r="C896" i="1"/>
  <c r="C860" i="98" s="1"/>
  <c r="C848" i="1"/>
  <c r="C812" i="98" s="1"/>
  <c r="C849" i="1"/>
  <c r="C813" i="98" s="1"/>
  <c r="C850" i="1"/>
  <c r="C814" i="98" s="1"/>
  <c r="C851" i="1"/>
  <c r="C815" i="98" s="1"/>
  <c r="C852" i="1"/>
  <c r="C816" i="98" s="1"/>
  <c r="C748" i="1"/>
  <c r="C714" i="98" s="1"/>
  <c r="C853" i="1"/>
  <c r="C817" i="98" s="1"/>
  <c r="C854" i="1"/>
  <c r="C818" i="98" s="1"/>
  <c r="C884" i="1"/>
  <c r="C848" i="98" s="1"/>
  <c r="C885" i="1"/>
  <c r="C849" i="98" s="1"/>
  <c r="C886" i="1"/>
  <c r="C850" i="98" s="1"/>
  <c r="C887" i="1"/>
  <c r="C851" i="98" s="1"/>
  <c r="C888" i="1"/>
  <c r="C852" i="98" s="1"/>
  <c r="C889" i="1"/>
  <c r="C853" i="98" s="1"/>
  <c r="C890" i="1"/>
  <c r="C854" i="98" s="1"/>
  <c r="C891" i="1"/>
  <c r="C855" i="98" s="1"/>
  <c r="C892" i="1"/>
  <c r="C856" i="98" s="1"/>
  <c r="C893" i="1"/>
  <c r="C857" i="98" s="1"/>
  <c r="C894" i="1"/>
  <c r="C858" i="98" s="1"/>
  <c r="C895" i="1"/>
  <c r="C859" i="98" s="1"/>
  <c r="C855" i="1"/>
  <c r="C819" i="98" s="1"/>
  <c r="C856" i="1"/>
  <c r="C820" i="98" s="1"/>
  <c r="C857" i="1"/>
  <c r="C821" i="98" s="1"/>
  <c r="C858" i="1"/>
  <c r="C822" i="98" s="1"/>
  <c r="C859" i="1"/>
  <c r="C823" i="98" s="1"/>
  <c r="C860" i="1"/>
  <c r="C824" i="98" s="1"/>
  <c r="C861" i="1"/>
  <c r="C825" i="98" s="1"/>
  <c r="C862" i="1"/>
  <c r="C826" i="98" s="1"/>
  <c r="C897" i="1"/>
  <c r="C861" i="98" s="1"/>
  <c r="C898" i="1"/>
  <c r="C862" i="98" s="1"/>
  <c r="C863" i="1"/>
  <c r="C827" i="98" s="1"/>
  <c r="C864" i="1"/>
  <c r="C828" i="98" s="1"/>
  <c r="C899" i="1"/>
  <c r="C863" i="98" s="1"/>
  <c r="C865" i="1"/>
  <c r="C829" i="98" s="1"/>
  <c r="C866" i="1"/>
  <c r="C830" i="98" s="1"/>
  <c r="C867" i="1"/>
  <c r="C831" i="98" s="1"/>
  <c r="C868" i="1"/>
  <c r="C832" i="98" s="1"/>
  <c r="C869" i="1"/>
  <c r="C833" i="98" s="1"/>
  <c r="C870" i="1"/>
  <c r="C834" i="98" s="1"/>
  <c r="C871" i="1"/>
  <c r="C835" i="98" s="1"/>
  <c r="C872" i="1"/>
  <c r="C836" i="98" s="1"/>
  <c r="C873" i="1"/>
  <c r="C837" i="98" s="1"/>
  <c r="C874" i="1"/>
  <c r="C838" i="98" s="1"/>
  <c r="C875" i="1"/>
  <c r="C839" i="98" s="1"/>
  <c r="C876" i="1"/>
  <c r="C840" i="98" s="1"/>
  <c r="C877" i="1"/>
  <c r="C841" i="98" s="1"/>
  <c r="C878" i="1"/>
  <c r="C842" i="98" s="1"/>
  <c r="C879" i="1"/>
  <c r="C843" i="98" s="1"/>
  <c r="C880" i="1"/>
  <c r="C844" i="98" s="1"/>
  <c r="C881" i="1"/>
  <c r="C845" i="98" s="1"/>
  <c r="C882" i="1"/>
  <c r="C846" i="98" s="1"/>
  <c r="C883" i="1"/>
  <c r="C847" i="98" s="1"/>
  <c r="A878" i="1"/>
  <c r="A842" i="98" s="1"/>
  <c r="A879" i="1"/>
  <c r="A843" i="98" s="1"/>
  <c r="A880" i="1"/>
  <c r="A844" i="98" s="1"/>
  <c r="A881" i="1"/>
  <c r="A845" i="98" s="1"/>
  <c r="A882" i="1"/>
  <c r="A846" i="98" s="1"/>
  <c r="A883" i="1"/>
  <c r="A847" i="98" s="1"/>
  <c r="K878" i="1"/>
  <c r="K842" i="98" s="1"/>
  <c r="K879" i="1"/>
  <c r="K843" i="98" s="1"/>
  <c r="K880" i="1"/>
  <c r="K844" i="98" s="1"/>
  <c r="K881" i="1"/>
  <c r="K845" i="98" s="1"/>
  <c r="K882" i="1"/>
  <c r="K846" i="98" s="1"/>
  <c r="K883" i="1"/>
  <c r="K847" i="98" s="1"/>
  <c r="M878" i="1"/>
  <c r="M842" i="98" s="1"/>
  <c r="M879" i="1"/>
  <c r="M843" i="98" s="1"/>
  <c r="M880" i="1"/>
  <c r="M844" i="98" s="1"/>
  <c r="M881" i="1"/>
  <c r="M845" i="98" s="1"/>
  <c r="M882" i="1"/>
  <c r="M846" i="98" s="1"/>
  <c r="M883" i="1"/>
  <c r="M847" i="98" s="1"/>
  <c r="P878" i="1"/>
  <c r="P842" i="98" s="1"/>
  <c r="P879" i="1"/>
  <c r="P843" i="98" s="1"/>
  <c r="P880" i="1"/>
  <c r="P844" i="98" s="1"/>
  <c r="P881" i="1"/>
  <c r="P845" i="98" s="1"/>
  <c r="P882" i="1"/>
  <c r="P846" i="98" s="1"/>
  <c r="P883" i="1"/>
  <c r="P847" i="98" s="1"/>
  <c r="A872" i="1"/>
  <c r="A836" i="98" s="1"/>
  <c r="A873" i="1"/>
  <c r="A837" i="98" s="1"/>
  <c r="A874" i="1"/>
  <c r="A838" i="98" s="1"/>
  <c r="A875" i="1"/>
  <c r="A839" i="98" s="1"/>
  <c r="A876" i="1"/>
  <c r="A840" i="98" s="1"/>
  <c r="A877" i="1"/>
  <c r="A841" i="98" s="1"/>
  <c r="K872" i="1"/>
  <c r="K836" i="98" s="1"/>
  <c r="K873" i="1"/>
  <c r="K837" i="98" s="1"/>
  <c r="K874" i="1"/>
  <c r="K838" i="98" s="1"/>
  <c r="K875" i="1"/>
  <c r="K839" i="98" s="1"/>
  <c r="K876" i="1"/>
  <c r="K840" i="98" s="1"/>
  <c r="K877" i="1"/>
  <c r="K841" i="98" s="1"/>
  <c r="M872" i="1"/>
  <c r="M836" i="98" s="1"/>
  <c r="M873" i="1"/>
  <c r="M837" i="98" s="1"/>
  <c r="M874" i="1"/>
  <c r="M838" i="98" s="1"/>
  <c r="M875" i="1"/>
  <c r="M839" i="98" s="1"/>
  <c r="M876" i="1"/>
  <c r="M840" i="98" s="1"/>
  <c r="M877" i="1"/>
  <c r="M841" i="98" s="1"/>
  <c r="P872" i="1"/>
  <c r="P836" i="98" s="1"/>
  <c r="P873" i="1"/>
  <c r="P837" i="98" s="1"/>
  <c r="P874" i="1"/>
  <c r="P838" i="98" s="1"/>
  <c r="P875" i="1"/>
  <c r="P839" i="98" s="1"/>
  <c r="P876" i="1"/>
  <c r="P840" i="98" s="1"/>
  <c r="P877" i="1"/>
  <c r="P841" i="98" s="1"/>
  <c r="A869" i="1"/>
  <c r="A833" i="98" s="1"/>
  <c r="A870" i="1"/>
  <c r="A834" i="98" s="1"/>
  <c r="A871" i="1"/>
  <c r="A835" i="98" s="1"/>
  <c r="K869" i="1"/>
  <c r="K833" i="98" s="1"/>
  <c r="K870" i="1"/>
  <c r="K834" i="98" s="1"/>
  <c r="K871" i="1"/>
  <c r="K835" i="98" s="1"/>
  <c r="M869" i="1"/>
  <c r="M833" i="98" s="1"/>
  <c r="M870" i="1"/>
  <c r="M834" i="98" s="1"/>
  <c r="M871" i="1"/>
  <c r="M835" i="98" s="1"/>
  <c r="P869" i="1"/>
  <c r="P833" i="98" s="1"/>
  <c r="P870" i="1"/>
  <c r="P834" i="98" s="1"/>
  <c r="P871" i="1"/>
  <c r="P835" i="98" s="1"/>
  <c r="A867" i="1"/>
  <c r="A831" i="98" s="1"/>
  <c r="A868" i="1"/>
  <c r="A832" i="98" s="1"/>
  <c r="K867" i="1"/>
  <c r="K831" i="98" s="1"/>
  <c r="K868" i="1"/>
  <c r="K832" i="98" s="1"/>
  <c r="M867" i="1"/>
  <c r="M831" i="98" s="1"/>
  <c r="M868" i="1"/>
  <c r="M832" i="98" s="1"/>
  <c r="P867" i="1"/>
  <c r="P831" i="98" s="1"/>
  <c r="P868" i="1"/>
  <c r="P832" i="98" s="1"/>
  <c r="A866" i="1"/>
  <c r="A830" i="98" s="1"/>
  <c r="K866" i="1"/>
  <c r="K830" i="98" s="1"/>
  <c r="M866" i="1"/>
  <c r="M830" i="98" s="1"/>
  <c r="P866" i="1"/>
  <c r="P830" i="98" s="1"/>
  <c r="A863" i="1"/>
  <c r="A827" i="98" s="1"/>
  <c r="A864" i="1"/>
  <c r="A828" i="98" s="1"/>
  <c r="A899" i="1"/>
  <c r="A863" i="98" s="1"/>
  <c r="A865" i="1"/>
  <c r="A829" i="98" s="1"/>
  <c r="K863" i="1"/>
  <c r="K827" i="98" s="1"/>
  <c r="K864" i="1"/>
  <c r="K828" i="98" s="1"/>
  <c r="K899" i="1"/>
  <c r="K863" i="98" s="1"/>
  <c r="K865" i="1"/>
  <c r="K829" i="98" s="1"/>
  <c r="M863" i="1"/>
  <c r="M827" i="98" s="1"/>
  <c r="M864" i="1"/>
  <c r="M828" i="98" s="1"/>
  <c r="M899" i="1"/>
  <c r="M863" i="98" s="1"/>
  <c r="M865" i="1"/>
  <c r="M829" i="98" s="1"/>
  <c r="P863" i="1"/>
  <c r="P827" i="98" s="1"/>
  <c r="P864" i="1"/>
  <c r="P828" i="98" s="1"/>
  <c r="P899" i="1"/>
  <c r="P863" i="98" s="1"/>
  <c r="P865" i="1"/>
  <c r="P829" i="98" s="1"/>
  <c r="A897" i="1"/>
  <c r="A861" i="98" s="1"/>
  <c r="A898" i="1"/>
  <c r="A862" i="98" s="1"/>
  <c r="K897" i="1"/>
  <c r="K861" i="98" s="1"/>
  <c r="K898" i="1"/>
  <c r="K862" i="98" s="1"/>
  <c r="M897" i="1"/>
  <c r="M861" i="98" s="1"/>
  <c r="M898" i="1"/>
  <c r="M862" i="98" s="1"/>
  <c r="P897" i="1"/>
  <c r="P861" i="98" s="1"/>
  <c r="P898" i="1"/>
  <c r="P862" i="98" s="1"/>
  <c r="A855" i="1"/>
  <c r="A819" i="98" s="1"/>
  <c r="A856" i="1"/>
  <c r="A820" i="98" s="1"/>
  <c r="A857" i="1"/>
  <c r="A821" i="98" s="1"/>
  <c r="A858" i="1"/>
  <c r="A822" i="98" s="1"/>
  <c r="A859" i="1"/>
  <c r="A823" i="98" s="1"/>
  <c r="A860" i="1"/>
  <c r="A824" i="98" s="1"/>
  <c r="A861" i="1"/>
  <c r="A825" i="98" s="1"/>
  <c r="A862" i="1"/>
  <c r="A826" i="98" s="1"/>
  <c r="K855" i="1"/>
  <c r="K819" i="98" s="1"/>
  <c r="K856" i="1"/>
  <c r="K820" i="98" s="1"/>
  <c r="K857" i="1"/>
  <c r="K821" i="98" s="1"/>
  <c r="K858" i="1"/>
  <c r="K822" i="98" s="1"/>
  <c r="K859" i="1"/>
  <c r="K823" i="98" s="1"/>
  <c r="K860" i="1"/>
  <c r="K824" i="98" s="1"/>
  <c r="K861" i="1"/>
  <c r="K825" i="98" s="1"/>
  <c r="K862" i="1"/>
  <c r="K826" i="98" s="1"/>
  <c r="M855" i="1"/>
  <c r="M819" i="98" s="1"/>
  <c r="M856" i="1"/>
  <c r="M820" i="98" s="1"/>
  <c r="M857" i="1"/>
  <c r="M821" i="98" s="1"/>
  <c r="M858" i="1"/>
  <c r="M822" i="98" s="1"/>
  <c r="M859" i="1"/>
  <c r="M823" i="98" s="1"/>
  <c r="M860" i="1"/>
  <c r="M824" i="98" s="1"/>
  <c r="M861" i="1"/>
  <c r="M825" i="98" s="1"/>
  <c r="M862" i="1"/>
  <c r="M826" i="98" s="1"/>
  <c r="P855" i="1"/>
  <c r="P819" i="98" s="1"/>
  <c r="P856" i="1"/>
  <c r="P820" i="98" s="1"/>
  <c r="P857" i="1"/>
  <c r="P821" i="98" s="1"/>
  <c r="P858" i="1"/>
  <c r="P822" i="98" s="1"/>
  <c r="P859" i="1"/>
  <c r="P823" i="98" s="1"/>
  <c r="P860" i="1"/>
  <c r="P824" i="98" s="1"/>
  <c r="P861" i="1"/>
  <c r="P825" i="98" s="1"/>
  <c r="P862" i="1"/>
  <c r="P826" i="98" s="1"/>
  <c r="A884" i="1"/>
  <c r="A848" i="98" s="1"/>
  <c r="A885" i="1"/>
  <c r="A849" i="98" s="1"/>
  <c r="A886" i="1"/>
  <c r="A850" i="98" s="1"/>
  <c r="A887" i="1"/>
  <c r="A851" i="98" s="1"/>
  <c r="A888" i="1"/>
  <c r="A852" i="98" s="1"/>
  <c r="A889" i="1"/>
  <c r="A853" i="98" s="1"/>
  <c r="A890" i="1"/>
  <c r="A854" i="98" s="1"/>
  <c r="A891" i="1"/>
  <c r="A855" i="98" s="1"/>
  <c r="A892" i="1"/>
  <c r="A856" i="98" s="1"/>
  <c r="A893" i="1"/>
  <c r="A857" i="98" s="1"/>
  <c r="A894" i="1"/>
  <c r="A858" i="98" s="1"/>
  <c r="A895" i="1"/>
  <c r="A859" i="98" s="1"/>
  <c r="K884" i="1"/>
  <c r="K848" i="98" s="1"/>
  <c r="K885" i="1"/>
  <c r="K849" i="98" s="1"/>
  <c r="K886" i="1"/>
  <c r="K850" i="98" s="1"/>
  <c r="K887" i="1"/>
  <c r="K851" i="98" s="1"/>
  <c r="K888" i="1"/>
  <c r="K852" i="98" s="1"/>
  <c r="K889" i="1"/>
  <c r="K853" i="98" s="1"/>
  <c r="K890" i="1"/>
  <c r="K854" i="98" s="1"/>
  <c r="K891" i="1"/>
  <c r="K855" i="98" s="1"/>
  <c r="K892" i="1"/>
  <c r="K856" i="98" s="1"/>
  <c r="K893" i="1"/>
  <c r="K857" i="98" s="1"/>
  <c r="K894" i="1"/>
  <c r="K858" i="98" s="1"/>
  <c r="K895" i="1"/>
  <c r="K859" i="98" s="1"/>
  <c r="M884" i="1"/>
  <c r="M848" i="98" s="1"/>
  <c r="M885" i="1"/>
  <c r="M849" i="98" s="1"/>
  <c r="M886" i="1"/>
  <c r="M850" i="98" s="1"/>
  <c r="M887" i="1"/>
  <c r="M851" i="98" s="1"/>
  <c r="M888" i="1"/>
  <c r="M852" i="98" s="1"/>
  <c r="M889" i="1"/>
  <c r="M853" i="98" s="1"/>
  <c r="M890" i="1"/>
  <c r="M854" i="98" s="1"/>
  <c r="M891" i="1"/>
  <c r="M855" i="98" s="1"/>
  <c r="M892" i="1"/>
  <c r="M856" i="98" s="1"/>
  <c r="M893" i="1"/>
  <c r="M857" i="98" s="1"/>
  <c r="M894" i="1"/>
  <c r="M858" i="98" s="1"/>
  <c r="M895" i="1"/>
  <c r="M859" i="98" s="1"/>
  <c r="P884" i="1"/>
  <c r="P848" i="98" s="1"/>
  <c r="P885" i="1"/>
  <c r="P849" i="98" s="1"/>
  <c r="P886" i="1"/>
  <c r="P850" i="98" s="1"/>
  <c r="P887" i="1"/>
  <c r="P851" i="98" s="1"/>
  <c r="P888" i="1"/>
  <c r="P852" i="98" s="1"/>
  <c r="P889" i="1"/>
  <c r="P853" i="98" s="1"/>
  <c r="P890" i="1"/>
  <c r="P854" i="98" s="1"/>
  <c r="P891" i="1"/>
  <c r="P855" i="98" s="1"/>
  <c r="P892" i="1"/>
  <c r="P856" i="98" s="1"/>
  <c r="P893" i="1"/>
  <c r="P857" i="98" s="1"/>
  <c r="P894" i="1"/>
  <c r="P858" i="98" s="1"/>
  <c r="P895" i="1"/>
  <c r="P859" i="98" s="1"/>
  <c r="A854" i="1"/>
  <c r="A818" i="98" s="1"/>
  <c r="K854" i="1"/>
  <c r="K818" i="98" s="1"/>
  <c r="M854" i="1"/>
  <c r="M818" i="98" s="1"/>
  <c r="P854" i="1"/>
  <c r="P818" i="98" s="1"/>
  <c r="A847" i="1"/>
  <c r="A811" i="98" s="1"/>
  <c r="A896" i="1"/>
  <c r="A860" i="98" s="1"/>
  <c r="A848" i="1"/>
  <c r="A812" i="98" s="1"/>
  <c r="A849" i="1"/>
  <c r="A813" i="98" s="1"/>
  <c r="A850" i="1"/>
  <c r="A814" i="98" s="1"/>
  <c r="A851" i="1"/>
  <c r="A815" i="98" s="1"/>
  <c r="A852" i="1"/>
  <c r="A816" i="98" s="1"/>
  <c r="A748" i="1"/>
  <c r="A714" i="98" s="1"/>
  <c r="A853" i="1"/>
  <c r="A817" i="98" s="1"/>
  <c r="K847" i="1"/>
  <c r="K811" i="98" s="1"/>
  <c r="K896" i="1"/>
  <c r="K860" i="98" s="1"/>
  <c r="K848" i="1"/>
  <c r="K812" i="98" s="1"/>
  <c r="K849" i="1"/>
  <c r="K813" i="98" s="1"/>
  <c r="K850" i="1"/>
  <c r="K814" i="98" s="1"/>
  <c r="K851" i="1"/>
  <c r="K815" i="98" s="1"/>
  <c r="K852" i="1"/>
  <c r="K816" i="98" s="1"/>
  <c r="K748" i="1"/>
  <c r="K714" i="98" s="1"/>
  <c r="K853" i="1"/>
  <c r="K817" i="98" s="1"/>
  <c r="M847" i="1"/>
  <c r="M811" i="98" s="1"/>
  <c r="M896" i="1"/>
  <c r="M860" i="98" s="1"/>
  <c r="M848" i="1"/>
  <c r="M812" i="98" s="1"/>
  <c r="M849" i="1"/>
  <c r="M813" i="98" s="1"/>
  <c r="M850" i="1"/>
  <c r="M814" i="98" s="1"/>
  <c r="M851" i="1"/>
  <c r="M815" i="98" s="1"/>
  <c r="M852" i="1"/>
  <c r="M816" i="98" s="1"/>
  <c r="M748" i="1"/>
  <c r="M714" i="98" s="1"/>
  <c r="M853" i="1"/>
  <c r="M817" i="98" s="1"/>
  <c r="P847" i="1"/>
  <c r="P896" i="1"/>
  <c r="P860" i="98" s="1"/>
  <c r="P848" i="1"/>
  <c r="P812" i="98" s="1"/>
  <c r="P849" i="1"/>
  <c r="P813" i="98" s="1"/>
  <c r="P850" i="1"/>
  <c r="P814" i="98" s="1"/>
  <c r="P851" i="1"/>
  <c r="P815" i="98" s="1"/>
  <c r="P852" i="1"/>
  <c r="P816" i="98" s="1"/>
  <c r="P748" i="1"/>
  <c r="P714" i="98" s="1"/>
  <c r="P853" i="1"/>
  <c r="P817" i="98" s="1"/>
  <c r="P811" i="98" l="1"/>
  <c r="E891" i="1"/>
  <c r="E855" i="98" s="1"/>
  <c r="E854" i="1"/>
  <c r="E818" i="98" s="1"/>
  <c r="E878" i="1"/>
  <c r="E842" i="98" s="1"/>
  <c r="E870" i="1"/>
  <c r="E834" i="98" s="1"/>
  <c r="E863" i="1"/>
  <c r="E827" i="98" s="1"/>
  <c r="E857" i="1"/>
  <c r="E821" i="98" s="1"/>
  <c r="E890" i="1"/>
  <c r="E854" i="98" s="1"/>
  <c r="E853" i="1"/>
  <c r="E817" i="98" s="1"/>
  <c r="E847" i="1"/>
  <c r="E811" i="98" s="1"/>
  <c r="E858" i="1"/>
  <c r="E822" i="98" s="1"/>
  <c r="E896" i="1"/>
  <c r="E860" i="98" s="1"/>
  <c r="E877" i="1"/>
  <c r="E841" i="98" s="1"/>
  <c r="E869" i="1"/>
  <c r="E833" i="98" s="1"/>
  <c r="E898" i="1"/>
  <c r="E862" i="98" s="1"/>
  <c r="E856" i="1"/>
  <c r="E820" i="98" s="1"/>
  <c r="E889" i="1"/>
  <c r="E853" i="98" s="1"/>
  <c r="E748" i="1"/>
  <c r="E714" i="98" s="1"/>
  <c r="E871" i="1"/>
  <c r="E835" i="98" s="1"/>
  <c r="E868" i="1"/>
  <c r="E832" i="98" s="1"/>
  <c r="E855" i="1"/>
  <c r="E819" i="98" s="1"/>
  <c r="E888" i="1"/>
  <c r="E852" i="98" s="1"/>
  <c r="E852" i="1"/>
  <c r="E816" i="98" s="1"/>
  <c r="E864" i="1"/>
  <c r="E828" i="98" s="1"/>
  <c r="E876" i="1"/>
  <c r="E840" i="98" s="1"/>
  <c r="E897" i="1"/>
  <c r="E861" i="98" s="1"/>
  <c r="E883" i="1"/>
  <c r="E847" i="98" s="1"/>
  <c r="E875" i="1"/>
  <c r="E839" i="98" s="1"/>
  <c r="E867" i="1"/>
  <c r="E831" i="98" s="1"/>
  <c r="E862" i="1"/>
  <c r="E826" i="98" s="1"/>
  <c r="E895" i="1"/>
  <c r="E859" i="98" s="1"/>
  <c r="E887" i="1"/>
  <c r="E851" i="98" s="1"/>
  <c r="E851" i="1"/>
  <c r="E815" i="98" s="1"/>
  <c r="E879" i="1"/>
  <c r="E843" i="98" s="1"/>
  <c r="E882" i="1"/>
  <c r="E846" i="98" s="1"/>
  <c r="E874" i="1"/>
  <c r="E838" i="98" s="1"/>
  <c r="E866" i="1"/>
  <c r="E830" i="98" s="1"/>
  <c r="E861" i="1"/>
  <c r="E825" i="98" s="1"/>
  <c r="E894" i="1"/>
  <c r="E858" i="98" s="1"/>
  <c r="E886" i="1"/>
  <c r="E850" i="98" s="1"/>
  <c r="E850" i="1"/>
  <c r="E814" i="98" s="1"/>
  <c r="E881" i="1"/>
  <c r="E845" i="98" s="1"/>
  <c r="E873" i="1"/>
  <c r="E837" i="98" s="1"/>
  <c r="E865" i="1"/>
  <c r="E829" i="98" s="1"/>
  <c r="E860" i="1"/>
  <c r="E824" i="98" s="1"/>
  <c r="E893" i="1"/>
  <c r="E857" i="98" s="1"/>
  <c r="E885" i="1"/>
  <c r="E849" i="98" s="1"/>
  <c r="E849" i="1"/>
  <c r="E813" i="98" s="1"/>
  <c r="E880" i="1"/>
  <c r="E844" i="98" s="1"/>
  <c r="E872" i="1"/>
  <c r="E836" i="98" s="1"/>
  <c r="E899" i="1"/>
  <c r="E863" i="98" s="1"/>
  <c r="E859" i="1"/>
  <c r="E823" i="98" s="1"/>
  <c r="E892" i="1"/>
  <c r="E856" i="98" s="1"/>
  <c r="E884" i="1"/>
  <c r="E848" i="98" s="1"/>
  <c r="E848" i="1"/>
  <c r="E812" i="98" s="1"/>
  <c r="M299" i="1"/>
  <c r="M277" i="98" s="1"/>
  <c r="P299" i="1"/>
  <c r="P277" i="98" s="1"/>
  <c r="P298" i="1" l="1"/>
  <c r="K298" i="1"/>
  <c r="K299" i="1"/>
  <c r="K277" i="98" s="1"/>
  <c r="E298" i="1" l="1"/>
  <c r="E299" i="1"/>
  <c r="E277" i="98" s="1"/>
  <c r="M298" i="1" l="1"/>
  <c r="A299" i="1"/>
  <c r="A277" i="98" s="1"/>
  <c r="A298" i="1"/>
</calcChain>
</file>

<file path=xl/comments1.xml><?xml version="1.0" encoding="utf-8"?>
<comments xmlns="http://schemas.openxmlformats.org/spreadsheetml/2006/main">
  <authors>
    <author>INNA</author>
  </authors>
  <commentList>
    <comment ref="E43" authorId="0" shapeId="0">
      <text>
        <r>
          <rPr>
            <sz val="9"/>
            <color indexed="81"/>
            <rFont val="Tahoma"/>
            <family val="2"/>
            <charset val="186"/>
          </rPr>
          <t>Sisaldab investeeringuid, mis eelnevalt on kajastatud teiste tegevuste all.</t>
        </r>
      </text>
    </comment>
    <comment ref="E44" authorId="0" shapeId="0">
      <text>
        <r>
          <rPr>
            <sz val="9"/>
            <color indexed="81"/>
            <rFont val="Tahoma"/>
            <family val="2"/>
            <charset val="186"/>
          </rPr>
          <t>Reservfond määratud 0,5% põhitegevus tulude kogumahust</t>
        </r>
      </text>
    </comment>
    <comment ref="E54" authorId="0" shapeId="0">
      <text>
        <r>
          <rPr>
            <sz val="9"/>
            <color indexed="81"/>
            <rFont val="Tahoma"/>
            <family val="2"/>
            <charset val="186"/>
          </rPr>
          <t xml:space="preserve">Siiani vallavalitsuse all kajastuvad IT kulud suunatud Side kulude alla.
</t>
        </r>
      </text>
    </comment>
    <comment ref="E55" authorId="0" shapeId="0">
      <text>
        <r>
          <rPr>
            <sz val="9"/>
            <color indexed="81"/>
            <rFont val="Tahoma"/>
            <family val="2"/>
            <charset val="186"/>
          </rPr>
          <t>Sisaldab hajaasustuse programmi kulusid valla poolne fin. 35 000€</t>
        </r>
      </text>
    </comment>
    <comment ref="E60" authorId="0" shapeId="0">
      <text>
        <r>
          <rPr>
            <sz val="9"/>
            <color indexed="81"/>
            <rFont val="Tahoma"/>
            <family val="2"/>
            <charset val="186"/>
          </rPr>
          <t>2019. aasta investeering
ning ÜVK kava 200 000€</t>
        </r>
      </text>
    </comment>
    <comment ref="E62" authorId="0" shapeId="0">
      <text>
        <r>
          <rPr>
            <sz val="9"/>
            <color indexed="81"/>
            <rFont val="Tahoma"/>
            <family val="2"/>
            <charset val="186"/>
          </rPr>
          <t xml:space="preserve">Siiani kajastus hajaasustus piirkondade eelarves. Pigem segadust tekitav. 2020.a EA tõstetud muu majanduse eelarvesse.
</t>
        </r>
      </text>
    </comment>
    <comment ref="E70" authorId="0" shapeId="0">
      <text>
        <r>
          <rPr>
            <sz val="9"/>
            <color indexed="81"/>
            <rFont val="Tahoma"/>
            <family val="2"/>
            <charset val="186"/>
          </rPr>
          <t>Arsti transpordi kulu 12*200=2400€;
Rakvere Haigla liikmemaks 32 477€;
Rakvere Haigla MTÜ liikmemaks 2500€;
Vinni Tervisekeskusele helikindlad uksed 5000€</t>
        </r>
      </text>
    </comment>
    <comment ref="E76" authorId="0" shapeId="0">
      <text>
        <r>
          <rPr>
            <sz val="9"/>
            <color indexed="81"/>
            <rFont val="Tahoma"/>
            <family val="2"/>
            <charset val="186"/>
          </rPr>
          <t>Lastelaagrite kulud kajastusid 2019. aastal vaja aja ürituste eelarves</t>
        </r>
      </text>
    </comment>
    <comment ref="E96" authorId="0" shapeId="0">
      <text>
        <r>
          <rPr>
            <sz val="9"/>
            <color indexed="81"/>
            <rFont val="Tahoma"/>
            <family val="2"/>
            <charset val="186"/>
          </rPr>
          <t>Sisaldab raudteepärandi projektis osalemisega seotud kulu 20 000€</t>
        </r>
      </text>
    </comment>
    <comment ref="E120" authorId="0" shapeId="0">
      <text>
        <r>
          <rPr>
            <sz val="9"/>
            <color indexed="81"/>
            <rFont val="Tahoma"/>
            <family val="2"/>
            <charset val="186"/>
          </rPr>
          <t xml:space="preserve">Siiani kajastatud Muu puuetega inimeste sotsiaalse kaitse eelarves
</t>
        </r>
      </text>
    </comment>
    <comment ref="E122" authorId="0" shapeId="0">
      <text>
        <r>
          <rPr>
            <sz val="9"/>
            <color indexed="81"/>
            <rFont val="Tahoma"/>
            <family val="2"/>
            <charset val="186"/>
          </rPr>
          <t>Tõstetud on sotsiaaltranspordi mahtu võrreldes 2019. aastaga ning puuetega inimeste ja nende hooldajate toetust vastavalt 2019.aasta keskmisele kulule</t>
        </r>
      </text>
    </comment>
    <comment ref="E123" authorId="0" shapeId="0">
      <text>
        <r>
          <rPr>
            <sz val="9"/>
            <color indexed="81"/>
            <rFont val="Tahoma"/>
            <family val="2"/>
            <charset val="186"/>
          </rPr>
          <t>Sisaldab Ulvi Hooldekodu 2020.a investeeringut</t>
        </r>
      </text>
    </comment>
    <comment ref="E128" authorId="0" shapeId="0">
      <text>
        <r>
          <rPr>
            <sz val="9"/>
            <color indexed="81"/>
            <rFont val="Tahoma"/>
            <family val="2"/>
            <charset val="186"/>
          </rPr>
          <t>Hinnatõusuga planeeritud palkade tõus + 13's palk igale töötajale.</t>
        </r>
      </text>
    </comment>
    <comment ref="E130" authorId="0" shapeId="0">
      <text>
        <r>
          <rPr>
            <sz val="9"/>
            <color indexed="81"/>
            <rFont val="Tahoma"/>
            <family val="2"/>
            <charset val="186"/>
          </rPr>
          <t>2019. aastal laste kommipakid kajastusid hariduse eelarves 6 000€;
2019.a eelarves puudus matusetoetuse valla poolne omafin. 2020.a tõus seetõttu 26 000€;
Täiendav perede toetus 3 ja enama lapse puhul al. 2020.a 15 000€</t>
        </r>
      </text>
    </comment>
    <comment ref="E134" authorId="0" shapeId="0">
      <text>
        <r>
          <rPr>
            <sz val="9"/>
            <color indexed="81"/>
            <rFont val="Tahoma"/>
            <family val="2"/>
            <charset val="186"/>
          </rPr>
          <t>Siiani kajastus kauplusauto muu eakate sotsiaalse kaitse eelarves maht 7440€;
Lisandunud Naiste Varjupaik summas 2200€;
Vältimatu abi mahu kasv 2000€</t>
        </r>
      </text>
    </comment>
  </commentList>
</comments>
</file>

<file path=xl/sharedStrings.xml><?xml version="1.0" encoding="utf-8"?>
<sst xmlns="http://schemas.openxmlformats.org/spreadsheetml/2006/main" count="8060" uniqueCount="2250">
  <si>
    <t>Rakvere Haigla MTÜ liikmemaks</t>
  </si>
  <si>
    <t>Tegevusala</t>
  </si>
  <si>
    <t>Konto</t>
  </si>
  <si>
    <t>Rakvere Haigla AS investeeringute osamakse</t>
  </si>
  <si>
    <t>Põhivara soetus (-)</t>
  </si>
  <si>
    <t>Eelarve eest vastutav</t>
  </si>
  <si>
    <t>Tegevuse kirjeldus</t>
  </si>
  <si>
    <t>Valdkond</t>
  </si>
  <si>
    <t>Tulu/kulu liik</t>
  </si>
  <si>
    <t>Konto grupp</t>
  </si>
  <si>
    <t>Tulu või kulu liigi nimetus</t>
  </si>
  <si>
    <t>Tegevusala nimetus</t>
  </si>
  <si>
    <t>Tegevusala kood</t>
  </si>
  <si>
    <t xml:space="preserve">01111           </t>
  </si>
  <si>
    <t xml:space="preserve"> Valla- ja linnavolikogu</t>
  </si>
  <si>
    <t xml:space="preserve">01112           </t>
  </si>
  <si>
    <t xml:space="preserve"> Valla- ja linnavalitsus</t>
  </si>
  <si>
    <t xml:space="preserve">01114           </t>
  </si>
  <si>
    <t xml:space="preserve"> Kohaliku omavalitsuse üksuse reservfond</t>
  </si>
  <si>
    <t xml:space="preserve">01600           </t>
  </si>
  <si>
    <t xml:space="preserve"> Muud üldised valitsussektori teenused</t>
  </si>
  <si>
    <t xml:space="preserve">01700           </t>
  </si>
  <si>
    <t xml:space="preserve"> Valitsussektori võla teenindamine</t>
  </si>
  <si>
    <t xml:space="preserve">01800           </t>
  </si>
  <si>
    <t xml:space="preserve"> Üldiseloomuga ülekanded valitsussektoris</t>
  </si>
  <si>
    <t xml:space="preserve">02500           </t>
  </si>
  <si>
    <t xml:space="preserve"> Muu riigikaitse</t>
  </si>
  <si>
    <t xml:space="preserve">03200           </t>
  </si>
  <si>
    <t xml:space="preserve"> Päästeteenused</t>
  </si>
  <si>
    <t xml:space="preserve">03600           </t>
  </si>
  <si>
    <t xml:space="preserve"> Muu avalik kord ja julgeolek, sh haldus</t>
  </si>
  <si>
    <t xml:space="preserve">04510           </t>
  </si>
  <si>
    <t xml:space="preserve">04600           </t>
  </si>
  <si>
    <t xml:space="preserve"> Side</t>
  </si>
  <si>
    <t xml:space="preserve">04900           </t>
  </si>
  <si>
    <t xml:space="preserve"> Muu majandus (sh majanduse haldus)</t>
  </si>
  <si>
    <t xml:space="preserve">05100           </t>
  </si>
  <si>
    <t xml:space="preserve"> Jäätmekäitlus</t>
  </si>
  <si>
    <t xml:space="preserve">05600           </t>
  </si>
  <si>
    <t xml:space="preserve">06300           </t>
  </si>
  <si>
    <t xml:space="preserve">06400           </t>
  </si>
  <si>
    <t xml:space="preserve">07600           </t>
  </si>
  <si>
    <t xml:space="preserve"> Muu tervishoid, sh tervishoiu haldamine</t>
  </si>
  <si>
    <t xml:space="preserve">08109           </t>
  </si>
  <si>
    <t xml:space="preserve"> Vaba aja üritused</t>
  </si>
  <si>
    <t xml:space="preserve">08300           </t>
  </si>
  <si>
    <t xml:space="preserve"> Ringhäälingu- ja kirjastamisteenused</t>
  </si>
  <si>
    <t xml:space="preserve">08600           </t>
  </si>
  <si>
    <t xml:space="preserve"> Muu vaba aeg, kultuur, religioon, sh haldus</t>
  </si>
  <si>
    <t xml:space="preserve">09220           </t>
  </si>
  <si>
    <t xml:space="preserve"> Põhi- ja üldkeskhariduse kaudsed kulud</t>
  </si>
  <si>
    <t xml:space="preserve">09510           </t>
  </si>
  <si>
    <t xml:space="preserve"> Noorte huviharidus ja huvitegevus</t>
  </si>
  <si>
    <t xml:space="preserve">09600           </t>
  </si>
  <si>
    <t xml:space="preserve"> Koolitransport</t>
  </si>
  <si>
    <t xml:space="preserve">10120           </t>
  </si>
  <si>
    <t xml:space="preserve"> Puuetega inimeste sotsiaalhoolekandeasutused</t>
  </si>
  <si>
    <t xml:space="preserve">10500           </t>
  </si>
  <si>
    <t xml:space="preserve"> Töötute sotsiaalne kaitse</t>
  </si>
  <si>
    <t xml:space="preserve">10600           </t>
  </si>
  <si>
    <t xml:space="preserve"> Eluasemeteenused sotsiaalsetele riskirühmadele</t>
  </si>
  <si>
    <t xml:space="preserve">10701           </t>
  </si>
  <si>
    <t xml:space="preserve"> Riiklik toimetulekutoetus</t>
  </si>
  <si>
    <t xml:space="preserve">10702           </t>
  </si>
  <si>
    <t xml:space="preserve"> Muu sotsiaalsete riskirühmade kaitse</t>
  </si>
  <si>
    <t xml:space="preserve">10900           </t>
  </si>
  <si>
    <t xml:space="preserve"> Muu sotsiaalne kaitse, sh sotsiaalse kaitse haldus</t>
  </si>
  <si>
    <t>Tegevusala koondnimetus</t>
  </si>
  <si>
    <t>Üldised valitsussektori teenused</t>
  </si>
  <si>
    <t>Avalik kord ja julgeolek</t>
  </si>
  <si>
    <t>Riigikaitse</t>
  </si>
  <si>
    <t>Majandus</t>
  </si>
  <si>
    <t>Keskkonnakaitse</t>
  </si>
  <si>
    <t>Elamu- ja kommunaalmajandus</t>
  </si>
  <si>
    <t>Haridus</t>
  </si>
  <si>
    <t>Sotsiaalne kaitse</t>
  </si>
  <si>
    <t>Vabaaeg, kultuur ja religioon</t>
  </si>
  <si>
    <t>Tulu/kulu liik2</t>
  </si>
  <si>
    <t>Füüsilise isiku tulumaks</t>
  </si>
  <si>
    <t>Maamaks</t>
  </si>
  <si>
    <t>Tulud kaupade ja teenuste müügist</t>
  </si>
  <si>
    <t>Tasandusfond</t>
  </si>
  <si>
    <t>Toetusfond</t>
  </si>
  <si>
    <t>Kohaliku tähtsusega maardlate kaevandamisõiguse tasu</t>
  </si>
  <si>
    <t>Põhitegevuse tulu</t>
  </si>
  <si>
    <t>Põhitegevuse kulu</t>
  </si>
  <si>
    <t>Põhivara müük (+)</t>
  </si>
  <si>
    <t>Investeerimistegevus</t>
  </si>
  <si>
    <t>Finantstulud (+)</t>
  </si>
  <si>
    <t>Finantskulud (-)</t>
  </si>
  <si>
    <t>Tervishoid</t>
  </si>
  <si>
    <t>Konto nimetus</t>
  </si>
  <si>
    <t>Rajatiste ja hoonete soetamine ja renoveerimine</t>
  </si>
  <si>
    <t>Maa soetamine</t>
  </si>
  <si>
    <t>Masinate ja seadmete, sh transpordivahendite soetamine</t>
  </si>
  <si>
    <t>Info- ja kommunikatsioonitehnoliigia seadmete seotamine</t>
  </si>
  <si>
    <t>Riigilõivud</t>
  </si>
  <si>
    <t>Kaupade ja teenuste müük</t>
  </si>
  <si>
    <t>Laekumised haridusasutuste majandustegevusest</t>
  </si>
  <si>
    <t>Lasteiatasu - õppekulu</t>
  </si>
  <si>
    <t>Administreerimiskulud</t>
  </si>
  <si>
    <t>Lähetuskulud</t>
  </si>
  <si>
    <t>Koolituskulud</t>
  </si>
  <si>
    <t>Kohustuste võtmine (+)</t>
  </si>
  <si>
    <t>Finantseerimistegevus</t>
  </si>
  <si>
    <t>Kohustuste tasumine (-)</t>
  </si>
  <si>
    <t>Kinnistute, hoonete ja ruumide majandamiskulud</t>
  </si>
  <si>
    <t>Intressi-, viivise- ja kohustistasukulud võetud laenudelt</t>
  </si>
  <si>
    <t>Intressitulud</t>
  </si>
  <si>
    <t>Rajatiste majandamiskulud</t>
  </si>
  <si>
    <t>Info- ja kommunikatsioonitehnoliigised kulud</t>
  </si>
  <si>
    <t>Sõidukite ülalpidamise kulud</t>
  </si>
  <si>
    <t>Inventari kulud, v.a infotehnoloogia ja kaitseotstarbelised kulud</t>
  </si>
  <si>
    <t>Masinate ja seadmete ülalpidamise kulud, v.a. infotehnoloogilised kulud</t>
  </si>
  <si>
    <t>Toiduained ja toitlustusteenused</t>
  </si>
  <si>
    <t>Meditsiinikulud ja hügieenitarbed</t>
  </si>
  <si>
    <t>Teavikud ja kunstiesemed</t>
  </si>
  <si>
    <t>Õppevahendid</t>
  </si>
  <si>
    <t>Kommunikatsiooni-, kultuuri- ja vaba aja sisustamise kulud</t>
  </si>
  <si>
    <t>Sotsiaalteenused</t>
  </si>
  <si>
    <t>Eri- ja vormiriietus</t>
  </si>
  <si>
    <t>Mitmesugused majanduskulud</t>
  </si>
  <si>
    <t>Töötasud</t>
  </si>
  <si>
    <t xml:space="preserve"> Avaliku teenistuse ametnike töötasu</t>
  </si>
  <si>
    <t>Töötajate töötasud</t>
  </si>
  <si>
    <t>Töötasud võlaõiguslike lepingute alusel</t>
  </si>
  <si>
    <t>Muude isikute töötasud</t>
  </si>
  <si>
    <t>Tööjõukuludega kaasnevad maksud ja sotsiaalkindlustusmaksed</t>
  </si>
  <si>
    <t>Sihtotstarbelised eraldised jooksvateks kuludeks</t>
  </si>
  <si>
    <t>Sihtotstarbelised eraldised muudele residentidele</t>
  </si>
  <si>
    <t>Maksu-, riigilõivu- ja trahvikulud</t>
  </si>
  <si>
    <t>Muud tegevuskulud</t>
  </si>
  <si>
    <t>Sihtotstarbelised eraldised põhivara soetamiseks muudele residentidele</t>
  </si>
  <si>
    <t>Sihtotstarbelised eraldised põhivara soetamiseks mitteresidentidele</t>
  </si>
  <si>
    <t>Laenude tasumine</t>
  </si>
  <si>
    <t>Tulu/kulu liigi grupp</t>
  </si>
  <si>
    <t>Maa müük</t>
  </si>
  <si>
    <t>Rajatiste ja hoonete müük</t>
  </si>
  <si>
    <t>Muude materiaalsete põhivarade müük</t>
  </si>
  <si>
    <t>Laenude võtmine muudelt residentidelt</t>
  </si>
  <si>
    <t>Toimetulekutoetus ja täiendavad sotsiaaltoetused</t>
  </si>
  <si>
    <t>Õppetoetused</t>
  </si>
  <si>
    <t>Puudega lapse toetus</t>
  </si>
  <si>
    <t>Puudega inimese hooldaja toetus</t>
  </si>
  <si>
    <t>Muud toetused puuetega inimestele ja nende hooldajatele</t>
  </si>
  <si>
    <t>Erijuhtudel riigi poolt makstavad maksud</t>
  </si>
  <si>
    <t>Ravitoetused</t>
  </si>
  <si>
    <t>Toetused eakatele</t>
  </si>
  <si>
    <t>Muud sotsiaalabitoetused ja hüvitised</t>
  </si>
  <si>
    <t>Sünnitoetus</t>
  </si>
  <si>
    <t>Muud peretoetused</t>
  </si>
  <si>
    <t>Peretoetused</t>
  </si>
  <si>
    <t>Saastetasud</t>
  </si>
  <si>
    <t>Tasu vee erikasutusest</t>
  </si>
  <si>
    <t>Valitsussektorisisesed toetused</t>
  </si>
  <si>
    <t>Mittesihtotstarbelised toetused</t>
  </si>
  <si>
    <t>Sihtotstarbelised toetused jooksvateks kuludeks</t>
  </si>
  <si>
    <t>Õpilaskoht</t>
  </si>
  <si>
    <t>Lasteaia toiduraha</t>
  </si>
  <si>
    <t>Liikmemaksud</t>
  </si>
  <si>
    <t>Kontode koondnimetus</t>
  </si>
  <si>
    <t>Maksutulud</t>
  </si>
  <si>
    <t>Saadavad toetused tegevuskuludeks</t>
  </si>
  <si>
    <t>Muud tegevustulud</t>
  </si>
  <si>
    <t>Antavad toetused tegevuskuludeks</t>
  </si>
  <si>
    <t>Märkused</t>
  </si>
  <si>
    <t>Ferdinand von Wrangelli nim Roela Lasteaed-Põhikool</t>
  </si>
  <si>
    <t>telefonid ja internet</t>
  </si>
  <si>
    <t>95 x 12</t>
  </si>
  <si>
    <t>postikulu, kuulutused</t>
  </si>
  <si>
    <t>tahmakassetid (värviline, õp.tuba, kantselei, direktor, LA)</t>
  </si>
  <si>
    <t>veebimajutus</t>
  </si>
  <si>
    <t>kantseleitarbed (kalendrid, pastapl., liim jne)</t>
  </si>
  <si>
    <t>printeripaber</t>
  </si>
  <si>
    <t>20 karpi</t>
  </si>
  <si>
    <t>külalised</t>
  </si>
  <si>
    <t>koolituste plaan</t>
  </si>
  <si>
    <t>küte</t>
  </si>
  <si>
    <t>elekter</t>
  </si>
  <si>
    <t>vesi + kanalisatsioon + san tehnilised tööd</t>
  </si>
  <si>
    <t>prügi</t>
  </si>
  <si>
    <t>14 x 20,50 + 12 x16,80 (konteineri laenutus)</t>
  </si>
  <si>
    <t>valvesignalisatsioon</t>
  </si>
  <si>
    <t>4 x 153.40 + materjalid + G4S (200.-)</t>
  </si>
  <si>
    <t>el.käiduleping</t>
  </si>
  <si>
    <t>48 x 12 + materjalid</t>
  </si>
  <si>
    <t>söökla ventilatsiooni puhastus</t>
  </si>
  <si>
    <t>1 kord aastas kohustuslik</t>
  </si>
  <si>
    <t>söökla uhteproovid, vee analüüsid</t>
  </si>
  <si>
    <t>2 x 53</t>
  </si>
  <si>
    <t>söökla kahjuritõrje</t>
  </si>
  <si>
    <t>4 x 23.01</t>
  </si>
  <si>
    <t>tulekustutite kontroll</t>
  </si>
  <si>
    <t>23 x 4,90</t>
  </si>
  <si>
    <t>korrashoiuvahendid</t>
  </si>
  <si>
    <t>WC paber, puhastusvahendid jne</t>
  </si>
  <si>
    <t>pisiremont (pahtel, värv jne)</t>
  </si>
  <si>
    <t>bussi liikluskindlustus</t>
  </si>
  <si>
    <t>kütus</t>
  </si>
  <si>
    <t>remont ja hooldus</t>
  </si>
  <si>
    <t>isikliku sõduauto kasutus</t>
  </si>
  <si>
    <t>V. Klemmer (10 x 64)</t>
  </si>
  <si>
    <t>M. Mirt (10 x 64)</t>
  </si>
  <si>
    <t>H. Supper (10 x 64)</t>
  </si>
  <si>
    <t>U. Kruusimägi (10 x 64)</t>
  </si>
  <si>
    <t>S. Kalme (11 x 64)</t>
  </si>
  <si>
    <t>klaverihäälestamine</t>
  </si>
  <si>
    <t xml:space="preserve"> klaverit</t>
  </si>
  <si>
    <t>seadmete remondid</t>
  </si>
  <si>
    <t>sülearvuti (2 tk)</t>
  </si>
  <si>
    <t>õpetajatele vanade asendamiseks</t>
  </si>
  <si>
    <t>ekraan + projektor(1 tk)</t>
  </si>
  <si>
    <t>aula</t>
  </si>
  <si>
    <t xml:space="preserve">toiduained  </t>
  </si>
  <si>
    <t>töötervishoiuarst</t>
  </si>
  <si>
    <t>3 töötajat</t>
  </si>
  <si>
    <t>plaastrid, sidemed jne</t>
  </si>
  <si>
    <t>õpikud</t>
  </si>
  <si>
    <t>töövihikud</t>
  </si>
  <si>
    <t>tellimislehti pole veel</t>
  </si>
  <si>
    <t>õpetajate tööraamatud, CD</t>
  </si>
  <si>
    <t>värvil.paber,joonistuspaber,värvid,mänguasjad</t>
  </si>
  <si>
    <t>sporditarbed</t>
  </si>
  <si>
    <t>pallid, kõrgushüppe postid, tõkked</t>
  </si>
  <si>
    <t>poiste tööõpetus</t>
  </si>
  <si>
    <t>kruvid, naelad, vineerisaelehed,liivapaber</t>
  </si>
  <si>
    <t>kodundus</t>
  </si>
  <si>
    <t>käsitöövahendid, toiduained</t>
  </si>
  <si>
    <t>õppeköök</t>
  </si>
  <si>
    <t>köögi tarvikud (pannid, kausid, noad)</t>
  </si>
  <si>
    <t>ATV bensiin suusaradade hoolduseks ja korrashoid</t>
  </si>
  <si>
    <t>lõpetamine (kingitused lõpetajatele)</t>
  </si>
  <si>
    <t>kool + LA</t>
  </si>
  <si>
    <t>kooli logoga meened kingitusteks</t>
  </si>
  <si>
    <t>õpilaste premeerimine saavutuste puhul</t>
  </si>
  <si>
    <t>lilled ürituste dekoreerimiseks</t>
  </si>
  <si>
    <t>spordipäevade auhinnad</t>
  </si>
  <si>
    <t>õppeekskursioon õpetajatele</t>
  </si>
  <si>
    <t>e-kool</t>
  </si>
  <si>
    <t>12 x 33,33</t>
  </si>
  <si>
    <t>eliis tarkvara</t>
  </si>
  <si>
    <t>aasta</t>
  </si>
  <si>
    <t>arvutiprogrammid, hooldused</t>
  </si>
  <si>
    <t>viiruse tõrje</t>
  </si>
  <si>
    <t>haridusserver</t>
  </si>
  <si>
    <t xml:space="preserve">0911007         </t>
  </si>
  <si>
    <t>Tegevusala nimetus2</t>
  </si>
  <si>
    <t xml:space="preserve">0921203         </t>
  </si>
  <si>
    <t xml:space="preserve">0451001         </t>
  </si>
  <si>
    <t xml:space="preserve"> Lumetõrje</t>
  </si>
  <si>
    <t xml:space="preserve">0451002         </t>
  </si>
  <si>
    <t xml:space="preserve"> Teede remont</t>
  </si>
  <si>
    <t xml:space="preserve">0451003         </t>
  </si>
  <si>
    <t xml:space="preserve"> Muud (märgid jne)</t>
  </si>
  <si>
    <t xml:space="preserve">0660501         </t>
  </si>
  <si>
    <t xml:space="preserve">0660502         </t>
  </si>
  <si>
    <t xml:space="preserve">0660503         </t>
  </si>
  <si>
    <t xml:space="preserve">0660504         </t>
  </si>
  <si>
    <t xml:space="preserve">0660505         </t>
  </si>
  <si>
    <t xml:space="preserve">0660506         </t>
  </si>
  <si>
    <t xml:space="preserve">0660507         </t>
  </si>
  <si>
    <t xml:space="preserve"> Saunad</t>
  </si>
  <si>
    <t xml:space="preserve">0660508         </t>
  </si>
  <si>
    <t xml:space="preserve"> Kalmistud</t>
  </si>
  <si>
    <t xml:space="preserve">0660509         </t>
  </si>
  <si>
    <t xml:space="preserve"> Hulkuvad loomad</t>
  </si>
  <si>
    <t xml:space="preserve">0810201         </t>
  </si>
  <si>
    <t xml:space="preserve"> Vinni Spordikompleks</t>
  </si>
  <si>
    <t xml:space="preserve">0810202         </t>
  </si>
  <si>
    <t xml:space="preserve"> Muuga Spordihoone</t>
  </si>
  <si>
    <t xml:space="preserve">0810203         </t>
  </si>
  <si>
    <t xml:space="preserve"> Staadion</t>
  </si>
  <si>
    <t xml:space="preserve">0810204         </t>
  </si>
  <si>
    <t xml:space="preserve">0810205         </t>
  </si>
  <si>
    <t xml:space="preserve">0810207         </t>
  </si>
  <si>
    <t xml:space="preserve"> Tervise edendamine</t>
  </si>
  <si>
    <t xml:space="preserve">0810701         </t>
  </si>
  <si>
    <t xml:space="preserve">0810702         </t>
  </si>
  <si>
    <t xml:space="preserve"> Toetused-MTÜ</t>
  </si>
  <si>
    <t xml:space="preserve">0810703         </t>
  </si>
  <si>
    <t xml:space="preserve"> Projektide kaasfinantseerimine</t>
  </si>
  <si>
    <t xml:space="preserve">0810903         </t>
  </si>
  <si>
    <t xml:space="preserve"> Valla üritused</t>
  </si>
  <si>
    <t xml:space="preserve">0810904         </t>
  </si>
  <si>
    <t xml:space="preserve"> Toetused MTÜ-le</t>
  </si>
  <si>
    <t xml:space="preserve">0810905         </t>
  </si>
  <si>
    <t xml:space="preserve"> Kergliiklusteed</t>
  </si>
  <si>
    <t xml:space="preserve">0810906         </t>
  </si>
  <si>
    <t xml:space="preserve"> laste laager</t>
  </si>
  <si>
    <t xml:space="preserve">0810907         </t>
  </si>
  <si>
    <t xml:space="preserve"> Vilde kirjanduspreemia</t>
  </si>
  <si>
    <t xml:space="preserve">0820101         </t>
  </si>
  <si>
    <t xml:space="preserve">0820102         </t>
  </si>
  <si>
    <t xml:space="preserve">0820103         </t>
  </si>
  <si>
    <t xml:space="preserve">0820104         </t>
  </si>
  <si>
    <t xml:space="preserve">0820105         </t>
  </si>
  <si>
    <t xml:space="preserve">0820106         </t>
  </si>
  <si>
    <t xml:space="preserve">0820107         </t>
  </si>
  <si>
    <t xml:space="preserve">0820108         </t>
  </si>
  <si>
    <t xml:space="preserve">0820201         </t>
  </si>
  <si>
    <t xml:space="preserve"> Kadila Seltsimaja</t>
  </si>
  <si>
    <t xml:space="preserve">0820202         </t>
  </si>
  <si>
    <t xml:space="preserve"> Pajusti klubi</t>
  </si>
  <si>
    <t xml:space="preserve">0820203         </t>
  </si>
  <si>
    <t xml:space="preserve"> Roela Rahvamaja</t>
  </si>
  <si>
    <t xml:space="preserve">0820204         </t>
  </si>
  <si>
    <t xml:space="preserve">0820205         </t>
  </si>
  <si>
    <t xml:space="preserve">0820206         </t>
  </si>
  <si>
    <t xml:space="preserve">0820207         </t>
  </si>
  <si>
    <t xml:space="preserve">0911001         </t>
  </si>
  <si>
    <t xml:space="preserve"> Vinni Lasteaed</t>
  </si>
  <si>
    <t xml:space="preserve">0911002         </t>
  </si>
  <si>
    <t xml:space="preserve"> Pajusti Lasteaed</t>
  </si>
  <si>
    <t xml:space="preserve">0911003         </t>
  </si>
  <si>
    <t xml:space="preserve"> Kulina Lasteaed</t>
  </si>
  <si>
    <t xml:space="preserve">0911004         </t>
  </si>
  <si>
    <t xml:space="preserve"> Tudu Lasteaed</t>
  </si>
  <si>
    <t xml:space="preserve">0911005         </t>
  </si>
  <si>
    <t xml:space="preserve"> Ulvi Lasteaed</t>
  </si>
  <si>
    <t xml:space="preserve">0911006         </t>
  </si>
  <si>
    <t xml:space="preserve"> Laekvere Lasteaed</t>
  </si>
  <si>
    <t xml:space="preserve"> Roela Lasteaed</t>
  </si>
  <si>
    <t xml:space="preserve">0911008         </t>
  </si>
  <si>
    <t xml:space="preserve"> Kohatasud</t>
  </si>
  <si>
    <t xml:space="preserve">0921201         </t>
  </si>
  <si>
    <t xml:space="preserve">0921202         </t>
  </si>
  <si>
    <t xml:space="preserve"> Roela kool</t>
  </si>
  <si>
    <t xml:space="preserve">0921204         </t>
  </si>
  <si>
    <t xml:space="preserve"> Tudu kool</t>
  </si>
  <si>
    <t xml:space="preserve">0921205         </t>
  </si>
  <si>
    <t xml:space="preserve"> Vinni pajusti Gümnaasium</t>
  </si>
  <si>
    <t xml:space="preserve">0921206         </t>
  </si>
  <si>
    <t xml:space="preserve">0921207         </t>
  </si>
  <si>
    <t xml:space="preserve"> Põlula kool</t>
  </si>
  <si>
    <t xml:space="preserve">0921301         </t>
  </si>
  <si>
    <t xml:space="preserve">0921302         </t>
  </si>
  <si>
    <t xml:space="preserve">0922001         </t>
  </si>
  <si>
    <t xml:space="preserve">0960201         </t>
  </si>
  <si>
    <t xml:space="preserve"> Roela Õpilaskodu</t>
  </si>
  <si>
    <t xml:space="preserve">0980001         </t>
  </si>
  <si>
    <t xml:space="preserve"> Huvitegevus</t>
  </si>
  <si>
    <t xml:space="preserve">0980002         </t>
  </si>
  <si>
    <t xml:space="preserve"> Üritused</t>
  </si>
  <si>
    <t xml:space="preserve">0980003         </t>
  </si>
  <si>
    <t xml:space="preserve"> Haldus</t>
  </si>
  <si>
    <t xml:space="preserve">1012101         </t>
  </si>
  <si>
    <t xml:space="preserve">1012102         </t>
  </si>
  <si>
    <t xml:space="preserve"> transport</t>
  </si>
  <si>
    <t xml:space="preserve">1012103         </t>
  </si>
  <si>
    <t xml:space="preserve"> Hooldajad</t>
  </si>
  <si>
    <t xml:space="preserve">1012104         </t>
  </si>
  <si>
    <t xml:space="preserve">1012105         </t>
  </si>
  <si>
    <t xml:space="preserve"> Erivajadustega inimeste tugiteenus</t>
  </si>
  <si>
    <t xml:space="preserve">1012106         </t>
  </si>
  <si>
    <t xml:space="preserve">101212          </t>
  </si>
  <si>
    <t xml:space="preserve"> Hooldajatoetused</t>
  </si>
  <si>
    <t xml:space="preserve">1020001         </t>
  </si>
  <si>
    <t xml:space="preserve"> Tammiku Kodu</t>
  </si>
  <si>
    <t xml:space="preserve">1020002         </t>
  </si>
  <si>
    <t xml:space="preserve">1020003         </t>
  </si>
  <si>
    <t xml:space="preserve"> Muud asutused</t>
  </si>
  <si>
    <t xml:space="preserve">1020004         </t>
  </si>
  <si>
    <t xml:space="preserve">1020101         </t>
  </si>
  <si>
    <t xml:space="preserve">1020102         </t>
  </si>
  <si>
    <t xml:space="preserve">1020103         </t>
  </si>
  <si>
    <t xml:space="preserve"> Juubeli toetused</t>
  </si>
  <si>
    <t xml:space="preserve">1040001         </t>
  </si>
  <si>
    <t xml:space="preserve"> Vinni Perekodu</t>
  </si>
  <si>
    <t xml:space="preserve">1040002         </t>
  </si>
  <si>
    <t xml:space="preserve">1040202         </t>
  </si>
  <si>
    <t xml:space="preserve"> Matusetoetus</t>
  </si>
  <si>
    <t xml:space="preserve">1040203         </t>
  </si>
  <si>
    <t xml:space="preserve"> Ühekordsed toetused</t>
  </si>
  <si>
    <t xml:space="preserve">1040204         </t>
  </si>
  <si>
    <t xml:space="preserve">1040205         </t>
  </si>
  <si>
    <t xml:space="preserve">1040207         </t>
  </si>
  <si>
    <t xml:space="preserve">1040208         </t>
  </si>
  <si>
    <t xml:space="preserve"> Muud toetused</t>
  </si>
  <si>
    <t>Row Labels</t>
  </si>
  <si>
    <t>Grand Total</t>
  </si>
  <si>
    <t xml:space="preserve">2020. EA </t>
  </si>
  <si>
    <t xml:space="preserve">Sum of 2020. EA </t>
  </si>
  <si>
    <t>bürootarbed</t>
  </si>
  <si>
    <t>tahm</t>
  </si>
  <si>
    <t>trükised</t>
  </si>
  <si>
    <t>post</t>
  </si>
  <si>
    <t>telefon</t>
  </si>
  <si>
    <t>mobiiltel</t>
  </si>
  <si>
    <t>kingitused</t>
  </si>
  <si>
    <t>esindamine</t>
  </si>
  <si>
    <t>kuulutused</t>
  </si>
  <si>
    <t>Koolitused</t>
  </si>
  <si>
    <t>el.käitlus</t>
  </si>
  <si>
    <t>korrashoid</t>
  </si>
  <si>
    <t>korstnapühkija</t>
  </si>
  <si>
    <t>vesi kanalisatsioon</t>
  </si>
  <si>
    <t>rem tööd</t>
  </si>
  <si>
    <t>kindlustus</t>
  </si>
  <si>
    <t>voodipesu</t>
  </si>
  <si>
    <t>isikliku sõiduki kasutamine</t>
  </si>
  <si>
    <t>Kooli bussi haldamine</t>
  </si>
  <si>
    <t>programmid</t>
  </si>
  <si>
    <t>soetamine</t>
  </si>
  <si>
    <t>andmeside</t>
  </si>
  <si>
    <t>rent</t>
  </si>
  <si>
    <t>hooldus ja remont</t>
  </si>
  <si>
    <t>esmaabi</t>
  </si>
  <si>
    <t>hügieenivahendid</t>
  </si>
  <si>
    <t>tervisekontroll</t>
  </si>
  <si>
    <t>prillid</t>
  </si>
  <si>
    <t>õpikud, töövihikud</t>
  </si>
  <si>
    <t>õppematerjalid</t>
  </si>
  <si>
    <t>mänguasjad</t>
  </si>
  <si>
    <t>ühisüritused</t>
  </si>
  <si>
    <t>transport</t>
  </si>
  <si>
    <t>etendused, kontserdid</t>
  </si>
  <si>
    <t>osalustasud</t>
  </si>
  <si>
    <t>aastapäevad</t>
  </si>
  <si>
    <t>ohutusvahendite kontroll</t>
  </si>
  <si>
    <t>Vinni Päevakeskus</t>
  </si>
  <si>
    <t>tahm, paber</t>
  </si>
  <si>
    <t>ajakirjad (Tervendaja ja 60+)</t>
  </si>
  <si>
    <t>lilled</t>
  </si>
  <si>
    <t>ettearvamatud</t>
  </si>
  <si>
    <t>Isikliku sõiduauto komp.</t>
  </si>
  <si>
    <t>vesi ja kanalisatsioon</t>
  </si>
  <si>
    <t>puhastus vahendid</t>
  </si>
  <si>
    <t>eakate päev, jõulud ja kevadpidu</t>
  </si>
  <si>
    <t>käeline tegevus (materjalid)</t>
  </si>
  <si>
    <t>mälutreening 2xkuus, 16x40,00</t>
  </si>
  <si>
    <t>võimlemine 4x kuus, 30x 45,00</t>
  </si>
  <si>
    <t>laulmine</t>
  </si>
  <si>
    <t>Roela Raamatukogu</t>
  </si>
  <si>
    <t>paber,tahm</t>
  </si>
  <si>
    <t>arvutiprogrammide hooldused</t>
  </si>
  <si>
    <t>printer</t>
  </si>
  <si>
    <t>diivan</t>
  </si>
  <si>
    <t>liigieraldajad</t>
  </si>
  <si>
    <t>raamatud</t>
  </si>
  <si>
    <t>perioodika</t>
  </si>
  <si>
    <t>Üritused lastele</t>
  </si>
  <si>
    <t>üritused täiskasvanutele</t>
  </si>
  <si>
    <t>Raamatukogud</t>
  </si>
  <si>
    <t>(All)</t>
  </si>
  <si>
    <t>Sotsiaalosakond</t>
  </si>
  <si>
    <t>täiendav vajadus</t>
  </si>
  <si>
    <t>Ametikoha, koosseisukoha nimetus</t>
  </si>
  <si>
    <t>Lisatasu/ aastas/kuus</t>
  </si>
  <si>
    <t>Palgamäär</t>
  </si>
  <si>
    <t>Töötasu/kuus</t>
  </si>
  <si>
    <t>psüholoog</t>
  </si>
  <si>
    <t>eripedagoog/logopeed</t>
  </si>
  <si>
    <t>huvijuht</t>
  </si>
  <si>
    <t>juhiabi</t>
  </si>
  <si>
    <t xml:space="preserve">ringijuhid </t>
  </si>
  <si>
    <t>lasteaia abiõpetajad</t>
  </si>
  <si>
    <t>lasteaia õpetajad</t>
  </si>
  <si>
    <t>LA logopeed</t>
  </si>
  <si>
    <t>LA muusikaõpetaja</t>
  </si>
  <si>
    <t>LA liikumisõpetaja</t>
  </si>
  <si>
    <t>lasteaia abitööline</t>
  </si>
  <si>
    <t>majahoidja</t>
  </si>
  <si>
    <t>abitööline</t>
  </si>
  <si>
    <t>remonditööline</t>
  </si>
  <si>
    <t>koristajad</t>
  </si>
  <si>
    <t>bussijuht</t>
  </si>
  <si>
    <t>kokk</t>
  </si>
  <si>
    <t>ÕK toitlustamine (9 kuud)</t>
  </si>
  <si>
    <t>köögi abitööline</t>
  </si>
  <si>
    <t>perenaine</t>
  </si>
  <si>
    <t>Maksud</t>
  </si>
  <si>
    <t>juhataja</t>
  </si>
  <si>
    <t>Tegevusala alanimetus</t>
  </si>
  <si>
    <t>Finantsosakond</t>
  </si>
  <si>
    <t>finantsjuht</t>
  </si>
  <si>
    <t>pearaamatupidaja</t>
  </si>
  <si>
    <t>raamatupidaja</t>
  </si>
  <si>
    <t>Audiitorteenus</t>
  </si>
  <si>
    <t>Trükised</t>
  </si>
  <si>
    <t>raamatupidamisuudised jms</t>
  </si>
  <si>
    <t>Omniva arvekeskus</t>
  </si>
  <si>
    <t>Pmen hooldus</t>
  </si>
  <si>
    <t>Koolituslähetuse sõidukulud</t>
  </si>
  <si>
    <t>600x12 kuud</t>
  </si>
  <si>
    <t>240x12 kuud</t>
  </si>
  <si>
    <t>1 inx375€</t>
  </si>
  <si>
    <t>tahmakasssetid, toonerid, tindikasseid</t>
  </si>
  <si>
    <t>Muuga Spordihoone</t>
  </si>
  <si>
    <t>Elektri kulu</t>
  </si>
  <si>
    <t>elektrikäitlemislepingu kulu</t>
  </si>
  <si>
    <t>korrashoiu- ja pisiremondi materjalid</t>
  </si>
  <si>
    <t>korrashoiu- ja prügioveoteenused</t>
  </si>
  <si>
    <t>Vesi- ja kanalisatsioon</t>
  </si>
  <si>
    <t>remonttööd</t>
  </si>
  <si>
    <t>ATS signalisatsioon</t>
  </si>
  <si>
    <t>istikud</t>
  </si>
  <si>
    <t>Lipud,vimplid, sümboolika</t>
  </si>
  <si>
    <t>Rent (Isikliku sõiduauto kulude hüvit.)</t>
  </si>
  <si>
    <t>Telia internet, TV, lauatelefon</t>
  </si>
  <si>
    <t>infotehnoloogiline riist-ja tarkvara</t>
  </si>
  <si>
    <t>Töötajate tervisekontroll, läbivaatus</t>
  </si>
  <si>
    <t>Ürituste korraldamise kulud</t>
  </si>
  <si>
    <t>osavõtutasud</t>
  </si>
  <si>
    <t>Spordiüritused</t>
  </si>
  <si>
    <t>Transpordi kasutus</t>
  </si>
  <si>
    <t>Juhataja</t>
  </si>
  <si>
    <t>Majahoidja</t>
  </si>
  <si>
    <t>Puhkuse asendamine juhatajal</t>
  </si>
  <si>
    <t>Puhkuse asendamine majahoidjal</t>
  </si>
  <si>
    <t>direktor</t>
  </si>
  <si>
    <t>raamatukoguhoidja</t>
  </si>
  <si>
    <t>Laekvere raamatukogu</t>
  </si>
  <si>
    <t>Eelarvearuanne</t>
  </si>
  <si>
    <t/>
  </si>
  <si>
    <t>Kirje nimetus</t>
  </si>
  <si>
    <t>Eelarve</t>
  </si>
  <si>
    <t>Põhitegevuse tulud</t>
  </si>
  <si>
    <t>Maksutulud kokku</t>
  </si>
  <si>
    <t>Saadud toetused tegevuskuludeks</t>
  </si>
  <si>
    <t>Muud saadud toetused tegevuskuludeks</t>
  </si>
  <si>
    <t>Saadud toetused tegevuskuludeks kokku</t>
  </si>
  <si>
    <t>Laekumine vee erikasutusest</t>
  </si>
  <si>
    <t>Saastetasud ja keskkonnale tekitatud kahju hüvitis</t>
  </si>
  <si>
    <t>Muud tegevustulud kokku</t>
  </si>
  <si>
    <t>Põhitegevuse tulud kokku</t>
  </si>
  <si>
    <t>Põhitegevuse kulud</t>
  </si>
  <si>
    <t>Antud toetused tegevuskuludeks</t>
  </si>
  <si>
    <t>Sotsiaalabitoetused ja muud toetused füüsilistele isikutele</t>
  </si>
  <si>
    <t>Sihtotstarbelised toetused tegevuskuludeks</t>
  </si>
  <si>
    <t>Antud toetused tegevuskuludeks kokku</t>
  </si>
  <si>
    <t>Tööjõukulud</t>
  </si>
  <si>
    <t>Majandamiskulud</t>
  </si>
  <si>
    <t>Muud kulud</t>
  </si>
  <si>
    <t>Muud tegevuskulud kokku</t>
  </si>
  <si>
    <t>Põhitegevuse kulud kokku</t>
  </si>
  <si>
    <t>Põhitegevuse tulem</t>
  </si>
  <si>
    <t>Investeerimistegevus kokku</t>
  </si>
  <si>
    <t>Eelarve tulem (ülejääk (+) / puudujääk (-))</t>
  </si>
  <si>
    <t>Finantseerimistegevus kokku</t>
  </si>
  <si>
    <t>Likviidsete varade muutus (+ suurenemine, - vähenemine)</t>
  </si>
  <si>
    <t>Nõuete ja kohustuste saldode muutus  (+ suurenemine, - vähenemine)</t>
  </si>
  <si>
    <t>Valla- ja linnavolikogu</t>
  </si>
  <si>
    <t>Valla- ja linnavalitsus</t>
  </si>
  <si>
    <t>Reservfond</t>
  </si>
  <si>
    <t>Muud üldised valitsussektori teenused</t>
  </si>
  <si>
    <t>Valitsussektori võla teenindamine</t>
  </si>
  <si>
    <t>Üldised valitsussektori teenused kokku</t>
  </si>
  <si>
    <t>Päästeteenused</t>
  </si>
  <si>
    <t>Avalik kord ja julgeolek kokku</t>
  </si>
  <si>
    <t>Side</t>
  </si>
  <si>
    <t>Majandus kokku</t>
  </si>
  <si>
    <t>Jäätmekäitlus</t>
  </si>
  <si>
    <t>Keskkonnakaitse kokku</t>
  </si>
  <si>
    <t>Veevarustus</t>
  </si>
  <si>
    <t>Tänavavalgustus</t>
  </si>
  <si>
    <t>Muu elamu- ja kommunaalmajanduse tegevus</t>
  </si>
  <si>
    <t>Elamu- ja kommunaalmajandus kokku</t>
  </si>
  <si>
    <t>Tervishoid kokku</t>
  </si>
  <si>
    <t>Vaba aeg, kultuur ja religioon</t>
  </si>
  <si>
    <t>Noorsootöö ja noortekeskused</t>
  </si>
  <si>
    <t>Rahvakultuur</t>
  </si>
  <si>
    <t>Ringhäälingu- ja kirjastamisteenused</t>
  </si>
  <si>
    <t>Vaba aeg, kultuur ja religioon kokku</t>
  </si>
  <si>
    <t>Alusharidus</t>
  </si>
  <si>
    <t>Põhihariduse otsekulud</t>
  </si>
  <si>
    <t>Üldkeskhariduse otsekulud</t>
  </si>
  <si>
    <t>Noorte huviharidus ja huvitegevus</t>
  </si>
  <si>
    <t>Koolitransport</t>
  </si>
  <si>
    <t>Öömaja</t>
  </si>
  <si>
    <t>Haridus kokku</t>
  </si>
  <si>
    <t>Muu puuetega inimeste sotsiaalne kaitse</t>
  </si>
  <si>
    <t>Eakate sotsiaalhoolekande asutused</t>
  </si>
  <si>
    <t>Muu eakate sotsiaalne kaitse</t>
  </si>
  <si>
    <t>Laste ja noorte sotsiaalhoolekande asutused</t>
  </si>
  <si>
    <t>Muu perekondade ja laste sotsiaalne kaitse</t>
  </si>
  <si>
    <t>Töötute sotsiaalne kaitse</t>
  </si>
  <si>
    <t>Eluasemeteenused sotsiaalsetele riskirühmadele</t>
  </si>
  <si>
    <t>Riiklik toimetulekutoetus</t>
  </si>
  <si>
    <t>Muu sotsiaalsete riskirühmade kaitse</t>
  </si>
  <si>
    <t>Sotsiaalne kaitse kokku</t>
  </si>
  <si>
    <t>Põhitegevuse kulude ja investeerimistegevuse väljaminekute jaotus tegevusalade järgi kokku</t>
  </si>
  <si>
    <t>Muud näitajad</t>
  </si>
  <si>
    <t>Aasta alguse seisuga</t>
  </si>
  <si>
    <t>Võlakohustused</t>
  </si>
  <si>
    <t>Likviidsed varad</t>
  </si>
  <si>
    <t>Perioodi lõpu seisuga</t>
  </si>
  <si>
    <t>Eesti Linnade ja Valdade Liidu 2020.a. liikmemaks</t>
  </si>
  <si>
    <t>Aula remont</t>
  </si>
  <si>
    <t>Võimla seinte ja sokli soojustus</t>
  </si>
  <si>
    <t>Koolimaja fassaadi ja trepi renoveerimine</t>
  </si>
  <si>
    <t>Söökla trepi varikatus</t>
  </si>
  <si>
    <t>Signalisatsioon ühendada (LA, r/k, kool)</t>
  </si>
  <si>
    <t>Keskkütte sooja vee ühendamine boileritega</t>
  </si>
  <si>
    <t>Kooli ja LA juubel (40/45)</t>
  </si>
  <si>
    <t>Korvirõngad + mänguväljak</t>
  </si>
  <si>
    <t>1. klassi ujumise transport (19 x 40.-)</t>
  </si>
  <si>
    <t>Roela kool</t>
  </si>
  <si>
    <t>Seinad ja lagi vajavad uuendust</t>
  </si>
  <si>
    <t>Võimla on külm</t>
  </si>
  <si>
    <t>Seintel värv maas, trepp katki ja libe</t>
  </si>
  <si>
    <t>sademetega saab kaup märjaks ja trepp on libe</t>
  </si>
  <si>
    <t>LA ja r/k signal. puudub</t>
  </si>
  <si>
    <t>Hoiab el.energiat kokku</t>
  </si>
  <si>
    <t>Esinejad, toitlustamine, meened</t>
  </si>
  <si>
    <t>korvpalli korvid 2 tk - 2780eurot ja palliväljaku mahamärkimine 1800 eu</t>
  </si>
  <si>
    <t>õppekavas ette nähtud</t>
  </si>
  <si>
    <t>Vallavalitsus</t>
  </si>
  <si>
    <t>Raamatupidajate kogu liikmemaks</t>
  </si>
  <si>
    <t>Ulvi Lasteaed</t>
  </si>
  <si>
    <t>ühik</t>
  </si>
  <si>
    <t>ühik2</t>
  </si>
  <si>
    <t>ühik3</t>
  </si>
  <si>
    <t>ühik4</t>
  </si>
  <si>
    <t>hind</t>
  </si>
  <si>
    <t>Sõimelapsed</t>
  </si>
  <si>
    <t>Eelkoolilapsed</t>
  </si>
  <si>
    <t>kohatasu</t>
  </si>
  <si>
    <t>Toidupäev</t>
  </si>
  <si>
    <t>Vinni Lasteaed</t>
  </si>
  <si>
    <t>Pajusti Lasteaed</t>
  </si>
  <si>
    <t>Kulina Lasteaed</t>
  </si>
  <si>
    <t>Tudu Lasteaed</t>
  </si>
  <si>
    <t>Laekvere Lasteaed</t>
  </si>
  <si>
    <t>Roela Lasteaed</t>
  </si>
  <si>
    <t>0810704</t>
  </si>
  <si>
    <t>Muu vaba aeg, kultuur, religioon, sh haldus</t>
  </si>
  <si>
    <t>??</t>
  </si>
  <si>
    <t>Laenude põhiosade tasumised</t>
  </si>
  <si>
    <t>Laenude intresside tasumised</t>
  </si>
  <si>
    <t>Vinni staadioni hooldus 5 kuud a`6 €/h x 168 tundi</t>
  </si>
  <si>
    <t>Arendusnõunik</t>
  </si>
  <si>
    <t>sisseostetud teenus (kevad- ja järelhooldus)</t>
  </si>
  <si>
    <t>väetis</t>
  </si>
  <si>
    <t>töövahendid, remont</t>
  </si>
  <si>
    <t>side (Telia)</t>
  </si>
  <si>
    <t>Vältimatu sotsiaalabi</t>
  </si>
  <si>
    <t>Erakorraline toetus</t>
  </si>
  <si>
    <t>Rakvere Kodutute Varjupaik - teenuse ost</t>
  </si>
  <si>
    <t>Varjupaik + Naiste Varjupaik</t>
  </si>
  <si>
    <t>Toimetulekutoetus</t>
  </si>
  <si>
    <t>toimetulekutoetus</t>
  </si>
  <si>
    <t>Küttetoetus</t>
  </si>
  <si>
    <t>Sotsiaalkorterite remont</t>
  </si>
  <si>
    <t>Muud toetused töötutele (ühekordsed toetused)</t>
  </si>
  <si>
    <t>Töötute sotsiaalne kaitse (töötamine)</t>
  </si>
  <si>
    <t>Ravikindlustuseta kindlustamata isikud</t>
  </si>
  <si>
    <t>Muud toetused töötutele</t>
  </si>
  <si>
    <t>Laagritoetus</t>
  </si>
  <si>
    <t>Ranitsatoetus</t>
  </si>
  <si>
    <t xml:space="preserve">Sünnitoetus  </t>
  </si>
  <si>
    <t>Hoolduspere toetus (tugiisik)</t>
  </si>
  <si>
    <t>Ühekorded toetused + perede koolituse toetus</t>
  </si>
  <si>
    <t>Toetus toidule (koolid, lasteaiad), ühiselamu üür</t>
  </si>
  <si>
    <t>Muud toetused (kriisit.teenuse ost)</t>
  </si>
  <si>
    <t>Keila SOS lastekodu täiendav toetus</t>
  </si>
  <si>
    <t>Sõidukompensatsioon + Porkuni leping</t>
  </si>
  <si>
    <t>L-Viru Suurte perede Ühendus</t>
  </si>
  <si>
    <t>tervisega seotud kulutused</t>
  </si>
  <si>
    <t>Prillid</t>
  </si>
  <si>
    <t>Tugiisiku teenus</t>
  </si>
  <si>
    <t xml:space="preserve">Vinni Perekodu </t>
  </si>
  <si>
    <t>Tõlgiteenus</t>
  </si>
  <si>
    <t>Projektis osalemine a la "Imelised aastad....."</t>
  </si>
  <si>
    <t>Projektis osalemine "Kunstilaager..."</t>
  </si>
  <si>
    <t>Lusikapidu ja karud</t>
  </si>
  <si>
    <t>16 x 110 madala sissetulekuga pere last</t>
  </si>
  <si>
    <t>3 last</t>
  </si>
  <si>
    <t>200x12 Mari-Liisa</t>
  </si>
  <si>
    <t>Muu sotsiaalne kaitse, sh sotsiaalse kaitse haldus</t>
  </si>
  <si>
    <t xml:space="preserve"> Eakate toetused</t>
  </si>
  <si>
    <t xml:space="preserve"> Tugiisikud (perekondade ja laste)</t>
  </si>
  <si>
    <t xml:space="preserve"> Sünnitoetused</t>
  </si>
  <si>
    <t>Noortemajadele, õpilaskodule</t>
  </si>
  <si>
    <t>Asenduskodu+turvakoduteenus</t>
  </si>
  <si>
    <t>Matusetoetus</t>
  </si>
  <si>
    <t>valla poolne finantseering</t>
  </si>
  <si>
    <t>matusetoetus</t>
  </si>
  <si>
    <t>Juubelitoetused (+ lilled)</t>
  </si>
  <si>
    <t>Ühekordsed toetused</t>
  </si>
  <si>
    <t>Täiendav ravimite toetus</t>
  </si>
  <si>
    <t>1020104</t>
  </si>
  <si>
    <t xml:space="preserve"> Täiendav ravimitoetus</t>
  </si>
  <si>
    <t>Üldtüüpi hooldekodusse paigut.in.ülalp.kulud</t>
  </si>
  <si>
    <t>Täiendavad toetused (ujumine, ühiselamu)</t>
  </si>
  <si>
    <t>Sõidukulude kompenseerimise toetus</t>
  </si>
  <si>
    <t>Toetus ravimitele, abivah.,proteesid</t>
  </si>
  <si>
    <t>Isiklik abistaja, tugiisik täiskasvanuile</t>
  </si>
  <si>
    <t>Viipekeele tõlk</t>
  </si>
  <si>
    <t>Muud toetused (juhtkoera toit)</t>
  </si>
  <si>
    <t>Invatranspordis osalemine/teenus</t>
  </si>
  <si>
    <t>Muud toetused (ühekordsed)</t>
  </si>
  <si>
    <t>Puuetega täiskanvanute hooldaja toetus</t>
  </si>
  <si>
    <t>Puuetega laste hooldaja toetus</t>
  </si>
  <si>
    <t>Projekt "Puuetega in. Kodude kohandamine"</t>
  </si>
  <si>
    <t>AS Hoolekandeteenused osalemine</t>
  </si>
  <si>
    <t>MTÜ Johanna osalemine</t>
  </si>
  <si>
    <t>MTÜ Johanna projektid</t>
  </si>
  <si>
    <t>MTÜ Johanna tegevustoetus</t>
  </si>
  <si>
    <t>Maakonna projekt Erivajadustega inimeste tugiteenused osal</t>
  </si>
  <si>
    <t>Vähihaigete Liit</t>
  </si>
  <si>
    <t>Lääne-Virumaa Sclerosis Multipleksi Ühing</t>
  </si>
  <si>
    <t>Lääne Virumaa Kurtide Ühing</t>
  </si>
  <si>
    <t>MTÜ Õendus-hoolduskeskus Loojang</t>
  </si>
  <si>
    <t>10110</t>
  </si>
  <si>
    <t xml:space="preserve"> Haigete sotsiaalne kaitse</t>
  </si>
  <si>
    <t>Hooldustöötaja (Maalman) eakad</t>
  </si>
  <si>
    <t>Hooldustöötaja (asendus)</t>
  </si>
  <si>
    <t>Hooldustöötaja (Muldma)</t>
  </si>
  <si>
    <t>Hooldustöötaja (Anier)</t>
  </si>
  <si>
    <t>Hooldustöötaja el.auto hooldus, remont, jms</t>
  </si>
  <si>
    <t>Hooldustöötajate koolitused</t>
  </si>
  <si>
    <t>Inventar</t>
  </si>
  <si>
    <t>el.jalgratta hooldus( akud) jms</t>
  </si>
  <si>
    <t>sh. Kredex laadimistasud</t>
  </si>
  <si>
    <t xml:space="preserve"> Muud</t>
  </si>
  <si>
    <t>Puuetega inimeste sotsiaalhoolekandeasutused</t>
  </si>
  <si>
    <t>Puuetega inimeste eest makstav sotsiaalmaks</t>
  </si>
  <si>
    <t xml:space="preserve"> Ravitoetused puuetega inimestele</t>
  </si>
  <si>
    <t xml:space="preserve"> Ravitoetused perekondadele, lastele</t>
  </si>
  <si>
    <t>Proteesid, ortopeedilised ja muud abivahendid puuetega inimestele</t>
  </si>
  <si>
    <t xml:space="preserve"> Tugiisikud puuetega inimestele</t>
  </si>
  <si>
    <t>Piret Mets Väike-Maarja TK (Laekvere) Transpordikulu</t>
  </si>
  <si>
    <t>Vinni Tervisekeskusele helikindlad uksed</t>
  </si>
  <si>
    <t>Piret Mets Väike-Maarja TK (Laekvere) kohvimasin</t>
  </si>
  <si>
    <t>Sotsiaalteenistuse juhataja (palk)</t>
  </si>
  <si>
    <t>Hooldustöötaja (Anier) palgatõus</t>
  </si>
  <si>
    <t>Sotsiaaltööspetsialist</t>
  </si>
  <si>
    <t xml:space="preserve">Lasteheaoluspetsialist </t>
  </si>
  <si>
    <t>Sotsiaali autode kulud+kompensatsioon</t>
  </si>
  <si>
    <t>kütus, liising, hooldused, kindlustus</t>
  </si>
  <si>
    <t xml:space="preserve">Mobiiltelefoni kulu </t>
  </si>
  <si>
    <t>Riigilõiv (20 in eestkoste vormistamiseks)</t>
  </si>
  <si>
    <t>Projektides osalemised</t>
  </si>
  <si>
    <t>bürootarbed, auhinnad-kingitused, telefon jne</t>
  </si>
  <si>
    <t xml:space="preserve">perioodika </t>
  </si>
  <si>
    <t>puhastus- ja korrashoiuvahendid</t>
  </si>
  <si>
    <t>korstnapühkimisteenus</t>
  </si>
  <si>
    <t>Isiklikus sõiduauto komp.</t>
  </si>
  <si>
    <t>Urrami hooldus ja arendus</t>
  </si>
  <si>
    <t>remondi- ja hooldusteenused</t>
  </si>
  <si>
    <t xml:space="preserve">Luminor liising Muuga 2 arvutit </t>
  </si>
  <si>
    <t>Konkreetselt planeerimata, võib tekkida vajadus riiulitele. Muugas võiks remontida olemasoleva nurgadiivani ( riidevahetus)</t>
  </si>
  <si>
    <t>esmaabivahendid, prillihüvitis, gripivaktsiin, tervisekontroll</t>
  </si>
  <si>
    <t>Teavikud</t>
  </si>
  <si>
    <t>Kohtumised kirjanikuga rahvusvahelise lasteraamatupäeva tähistamiseks aprillis nii Muugas kui Laekveres</t>
  </si>
  <si>
    <t xml:space="preserve">Raamatukoguöö märts-aprill Muugas </t>
  </si>
  <si>
    <t>Eduard Vilde 155. sünniaastapäeva tähistamine- Simuna kihelkonnakoolide ja Vinni valla õpilaste reisijuttude kirjutamise konkurss, konkursi lõpuüritus</t>
  </si>
  <si>
    <t xml:space="preserve">Raamatukogupäevade üritused, TÕN üritused </t>
  </si>
  <si>
    <t xml:space="preserve">Karneval Muuga mõisas novembris Muuga- Laekvere Kooli algklasside lastele </t>
  </si>
  <si>
    <t>muud planeerimata üritused</t>
  </si>
  <si>
    <t>Vinni Valla Noored MTÜ</t>
  </si>
  <si>
    <t>Sport</t>
  </si>
  <si>
    <t>Noorsoo- ja spordinõunik</t>
  </si>
  <si>
    <t>Laste töö- ja puhkelaagri töötasud</t>
  </si>
  <si>
    <t>Laste töö- ja puhkelaagri elektrikulud</t>
  </si>
  <si>
    <t>0810705</t>
  </si>
  <si>
    <t>Laste töö- ja puhkelaagri toitlustuskulud</t>
  </si>
  <si>
    <t>Noorsoo projektide kaasfinantseerimised</t>
  </si>
  <si>
    <t>0810208</t>
  </si>
  <si>
    <t xml:space="preserve"> Vinni Valla Noored MTÜ</t>
  </si>
  <si>
    <t xml:space="preserve"> Lastelaagrid</t>
  </si>
  <si>
    <t xml:space="preserve"> Spordiseltside- ja klubide toetused MTÜ</t>
  </si>
  <si>
    <t xml:space="preserve"> Noorsootöö haldus</t>
  </si>
  <si>
    <t xml:space="preserve"> Toetused sportlastele</t>
  </si>
  <si>
    <t>Vinni Spordikompleksis elanike tervise ja spordivõimaluste tagamine (lasteaiad, koolid jne.)</t>
  </si>
  <si>
    <t>Vinni Spordikompleksis elanike tervise ja spordivõimaluste tagamine (elanikkond)</t>
  </si>
  <si>
    <t>Valla koolide ja lasteaedade  2020 aasta suusatamise-ja kergejõustikuvõistlused, spordipäevad.</t>
  </si>
  <si>
    <t>Valla päevadel spordivõistluste korraldamine</t>
  </si>
  <si>
    <t>Üritused</t>
  </si>
  <si>
    <t xml:space="preserve">Eesti 2020 aasta omavalitsuste tali-ja suvemängudel osalemine </t>
  </si>
  <si>
    <t xml:space="preserve">Noorte volikogu töö korraldamine, arendamine            </t>
  </si>
  <si>
    <t>Vaba aja üritused</t>
  </si>
  <si>
    <t>Ei kasuta enam</t>
  </si>
  <si>
    <t>uus</t>
  </si>
  <si>
    <t>Telefon</t>
  </si>
  <si>
    <t>Sideteenused</t>
  </si>
  <si>
    <t>Seminaridel osalemine</t>
  </si>
  <si>
    <t xml:space="preserve">komisjon 5-liikmeline, 30 h </t>
  </si>
  <si>
    <t>Vinni valla valimiskomisjon</t>
  </si>
  <si>
    <t>01</t>
  </si>
  <si>
    <t>08</t>
  </si>
  <si>
    <t>09</t>
  </si>
  <si>
    <t>10</t>
  </si>
  <si>
    <t>IT spetsialist</t>
  </si>
  <si>
    <t>Valvekaamerate vahetus</t>
  </si>
  <si>
    <t>Teede korrashoiu kulud</t>
  </si>
  <si>
    <t>Teede- ja ühistranspordinõunik</t>
  </si>
  <si>
    <t>Uute musta katte lõikude rajamine</t>
  </si>
  <si>
    <t>Kruusakattaga teedele uute tolmuvabade lõikude rajamine</t>
  </si>
  <si>
    <t>Bussijuht</t>
  </si>
  <si>
    <t xml:space="preserve">Liising </t>
  </si>
  <si>
    <t>12x3096</t>
  </si>
  <si>
    <t>Kasko ja liikluskindlustus</t>
  </si>
  <si>
    <t>2600+450 käesoleval aastal</t>
  </si>
  <si>
    <t>Remont ja hooldus</t>
  </si>
  <si>
    <t>Navigaatori või tahvelarvuti soetamine</t>
  </si>
  <si>
    <t>On olnud plaanis, aga pole sellel aastal tehtud</t>
  </si>
  <si>
    <t>Tervise- ja spordiarendamise hüvitis</t>
  </si>
  <si>
    <t>bussijuhi mobiil</t>
  </si>
  <si>
    <t>Vallavanem</t>
  </si>
  <si>
    <t>Abivallavanem</t>
  </si>
  <si>
    <t>Vallasekretär</t>
  </si>
  <si>
    <t>Juhiabi</t>
  </si>
  <si>
    <t>Jurist</t>
  </si>
  <si>
    <t>Kantseleispetsialist</t>
  </si>
  <si>
    <t>04</t>
  </si>
  <si>
    <t>Õpilastranspot Põlula ja VPG (RTX Lines OÜ leping)</t>
  </si>
  <si>
    <t>Õpilastranspot Põlula ja VPG (TA Bussid leping)</t>
  </si>
  <si>
    <t>Õpilastransport Muuga ja Laekvere (MK Reis leping)</t>
  </si>
  <si>
    <t>Volikogu esimees</t>
  </si>
  <si>
    <t>Komisjonide esimehed</t>
  </si>
  <si>
    <t>Protokollija</t>
  </si>
  <si>
    <t>külaliste vastuvõtt</t>
  </si>
  <si>
    <t>postikulu</t>
  </si>
  <si>
    <t>tellitud transport</t>
  </si>
  <si>
    <t>komisjonide töö korraldamised</t>
  </si>
  <si>
    <t>17 x 50</t>
  </si>
  <si>
    <t>esimees 12*150</t>
  </si>
  <si>
    <t>Volikogu liikmed</t>
  </si>
  <si>
    <t>Komisjonide liikmed</t>
  </si>
  <si>
    <t>Põhitegevustuludest 1%</t>
  </si>
  <si>
    <t>Maksumaksjate liidu liikmemaks</t>
  </si>
  <si>
    <t>Ehitusnõunik</t>
  </si>
  <si>
    <t>Maanõunik</t>
  </si>
  <si>
    <t>Ettevõtlustoetused</t>
  </si>
  <si>
    <t>Tänavalguste elektrikulud</t>
  </si>
  <si>
    <t>Haldusjuht</t>
  </si>
  <si>
    <t xml:space="preserve">Traktorist-majandustööline </t>
  </si>
  <si>
    <t>Heakorra-ja remonditööline</t>
  </si>
  <si>
    <t>Koristaja -majahoidja</t>
  </si>
  <si>
    <t>Trimmerdaja (suvel)</t>
  </si>
  <si>
    <t>Laekvere piirkond</t>
  </si>
  <si>
    <t>Tänavalgustuse rekonstrueerimine</t>
  </si>
  <si>
    <t>Ühtekuuluvusfond</t>
  </si>
  <si>
    <t>Maanteetransport</t>
  </si>
  <si>
    <t>Toetus tegevuskuludeks</t>
  </si>
  <si>
    <t>Maaküttega seotud liisingmaksed</t>
  </si>
  <si>
    <t>Maaküttega seotud intressidemaksed</t>
  </si>
  <si>
    <t>12x304,07</t>
  </si>
  <si>
    <t>12x1520,33</t>
  </si>
  <si>
    <t>Maaküttega seotud kindlustusmaksed</t>
  </si>
  <si>
    <t>12x149,29</t>
  </si>
  <si>
    <t>Roela Tuletõrjeselts MTÜ toetus</t>
  </si>
  <si>
    <t xml:space="preserve">Töötasu </t>
  </si>
  <si>
    <t>majahoidja ja koristaja  asendamine 500€ üks kuu x 2kuud,traktorist-majandustöölise ja remondi ja heakorratöölise  palga tõstmine 1000€-ni</t>
  </si>
  <si>
    <t>Kontoritarbed</t>
  </si>
  <si>
    <t>Tahmad, paber, pliiatsid jne.</t>
  </si>
  <si>
    <t>Laekvere piirkonna varade kindlustus</t>
  </si>
  <si>
    <t>2019 eelarves ei olnud planeeritud, kuid kulu tehti, 2018 kohta info puudub</t>
  </si>
  <si>
    <t>Töökoja kasutus ja ruumide rent</t>
  </si>
  <si>
    <t>Rendime Laekvere PM OÜ-l Kioti traktorile ja seadmetele garaazi, võtame Kioti traktorile diiselkütet, muruniidukite ja Fiat Doblo bensiini</t>
  </si>
  <si>
    <t>Remondimaterjalid</t>
  </si>
  <si>
    <t>Valla korterid, tööliste olmeruumid, avalikud rajatised, bussiootepaviljonid jne</t>
  </si>
  <si>
    <t>Vesi-ja kanalisastioon</t>
  </si>
  <si>
    <t>Salutaguse tee 2 ja Paasvere külamaja -Emajõe Veevärk</t>
  </si>
  <si>
    <t>Veeautomaat Saku Läte</t>
  </si>
  <si>
    <t>Salutaguse tee 2</t>
  </si>
  <si>
    <t>Kohvimasina hooldus</t>
  </si>
  <si>
    <t>Porivaipade rent (Linström)</t>
  </si>
  <si>
    <t xml:space="preserve">Salutaguse tee 2 </t>
  </si>
  <si>
    <t>Keskküte</t>
  </si>
  <si>
    <t xml:space="preserve">Salutaguse tee 2 terve hoone </t>
  </si>
  <si>
    <t xml:space="preserve">Elekter </t>
  </si>
  <si>
    <t>Salutaguse tee 2 terve hoone ja Paasvere külamaja</t>
  </si>
  <si>
    <t>Elektri käidukorraldus</t>
  </si>
  <si>
    <t>Enno Mandel Elektritööd teostabLaekvere piirkonna eletripaigaldiste käidukorraldust</t>
  </si>
  <si>
    <t>Signalisatsiooni hooldus</t>
  </si>
  <si>
    <t>Salutaguse tee 2 hoone Ennak SEL</t>
  </si>
  <si>
    <t>Korrashoiu vahendid</t>
  </si>
  <si>
    <t>Koristustarbed,luuad, harjad wc paber ,kätepaber jne-olen arvestanud ka Laekvere sauna puhastusvahendite  kulu</t>
  </si>
  <si>
    <t>Ohtlike puude raie</t>
  </si>
  <si>
    <t>Kokku vaja maha võtta ca 14 ohtlikku puud, arboristi teenus  vähemalt 150€ puu, lõhkuda Laekveres hakkide pesasid</t>
  </si>
  <si>
    <t xml:space="preserve">Prügivedu </t>
  </si>
  <si>
    <t>Paberikonteinerite tühjendus</t>
  </si>
  <si>
    <t>Väätsa Prügila</t>
  </si>
  <si>
    <t>Korteriühistute tasud</t>
  </si>
  <si>
    <t>Remondifond, tühjade valla korterite küte, kommunaalid(peab vaatama 2019 tegelikke kulusid) Kelle eelarvest lähevad sotsiaalkorterite Vassivere põik 4-5;4-18;1-1 ja 1-13 kulud?</t>
  </si>
  <si>
    <t xml:space="preserve">Amplid, lilled,istikud </t>
  </si>
  <si>
    <t>Laekvere parki on vaja istutada uusi puid ca 10 tk 80€ suur potis istik</t>
  </si>
  <si>
    <t>Peugeo Partner</t>
  </si>
  <si>
    <t>hooldus, rehvid</t>
  </si>
  <si>
    <t>kindlustus(kasko+liiklus)</t>
  </si>
  <si>
    <t>liising</t>
  </si>
  <si>
    <t>VW Transporter</t>
  </si>
  <si>
    <t>hooldus, rehvid , tehnoülevaatus</t>
  </si>
  <si>
    <t>Fiat Doblo</t>
  </si>
  <si>
    <t>liikluskindlustus</t>
  </si>
  <si>
    <t>hooldus, rehvid ,tehnoülevaatud</t>
  </si>
  <si>
    <t>Nissan NV300 väikebuss</t>
  </si>
  <si>
    <t>Nisssan NV300 väikebuss</t>
  </si>
  <si>
    <t>kütus ( viimasel ajal on läinud Muuga-Laekvere kooli eelarvest?</t>
  </si>
  <si>
    <t>Nissan NV300  väikebuss</t>
  </si>
  <si>
    <t>hooldus, pesu, klaasipesuvedelik jne</t>
  </si>
  <si>
    <t>Internetiühendus</t>
  </si>
  <si>
    <t>Kõigi Laekvere alevikus valla kuuluvate  hoonete internetiühendus jookseb läbi Salutaguse tee 2 teeninduskeskuse, kust toimub hargnemine</t>
  </si>
  <si>
    <t>ELISA TV</t>
  </si>
  <si>
    <t>Vassivere põik 1-1 ja 1-13  sotsiaalkorterite  elanike TV, mille nad vallale kinni maksavad</t>
  </si>
  <si>
    <t>Riistvara soetamine</t>
  </si>
  <si>
    <t>Ruuter jne.</t>
  </si>
  <si>
    <t>Seadmete ja masinate tarvikud</t>
  </si>
  <si>
    <t>Murutraktori rihmad,saagide osad ,ketid,niidukite terad ,kiilrihmad,õlid, filtrid.</t>
  </si>
  <si>
    <t>Hooldus</t>
  </si>
  <si>
    <t>Kioti traktor, murutraktor, haagised, niidukid, nende kindlustus, ülevaatused</t>
  </si>
  <si>
    <t>Traktorile KIOTi niiduki OPTIMAL BP-185  soetamine</t>
  </si>
  <si>
    <t>Praegune niiduk amortiseerunud, töötab viimase piiri peal</t>
  </si>
  <si>
    <t>Talguliste toitlustamine</t>
  </si>
  <si>
    <t>Tervisekulud</t>
  </si>
  <si>
    <t>5 töötajat x 400 eurot aastas</t>
  </si>
  <si>
    <t>Töötervishoiu kulud</t>
  </si>
  <si>
    <t>5 töötajat</t>
  </si>
  <si>
    <t>Tööriided ja töökindad</t>
  </si>
  <si>
    <t>2 töötajat</t>
  </si>
  <si>
    <t xml:space="preserve">Teeme ära talgud </t>
  </si>
  <si>
    <t>Transport</t>
  </si>
  <si>
    <t>M.K.Reis-x teenindatav reedene Venevere-Paasvere-Vassivere poe liin,surnuaaipühal ja jõululaupäeval buss Simuna surnuaiale(FIE Teet Põldoja)</t>
  </si>
  <si>
    <t>Rägavere piirkond</t>
  </si>
  <si>
    <t>Lepinguliste töötajate töötasu</t>
  </si>
  <si>
    <t>mobiiltelefon 5783 3232</t>
  </si>
  <si>
    <t>Rägavere piirkonna varade kindlustus</t>
  </si>
  <si>
    <t>Ohtlike puude raie, niitmis teenus jm</t>
  </si>
  <si>
    <t>Valveteenus</t>
  </si>
  <si>
    <t>Katla hooldus, korstnapühkija</t>
  </si>
  <si>
    <t>Pelleti ost</t>
  </si>
  <si>
    <t>Valve- ja tuletõrje signalisatsiooni hooldus</t>
  </si>
  <si>
    <t>Elekter</t>
  </si>
  <si>
    <t xml:space="preserve"> Lääne-Viru Jäätmekeskus</t>
  </si>
  <si>
    <t>Väikebussi kütus</t>
  </si>
  <si>
    <t>Väikebuss</t>
  </si>
  <si>
    <t>isikliku auto kasutus</t>
  </si>
  <si>
    <t>Andigo OÜ internet, kaks lautelefoni</t>
  </si>
  <si>
    <t>Murutraktori rihmad,saagide osad ,ketid,niidukite terad ,kiilrihmad,õlid, filtrid hooldus</t>
  </si>
  <si>
    <t>Murutraktori, trimmerite kütus</t>
  </si>
  <si>
    <t>kajastub töötasude tabelis</t>
  </si>
  <si>
    <t>Hooldustöötaja (Anier) palgatõusuga seotud maksukulud</t>
  </si>
  <si>
    <t>Maade mõõdistamised</t>
  </si>
  <si>
    <t>Maadega soetud notaritasud</t>
  </si>
  <si>
    <t>Hajaasustuseprogramm</t>
  </si>
  <si>
    <t xml:space="preserve">Hajaasustuseprogrammiga </t>
  </si>
  <si>
    <t>Põhivara soetuseks saadav sihtfinantseerimine</t>
  </si>
  <si>
    <t>heakorratööline</t>
  </si>
  <si>
    <t>trimmerdaja</t>
  </si>
  <si>
    <t>Koosseisu- kohtade arv aastas/ tunnid aastas</t>
  </si>
  <si>
    <t>Roela piirkond</t>
  </si>
  <si>
    <t>Heakorratööd</t>
  </si>
  <si>
    <t>Fixsum Service-muruniitmine,Vaarmets,</t>
  </si>
  <si>
    <t>Prügiveod piirkonna</t>
  </si>
  <si>
    <t>Heakorravahendid</t>
  </si>
  <si>
    <t>kütus, õli, jõhv trimmerile,luuad, rehad,labidad</t>
  </si>
  <si>
    <t>Istikud, suvelilled</t>
  </si>
  <si>
    <t>Korterid</t>
  </si>
  <si>
    <t>Korterid (roela soojus)</t>
  </si>
  <si>
    <t>Prügivedu</t>
  </si>
  <si>
    <t>Korter (Aida)</t>
  </si>
  <si>
    <t>Prügivedu (konteineri rent)</t>
  </si>
  <si>
    <t>Korstnapühkija</t>
  </si>
  <si>
    <t>KÜ kommunaalmaksed</t>
  </si>
  <si>
    <t>Kõnnitee truup</t>
  </si>
  <si>
    <t>Teadete tahvlid</t>
  </si>
  <si>
    <t>Korstnapühkimisteenus</t>
  </si>
  <si>
    <t>Korterid, katlamaja</t>
  </si>
  <si>
    <t>Niitmine</t>
  </si>
  <si>
    <t>FIE Salin</t>
  </si>
  <si>
    <t xml:space="preserve">Niitmine </t>
  </si>
  <si>
    <t>Ehitme OÜ</t>
  </si>
  <si>
    <t>Rahvamaja küttepuud</t>
  </si>
  <si>
    <t xml:space="preserve">rehad, labidad, küte, õli, kindad, jne </t>
  </si>
  <si>
    <t>Trimmer</t>
  </si>
  <si>
    <t>Tudu piirkond</t>
  </si>
  <si>
    <t>kütja</t>
  </si>
  <si>
    <t>koolimaja koristaja/saunakütja</t>
  </si>
  <si>
    <t>koolimaja kütja</t>
  </si>
  <si>
    <t>aasta tundide maht</t>
  </si>
  <si>
    <t>Viru-Jaagupi piirkond</t>
  </si>
  <si>
    <t>Telefon, internet</t>
  </si>
  <si>
    <t>Kesk 15</t>
  </si>
  <si>
    <t>Konteineri rent</t>
  </si>
  <si>
    <t>Kesk 15, Koolimaja, saun</t>
  </si>
  <si>
    <t>Kooli tee 7</t>
  </si>
  <si>
    <t>Piirkonna prügi</t>
  </si>
  <si>
    <t>Koolimaja küttepuud</t>
  </si>
  <si>
    <t>Korrashoiuvahendid</t>
  </si>
  <si>
    <t>luuad, rehad, puh.vahendid, paber jne</t>
  </si>
  <si>
    <t>Valvekulud</t>
  </si>
  <si>
    <t>Korrashoiuvahendite rendid, õlid</t>
  </si>
  <si>
    <t>töövahendite hooldus, tarvikud, küte, õli</t>
  </si>
  <si>
    <t>Remondifond</t>
  </si>
  <si>
    <t>Kesk 21 + niitmine</t>
  </si>
  <si>
    <t>Tuletõrje süsteem (Telia kuutasu)</t>
  </si>
  <si>
    <t>Tuletõrje süsteemi hooldus</t>
  </si>
  <si>
    <t>Istikud, ohtlikud puud</t>
  </si>
  <si>
    <t>2tk</t>
  </si>
  <si>
    <t>12 kuud*300</t>
  </si>
  <si>
    <t>Haagise kindlustus</t>
  </si>
  <si>
    <t>Haagise pisiremondid</t>
  </si>
  <si>
    <t>Haagise rehvid</t>
  </si>
  <si>
    <t>PEUGEOT PARTNER 648BLS kütus</t>
  </si>
  <si>
    <t>PEUGEOT PARTNER 648BLS kindlustus</t>
  </si>
  <si>
    <t>PEUGEOT PARTNER 648BLS rehvid</t>
  </si>
  <si>
    <t>PEUGEOT PARTNER 648BLS pisiremondid, ülevaatused</t>
  </si>
  <si>
    <t>tervise ja spordi edendamine</t>
  </si>
  <si>
    <t>Katuse vahetus</t>
  </si>
  <si>
    <t>Küttepuud</t>
  </si>
  <si>
    <t>Pisiremonttööd</t>
  </si>
  <si>
    <t>Viru-Jaagupi piirkonna juht</t>
  </si>
  <si>
    <t>Viru-Jaagupi kabeli põrand</t>
  </si>
  <si>
    <t>Viru-Jaagupi kalmistu kiviaed</t>
  </si>
  <si>
    <t>Tudu saun koristaja</t>
  </si>
  <si>
    <t>Tudu sauna kütja</t>
  </si>
  <si>
    <t>Küti saun</t>
  </si>
  <si>
    <t>Välikäimlad</t>
  </si>
  <si>
    <t>Viru-Jaagupi</t>
  </si>
  <si>
    <t>Tudu 2 konteinerit (Ragn Sells, Jäätmekeskus)</t>
  </si>
  <si>
    <t>Liiv</t>
  </si>
  <si>
    <t>Tõrma kalmistu haldamine</t>
  </si>
  <si>
    <t>Simuna kalmistu haldamine</t>
  </si>
  <si>
    <t>kärud, rehad, kastekannud jms</t>
  </si>
  <si>
    <t>Ohtlike puude langetus</t>
  </si>
  <si>
    <t xml:space="preserve">Tudu </t>
  </si>
  <si>
    <t>Ohtlike puude langetus, pinnase tasandamine</t>
  </si>
  <si>
    <t>Kütus seadmetele</t>
  </si>
  <si>
    <t>traktor, trimmer, saag</t>
  </si>
  <si>
    <t>Tudu kalmistuvaht</t>
  </si>
  <si>
    <t>Viru-Jaagupi kalmistuvaht</t>
  </si>
  <si>
    <t>Keskkonna- ja kommunaalnõunik</t>
  </si>
  <si>
    <t>Raamatukoguhoidja</t>
  </si>
  <si>
    <t>Koristaja</t>
  </si>
  <si>
    <t>Paber</t>
  </si>
  <si>
    <t>Raamatukile</t>
  </si>
  <si>
    <t>Raamatuetiketid</t>
  </si>
  <si>
    <t>Perioodika</t>
  </si>
  <si>
    <t>Tooner</t>
  </si>
  <si>
    <t>Telefon+internet</t>
  </si>
  <si>
    <t>Markerid, pastakad, kleepsud, märkmepaber jmt</t>
  </si>
  <si>
    <t>Muud koolitused (sh Lääne-Virumaa KRK korraldatud)</t>
  </si>
  <si>
    <t>Laager Saaremaal; õppereis Soome Oodi raamatukokku</t>
  </si>
  <si>
    <t>Vinni-Pajusti raamatukogu</t>
  </si>
  <si>
    <t>Soojus</t>
  </si>
  <si>
    <t>Vesi</t>
  </si>
  <si>
    <t>Hooldusvahendid, tualettpaber</t>
  </si>
  <si>
    <t>Prügi</t>
  </si>
  <si>
    <t>Vaip</t>
  </si>
  <si>
    <t>Tulekahju signalisatsiooni hooldus</t>
  </si>
  <si>
    <t>Kindlustus</t>
  </si>
  <si>
    <t>Valgustus, lampide vahetus</t>
  </si>
  <si>
    <t>200l -rk oma, õues 600l -küla oma, meie eelarves</t>
  </si>
  <si>
    <t xml:space="preserve">Autohüvitis </t>
  </si>
  <si>
    <t>Kadilas laenutamine iga nädal 1x + linnast raamatute toomine, majandustarvikute toomine</t>
  </si>
  <si>
    <t>Tarkvara hooldusleping</t>
  </si>
  <si>
    <t>Kadila + Vinni, programm Urram</t>
  </si>
  <si>
    <t>Värviprinter</t>
  </si>
  <si>
    <t>Töötervishoid</t>
  </si>
  <si>
    <t>Raamatud</t>
  </si>
  <si>
    <t>Auhinnad raamatutundides, suvises lugemisprogrammis</t>
  </si>
  <si>
    <t>Postkast Kadilasse</t>
  </si>
  <si>
    <t>Ettenägematud kulud</t>
  </si>
  <si>
    <t>Põrandakatte vahetus</t>
  </si>
  <si>
    <t>Trepikoja remont</t>
  </si>
  <si>
    <t>Akende vahetus või remont (vihma tuleb sisse, ei pea tuult, osad ei käi korralikult lahti-kinni)</t>
  </si>
  <si>
    <t>Radikatel torude vahetus (radikad ise on vahetatud)</t>
  </si>
  <si>
    <t>Soojustus koos akende vahetusega - hoiaksime küttekuludelt üle 50% kokku ja talvel-sügisel oleks soe raamatukogus.</t>
  </si>
  <si>
    <t>Raamatukogu ruumides san.remont</t>
  </si>
  <si>
    <t>Tagastuskast raamatukogu välisukse juurde.</t>
  </si>
  <si>
    <t>Viru-Jaagupi raamatukogu juhataja</t>
  </si>
  <si>
    <t>Viru-Jaagupi raamatukogu</t>
  </si>
  <si>
    <t>Lisatasu kuus 185€; lisatasu töölepingu järgi muuseumi hooldamine</t>
  </si>
  <si>
    <t>Lugejaarvuti</t>
  </si>
  <si>
    <t>raamatukogul ei ole ainsana valla raamatukogudest lugeja toimivat lugejaarvutit, ehkki igal aastal on vajadus eelarvesse märgitud lugeja kasutab vajadusel raamatukogutöötaja tööarvutit</t>
  </si>
  <si>
    <t>raamatukogu juhataja</t>
  </si>
  <si>
    <t>Ulvi raamatukogu</t>
  </si>
  <si>
    <t>Telefon, Internet</t>
  </si>
  <si>
    <t>Interneti püsiühendus, lauatelefon</t>
  </si>
  <si>
    <t>kantseleikaup</t>
  </si>
  <si>
    <t>paber, tahm, raamatukiled, vöötkoodid</t>
  </si>
  <si>
    <t>ajalehed,ajakirjad-tellimine 1 kord aastas- novembris</t>
  </si>
  <si>
    <t>Erinevad koolitused,seminarid sh maakonna keskraamatukogu korraldatud; Maaraamatukogude suveseminar Saaremaal; Õppereis Soome</t>
  </si>
  <si>
    <t>Ulvi mõisamaja turvafirma lepingutasu, korrastusvahendid, puhastusvahendid, paber</t>
  </si>
  <si>
    <t>teavikute transport Rakverest, kojuteenindus, tööga seotud koosolekutest, koolitustest osavõtt</t>
  </si>
  <si>
    <t>raamatukogu tööprogramm</t>
  </si>
  <si>
    <t>Urram</t>
  </si>
  <si>
    <t>uus tööarvuti</t>
  </si>
  <si>
    <t>arvuti vajab väljavahetamist</t>
  </si>
  <si>
    <t>teemaõhtud/hommikud, laste lugemistunnid/raamatukogutunnid; 2 korda aastas suurürutus-märts-emakeelepäev, okt-raamatukogunädal</t>
  </si>
  <si>
    <t>03</t>
  </si>
  <si>
    <t>06</t>
  </si>
  <si>
    <t>Kohaliku omavalitsuse üksuse reservfond</t>
  </si>
  <si>
    <t>Üldiseloomuga ülekanded valitsussektoris</t>
  </si>
  <si>
    <t>Muu riigikaitse</t>
  </si>
  <si>
    <t>Muu avalik kord ja julgeolek, sh haldus</t>
  </si>
  <si>
    <t>Muu majandus (sh majanduse haldus)</t>
  </si>
  <si>
    <t>Muu keskkonnakaitse (sh keskkonnakaitse haldus)</t>
  </si>
  <si>
    <t>Laekvere Rahva Maja</t>
  </si>
  <si>
    <t>Tehnik</t>
  </si>
  <si>
    <t>Personalikulu</t>
  </si>
  <si>
    <t>Ringijuhtide täiendav töötasu. Töötajate palgatõus</t>
  </si>
  <si>
    <t>Kinnistute, hoonete majandamiskulud</t>
  </si>
  <si>
    <t>Vajaminevad remonttööd siseruumides.</t>
  </si>
  <si>
    <t>Seoses uue ametiga on tekkinud suurem vajadus käia erinevatel täiendkoolitustel</t>
  </si>
  <si>
    <t>Ürituste kulu</t>
  </si>
  <si>
    <t>Eakate klubi "Meenutus" lisaraha 800 eur., ürituste lisaraha.</t>
  </si>
  <si>
    <t>Bürootarbed</t>
  </si>
  <si>
    <t>Lauatelefon, internet</t>
  </si>
  <si>
    <t>Trükised, ajalehed, ajakirjad</t>
  </si>
  <si>
    <t>Virumaa teataja,Eesti Ekspress,  Maakodu</t>
  </si>
  <si>
    <t>Kuulutused, reklaam</t>
  </si>
  <si>
    <t>Kingitused, auhinnad</t>
  </si>
  <si>
    <t>Küte</t>
  </si>
  <si>
    <t>Elektrikäitlemiskulu</t>
  </si>
  <si>
    <t>Korrashoid, remont</t>
  </si>
  <si>
    <t>Remonttööd siseruumides</t>
  </si>
  <si>
    <t>Vesi, kanalisatsioon</t>
  </si>
  <si>
    <t>Kindlustusmaksed</t>
  </si>
  <si>
    <t>Elektritarvikud</t>
  </si>
  <si>
    <t xml:space="preserve"> valgustus, pirnid, patareid</t>
  </si>
  <si>
    <t>Riidekattega toolid 30 tk</t>
  </si>
  <si>
    <t>Kultuurimajal puuduvad teisaldatavad lisatoolid</t>
  </si>
  <si>
    <t>Kaja</t>
  </si>
  <si>
    <t>(jõulupidu Muuga mõisas 600eur, kokkusaamised, väljasõidud sünnipäevade tähistamine), muud ettenägematud kulud.</t>
  </si>
  <si>
    <t>Töötajate tervisetõendid</t>
  </si>
  <si>
    <t>Toiduained</t>
  </si>
  <si>
    <t>Koristaja palgatõus</t>
  </si>
  <si>
    <t>Tehniku palgatõus</t>
  </si>
  <si>
    <t xml:space="preserve">Juhataja </t>
  </si>
  <si>
    <t>Ulvi klubi</t>
  </si>
  <si>
    <t>Ringijuht</t>
  </si>
  <si>
    <t>telefon ja internet</t>
  </si>
  <si>
    <t xml:space="preserve">telefon 3295418, internet Andigo OÜ 25.90 x 12 </t>
  </si>
  <si>
    <t xml:space="preserve">printeri tahm </t>
  </si>
  <si>
    <t xml:space="preserve">värviprinteri tahm </t>
  </si>
  <si>
    <t>paber, pliiats, markerid</t>
  </si>
  <si>
    <t>klubi juhataja koolitused</t>
  </si>
  <si>
    <t>juhataja koolitused/täiendkursused/suvekool</t>
  </si>
  <si>
    <t>pesutöötlus</t>
  </si>
  <si>
    <t xml:space="preserve">Virumaa Puhastus OÜ </t>
  </si>
  <si>
    <t xml:space="preserve">vesi ja kanalisatsioon </t>
  </si>
  <si>
    <t>Kunda Vesi OÜ</t>
  </si>
  <si>
    <t>veeautomaadi rent/vesi</t>
  </si>
  <si>
    <t xml:space="preserve">6.- x 12 </t>
  </si>
  <si>
    <t>Eesti Energia AS</t>
  </si>
  <si>
    <t>maaküte</t>
  </si>
  <si>
    <t xml:space="preserve">Viru Maaküte OÜ </t>
  </si>
  <si>
    <t>tulekustutite kontroll/hooldusteenus</t>
  </si>
  <si>
    <t>Tamrex Ohutuse OÜ</t>
  </si>
  <si>
    <t>valvesüsteemi hooldusteenua</t>
  </si>
  <si>
    <t>KMPH Grupp OÜ</t>
  </si>
  <si>
    <t>maja korrashoiuvahendid</t>
  </si>
  <si>
    <t>puh.vahendid, lapid, mopid, harjad, WC- ja kätebaperid, seebi jne.</t>
  </si>
  <si>
    <t xml:space="preserve">saali parketihooldus </t>
  </si>
  <si>
    <t>iga aastane parketihooldus/vahendid/tööaeg</t>
  </si>
  <si>
    <t>maja hooldustööd/remont</t>
  </si>
  <si>
    <t>ettenägematud kulud maja remondiks/pirnide vahetus/parandustööd/kanalisatsioonitööd</t>
  </si>
  <si>
    <t>lilled õue lillekastidesse, amplid suvel maja ees</t>
  </si>
  <si>
    <t xml:space="preserve">hoone kindlustus </t>
  </si>
  <si>
    <t>isikliku sõiduauto kasutamine juhatajal</t>
  </si>
  <si>
    <t xml:space="preserve">12 x 60.- </t>
  </si>
  <si>
    <t>arvutihooldus/programmid</t>
  </si>
  <si>
    <t>klubi ringide esinemisväljasõidud</t>
  </si>
  <si>
    <t>bussi tellimine</t>
  </si>
  <si>
    <t>lilleteenus</t>
  </si>
  <si>
    <t>ringijuhtide õnnitlemine, teiste asutuste õnnitlemine</t>
  </si>
  <si>
    <t>Vabariigi aastapäeva lipuheiskamine</t>
  </si>
  <si>
    <t>esineja tellimine,vastuvõtulaud</t>
  </si>
  <si>
    <t>väiksemad üritused/koosviibimised</t>
  </si>
  <si>
    <t>aasta jooksul lisanduvad mitte pikalt ette planeeritud üritused</t>
  </si>
  <si>
    <t xml:space="preserve">emadepäeva kontsert </t>
  </si>
  <si>
    <t>tort/lilled/esineja</t>
  </si>
  <si>
    <t>Rägavere piirkonna jaanituli</t>
  </si>
  <si>
    <t>ansambel/õhtujuht/auhinnad/lõke/lasteala</t>
  </si>
  <si>
    <t xml:space="preserve">koduste laste jõulupidu </t>
  </si>
  <si>
    <t>jõuluvana tellimine</t>
  </si>
  <si>
    <t>taidlejate/piirkonna jõulupidu</t>
  </si>
  <si>
    <t>esinejate tellimine/ ringijuhtide jõulupakid</t>
  </si>
  <si>
    <t xml:space="preserve">kevadine hooaja lõpetamine </t>
  </si>
  <si>
    <t>esineja/tänukirjad/kringel/kohv</t>
  </si>
  <si>
    <t>Rägavere piirkonna vastalpäev</t>
  </si>
  <si>
    <t>supp/kukklid/auhinnad</t>
  </si>
  <si>
    <t>dekoratsioonid üritustele</t>
  </si>
  <si>
    <t xml:space="preserve">eakate päeva tähistamine </t>
  </si>
  <si>
    <t>Lasteaia õueala haljastus</t>
  </si>
  <si>
    <t>Peale lasteaia õueala uuendamist jäid haljastustööd tegemata</t>
  </si>
  <si>
    <t>Mõisa kiviaed +tööriistakuur</t>
  </si>
  <si>
    <t>Aed lagunenud ja vajab remonti, tööriistakuur lagunenud</t>
  </si>
  <si>
    <t>Kiige tn. poolne võrkaed ja trepp</t>
  </si>
  <si>
    <t>Aed lagunenud, trepp kasutuskõlbmatu ja ohtlik</t>
  </si>
  <si>
    <t>Vinni lasteaed</t>
  </si>
  <si>
    <t>Direktor</t>
  </si>
  <si>
    <t>Lasteaiaõpetaja-kõrgem</t>
  </si>
  <si>
    <t>Lasteaiaõpetaja</t>
  </si>
  <si>
    <t>Liikumisõpetaja</t>
  </si>
  <si>
    <t>Muusikaõpetaja</t>
  </si>
  <si>
    <t>Logopeed</t>
  </si>
  <si>
    <t>Õpetajaabi</t>
  </si>
  <si>
    <t>Majandusjuhataja-laohoidja</t>
  </si>
  <si>
    <t>Kokk</t>
  </si>
  <si>
    <t>Valvur</t>
  </si>
  <si>
    <t>Koolieelikud</t>
  </si>
  <si>
    <t>Telia</t>
  </si>
  <si>
    <t>Ajalehed, tööalane kirjandus, kuulutused</t>
  </si>
  <si>
    <t>Õpetajate leht, tööalased teavikud jne</t>
  </si>
  <si>
    <t>Kantseleikaubad</t>
  </si>
  <si>
    <t>paber, pastakad, tahm jne</t>
  </si>
  <si>
    <t>Koolitused pedagoogidele</t>
  </si>
  <si>
    <t>Tellitud koolitused majja</t>
  </si>
  <si>
    <t>Ainesektsioonid</t>
  </si>
  <si>
    <t>Lähetus</t>
  </si>
  <si>
    <t>bussipiletid, kütus</t>
  </si>
  <si>
    <t>soojus</t>
  </si>
  <si>
    <t>Askoterm OÜ</t>
  </si>
  <si>
    <t>Emajõe Veevärk AS</t>
  </si>
  <si>
    <t>MTÜ L- Virumaa Jäätmekeskus, Ragnr Sells OÜ</t>
  </si>
  <si>
    <t>Pesu pesemine</t>
  </si>
  <si>
    <t>Pesumaja teenus 85x12</t>
  </si>
  <si>
    <t>Ats hooldus</t>
  </si>
  <si>
    <t>U.K.V Grupp OÜ  4x115</t>
  </si>
  <si>
    <t>Liivafiltri hooldus, rasvakoguja</t>
  </si>
  <si>
    <t>Virumaa Veepumbakeskus OÜ, Protectpipe OÜ</t>
  </si>
  <si>
    <t>Kahjurtõrje</t>
  </si>
  <si>
    <t>Rentokil OÜ 48x4</t>
  </si>
  <si>
    <t>Muruniiduk, murutraktor, trimmer</t>
  </si>
  <si>
    <t>bensiin, remont, damiil</t>
  </si>
  <si>
    <t>Koristusvahendid, puhastusvahendid, paberid jne</t>
  </si>
  <si>
    <t>Puhastusimport OÜ, Kaupmees, Bauhof</t>
  </si>
  <si>
    <t>Jooksev remont-santehniline töö, turvavalgustus, mänguväljak jne</t>
  </si>
  <si>
    <t>materjalid, töö</t>
  </si>
  <si>
    <t>Isikliku sõiduauto kasutus</t>
  </si>
  <si>
    <t>12x 64 x 2autot</t>
  </si>
  <si>
    <t>Eliis, Anc programm</t>
  </si>
  <si>
    <t>Arvutiprogrammid, hooldused</t>
  </si>
  <si>
    <t>viirusetõrje 10x25, dropbox</t>
  </si>
  <si>
    <t>Remont</t>
  </si>
  <si>
    <t>Süntesaator</t>
  </si>
  <si>
    <t>Lumepuhur</t>
  </si>
  <si>
    <t>toidupäevade arv x 1,60 euroga- 25% puudumised</t>
  </si>
  <si>
    <t>Hügieenitarbed</t>
  </si>
  <si>
    <t>plaastrid, des.vahendid jne</t>
  </si>
  <si>
    <t>Korralised med. tõendid</t>
  </si>
  <si>
    <t>tervise tõend, töötervishoiu arst</t>
  </si>
  <si>
    <t>Erialane pedagoogiline kirjandus</t>
  </si>
  <si>
    <t>Lasteraamatud ja teatmeteosed</t>
  </si>
  <si>
    <t>Paberid, värvid, pliiatsid, pintslid, liimid,meisterdamis vahendid jne</t>
  </si>
  <si>
    <t>Mänguvahendid, õpikud, töövihikud</t>
  </si>
  <si>
    <t>Mängupeod, väljasõidud, ühisüritused lastele</t>
  </si>
  <si>
    <t>auhinnad, bussi tellimine</t>
  </si>
  <si>
    <t>Ühisüritused personalile, väljasõidud</t>
  </si>
  <si>
    <t>bussi tellimine, ruumide rent</t>
  </si>
  <si>
    <t>õpetaja (magister)</t>
  </si>
  <si>
    <t>õpetaja (bakalaureus)</t>
  </si>
  <si>
    <t>muusikaõpetaja</t>
  </si>
  <si>
    <t>liikumisõpetaja</t>
  </si>
  <si>
    <t>liikumisõpetaja 7 kuud</t>
  </si>
  <si>
    <t>õpetaja abi</t>
  </si>
  <si>
    <t>logopeed 8 kuud</t>
  </si>
  <si>
    <t>Ragn Sells</t>
  </si>
  <si>
    <t>Pajusti lasteaed</t>
  </si>
  <si>
    <t>Preemiad</t>
  </si>
  <si>
    <t>vanad voodid amortiseerunud</t>
  </si>
  <si>
    <t>1/3 maja kapitaalremont</t>
  </si>
  <si>
    <t>põrandate remont ja katte vahetus, elektrijuhtmestiku vahetus, valgustite vahetus, ventilatsiooni ehitus, lagede ja seinte värvimine</t>
  </si>
  <si>
    <t>sõimelaste 3-kohalised sahtelvoodid koos madratsite, transpordi ja paigaldusega</t>
  </si>
  <si>
    <t>laste mängulinnak Johanna( Tiptiptap) koos liivast turvaala rajamise, transpordi ja paigaldus</t>
  </si>
  <si>
    <t>mängulinnak puudub, turvaala on seadusega nõutav</t>
  </si>
  <si>
    <t>mobiil</t>
  </si>
  <si>
    <t>kuulutused/ postikulu</t>
  </si>
  <si>
    <t>ELIIS</t>
  </si>
  <si>
    <t>printerite tahmad</t>
  </si>
  <si>
    <t>77,2x90MVH</t>
  </si>
  <si>
    <t>2018.a.+ 10%</t>
  </si>
  <si>
    <t>2,376 eur x 390m3</t>
  </si>
  <si>
    <t>puhastusvahendid, lapid, mopid, paber</t>
  </si>
  <si>
    <t>ATS hooldus</t>
  </si>
  <si>
    <t>46x 4 kvartalit</t>
  </si>
  <si>
    <t>pesupesemise teenus</t>
  </si>
  <si>
    <t>45x 12 korda</t>
  </si>
  <si>
    <t>kanal.pumpade hooldus</t>
  </si>
  <si>
    <t>60x 4 korda aastas</t>
  </si>
  <si>
    <t>prügivedu ja konteineri rent</t>
  </si>
  <si>
    <t>R-S 3.86 J 5.84x12 kuud</t>
  </si>
  <si>
    <t>isikliku sõiduauto kasutus</t>
  </si>
  <si>
    <t>64.- x 11 kuud</t>
  </si>
  <si>
    <t>hooldused, remont, varuosad</t>
  </si>
  <si>
    <t>rulood 2 rühma</t>
  </si>
  <si>
    <t>klaveri häälestamine</t>
  </si>
  <si>
    <t xml:space="preserve">toiduained </t>
  </si>
  <si>
    <t>5483 toidupäeva (so 55%) x1.15</t>
  </si>
  <si>
    <t>töötajate tervisetõendid, esmaabivahendid</t>
  </si>
  <si>
    <t>töövihikud, raamatud, mänguasjad, metoodilised vahendid ja kirjandus</t>
  </si>
  <si>
    <t>üritused</t>
  </si>
  <si>
    <t>laste õppereisid</t>
  </si>
  <si>
    <t>õpetaja</t>
  </si>
  <si>
    <t>pesumasinist</t>
  </si>
  <si>
    <t>aednik</t>
  </si>
  <si>
    <t>logopeed</t>
  </si>
  <si>
    <t>Lisatasu kuus 260</t>
  </si>
  <si>
    <t>Asendamised</t>
  </si>
  <si>
    <t>Kulina lasteaed</t>
  </si>
  <si>
    <t>printeritahm</t>
  </si>
  <si>
    <t>liikmemaks</t>
  </si>
  <si>
    <t>Haridus 2019</t>
  </si>
  <si>
    <t>Eliis</t>
  </si>
  <si>
    <t>Õpetajate leht</t>
  </si>
  <si>
    <t>Täheke</t>
  </si>
  <si>
    <t>Elion</t>
  </si>
  <si>
    <t>koopiapaber, kilekaaned jms</t>
  </si>
  <si>
    <t>L-Viru Haridusjuhtide Liit</t>
  </si>
  <si>
    <t>aasta tellimus</t>
  </si>
  <si>
    <t xml:space="preserve">24*12 </t>
  </si>
  <si>
    <t>aastatellimus</t>
  </si>
  <si>
    <t>Esmaabi</t>
  </si>
  <si>
    <t>vesi-ja kanalisatsioon</t>
  </si>
  <si>
    <t>Turvavalgustus, elektritööd</t>
  </si>
  <si>
    <t>Puhastussool veefiltrile</t>
  </si>
  <si>
    <t>maakütte aastane hooldus</t>
  </si>
  <si>
    <t>muruniitmine</t>
  </si>
  <si>
    <t>paviljonide korrastamine</t>
  </si>
  <si>
    <t>keskmine tarbimine 30860KWhx0,11652 euri kwh</t>
  </si>
  <si>
    <t>Emajõe Veevärk</t>
  </si>
  <si>
    <t>puhastusvahendid, tarvikud, WC paber jms</t>
  </si>
  <si>
    <t>L-Viru Jäätmekeskus (6,56*12)+ ohtlikud jäätmed jms</t>
  </si>
  <si>
    <t>U.K.V.Grupp kord kvartalis</t>
  </si>
  <si>
    <t>E.Ilves</t>
  </si>
  <si>
    <t>FEB AS</t>
  </si>
  <si>
    <t>TJ Hooldus OÜ</t>
  </si>
  <si>
    <t>õli, bensiin, hooldus</t>
  </si>
  <si>
    <t>tasandusegu põrandaaukude parandamiseks, värvid</t>
  </si>
  <si>
    <t>130*11 isikliku sõiduauto kasutamine</t>
  </si>
  <si>
    <t>arvutikõlarid</t>
  </si>
  <si>
    <t>paberipurustaja</t>
  </si>
  <si>
    <t>mesimummu rühma arvutile</t>
  </si>
  <si>
    <t>andmekaitse</t>
  </si>
  <si>
    <t>mängunurga köögimööbel</t>
  </si>
  <si>
    <t>muusikaesitaja</t>
  </si>
  <si>
    <t>vaip 1,35*1,7</t>
  </si>
  <si>
    <t>magnettahvel</t>
  </si>
  <si>
    <t>liivakast 3000mm*3000mm</t>
  </si>
  <si>
    <t>rulood</t>
  </si>
  <si>
    <t>mesimuumu rühma mängunurk</t>
  </si>
  <si>
    <t>et mängiks mp3 formaati, võimendusega ühildatav-muusikaõpetaja</t>
  </si>
  <si>
    <t>mesimummurühma mängunurk</t>
  </si>
  <si>
    <t>mesimummu rühm</t>
  </si>
  <si>
    <t>Lepatriinu rühm, ilmastikukindel, taaskasutatavast plastmaterjalist, kaetav-praegune liivakastiraam lagunev</t>
  </si>
  <si>
    <t>Lepatriinu rühma magamistuba, praegused rulood osaliselt katki, kinnitusklambrid muutunud rabedaks</t>
  </si>
  <si>
    <t>toitlustamine</t>
  </si>
  <si>
    <t>toidupäevade arv*lastearv*toidupäevamaksumus-30%, kokandustunnid 2 korda kuus  rühmades</t>
  </si>
  <si>
    <t>(orienteeruv summa) TTOSt tulev kohustus-kokk</t>
  </si>
  <si>
    <t>õppevahendid</t>
  </si>
  <si>
    <t>Matatalab, ozobot</t>
  </si>
  <si>
    <t>kunstitarbed, õppemängud, mänguasjad, õppematerjal, metoodiline kirjandus jms</t>
  </si>
  <si>
    <t>robootikaseadmed, võimalusel taotleme kevadel projektirahasid, kus omafinantseering 15% taotletud summast</t>
  </si>
  <si>
    <t>õppekäigud</t>
  </si>
  <si>
    <t>õppekäigud, ekskursioon, jõulupidu, lõpupidu, lasteaia sünnipäev</t>
  </si>
  <si>
    <t>lasteaia õpetaja</t>
  </si>
  <si>
    <t>abiõpetaja</t>
  </si>
  <si>
    <t>majandusjuhataja</t>
  </si>
  <si>
    <t>Lisatasu kuus 135€</t>
  </si>
  <si>
    <t>Ulvi lasteaed</t>
  </si>
  <si>
    <t>ruumide küte</t>
  </si>
  <si>
    <t>analüüsid</t>
  </si>
  <si>
    <t>koridori remont</t>
  </si>
  <si>
    <t>majanduskaup</t>
  </si>
  <si>
    <t>ventilatsiooni väljaehitus</t>
  </si>
  <si>
    <t>muruniidukile bensiin</t>
  </si>
  <si>
    <t>IT alane hooldus</t>
  </si>
  <si>
    <t xml:space="preserve">Inventari jooksev hooldus </t>
  </si>
  <si>
    <t>Laud tk.2  200 eurot</t>
  </si>
  <si>
    <t>Planeerin kaks, ühe tk.hind 100 eurot</t>
  </si>
  <si>
    <t>Riiul tk.1 100 eurot</t>
  </si>
  <si>
    <t>4 kohal voodi kompl. Tk.1 600 eurot</t>
  </si>
  <si>
    <t>Planeerin ühe</t>
  </si>
  <si>
    <t>3 kohal voodi kompl. Tk.1 500 eurot</t>
  </si>
  <si>
    <t>toolid tk.15  500 eurot</t>
  </si>
  <si>
    <t>Planeerin 15 tk soetada, ühe tk.hind umbes 33 eurot</t>
  </si>
  <si>
    <t>toiduained 30 last x230 päeva x 1.40</t>
  </si>
  <si>
    <t>Meditsiinikulud</t>
  </si>
  <si>
    <t>Ühisüritused</t>
  </si>
  <si>
    <t>Ürituste transport</t>
  </si>
  <si>
    <t>Sum of Maksud</t>
  </si>
  <si>
    <t>last</t>
  </si>
  <si>
    <t>kuu</t>
  </si>
  <si>
    <t>infojuht</t>
  </si>
  <si>
    <t>IT-spetsialist</t>
  </si>
  <si>
    <t>klaveriõpetus</t>
  </si>
  <si>
    <t>kondiiter</t>
  </si>
  <si>
    <t>koristaja</t>
  </si>
  <si>
    <t>laborant</t>
  </si>
  <si>
    <t>lasketiiru meister</t>
  </si>
  <si>
    <t>med.õde</t>
  </si>
  <si>
    <t>nõustamine</t>
  </si>
  <si>
    <t>ppr kasvataja</t>
  </si>
  <si>
    <t>psühholoog</t>
  </si>
  <si>
    <t>ringijuht (huvitav keemia)</t>
  </si>
  <si>
    <t>ringijuht (jalgpall, sulgpall, korvpall)</t>
  </si>
  <si>
    <t>ringijuht (judo, sumo)</t>
  </si>
  <si>
    <t>ringijuht (keelesõber)</t>
  </si>
  <si>
    <t>ringijuht (kergejõustik)</t>
  </si>
  <si>
    <t>ringijuht (klaverisaade)</t>
  </si>
  <si>
    <t>ringijuht (kodundus)</t>
  </si>
  <si>
    <t>ringijuht (kodu-uurimine)</t>
  </si>
  <si>
    <t>ringijuht (koolikujundus)</t>
  </si>
  <si>
    <t>ringijuht (kooliraadio)</t>
  </si>
  <si>
    <t>ringijuht (Kooli-TV)</t>
  </si>
  <si>
    <t>ringijuht (koorid(mudilas, laste)</t>
  </si>
  <si>
    <t>ringijuht (käsitöö)</t>
  </si>
  <si>
    <t>ringijuht (male)</t>
  </si>
  <si>
    <t>ringijuht (matkaring)</t>
  </si>
  <si>
    <t>ringijuht (meedia)</t>
  </si>
  <si>
    <t>ringijuht (meisterdamine)</t>
  </si>
  <si>
    <t>ringijuht (mini RC/automudelism)</t>
  </si>
  <si>
    <t>ringijuht (mudil. k, ans, solistid)</t>
  </si>
  <si>
    <t>ringijuht (muuseum)</t>
  </si>
  <si>
    <t>ringijuht (mälumängud)</t>
  </si>
  <si>
    <t>ringijuht (näitering)</t>
  </si>
  <si>
    <t>ringijuht (orienteerumine)</t>
  </si>
  <si>
    <t>ringijuht (pilliõpetus)</t>
  </si>
  <si>
    <t>ringijuht (rahvatants)</t>
  </si>
  <si>
    <t>ringijuht (robootika)</t>
  </si>
  <si>
    <t>ringijuht (rütmiring)</t>
  </si>
  <si>
    <t>ringijuht (sõutants)</t>
  </si>
  <si>
    <t>ringijuht (tantsuring)</t>
  </si>
  <si>
    <t>ringijuht (teadmiste jahil)</t>
  </si>
  <si>
    <t>ringijuht (teatriring)</t>
  </si>
  <si>
    <t>ringijuht (terve VPG)</t>
  </si>
  <si>
    <t>ringijuht (TORE)</t>
  </si>
  <si>
    <t>ringijuht (töö- ja tehnoloogia)</t>
  </si>
  <si>
    <t>sekretär</t>
  </si>
  <si>
    <t>sots.pedagoog</t>
  </si>
  <si>
    <t>söökla juhataja-kokk</t>
  </si>
  <si>
    <t>valvur</t>
  </si>
  <si>
    <t>HEV õppe koordinaator</t>
  </si>
  <si>
    <t>Abiõpetaja</t>
  </si>
  <si>
    <t>Vinni-Pajusti Gümnaasium</t>
  </si>
  <si>
    <t>Spordiinventaar</t>
  </si>
  <si>
    <t>Matid on vanad ja vajavad vahetamist ning uuendamist,</t>
  </si>
  <si>
    <t>Projektorid</t>
  </si>
  <si>
    <t>5 projektorit vajavad vahetamist</t>
  </si>
  <si>
    <t>Võrguseadmed</t>
  </si>
  <si>
    <t>Sisevõrgu korrastamine ja uuendamine</t>
  </si>
  <si>
    <t>Klassimööbel</t>
  </si>
  <si>
    <t>Õppevahendite hoiustamise kapid (6 klassi)</t>
  </si>
  <si>
    <t>Arvutipargi uuendus</t>
  </si>
  <si>
    <t xml:space="preserve">Vananevad arvutid vajavad uuendust ja vahetamist </t>
  </si>
  <si>
    <t>Valveseadmed</t>
  </si>
  <si>
    <t>Valveseadmete korrastamine ja uuendamine</t>
  </si>
  <si>
    <t>Infotabloo</t>
  </si>
  <si>
    <t>Info edastamine õpilastele, õpetajatele ja vanematele</t>
  </si>
  <si>
    <t xml:space="preserve">telefonid ja internet </t>
  </si>
  <si>
    <t>mobiilside</t>
  </si>
  <si>
    <t>ajalehed ja muu teabekirjandus</t>
  </si>
  <si>
    <t>raamatukogutarvikud</t>
  </si>
  <si>
    <t>eKool</t>
  </si>
  <si>
    <t>televisioon</t>
  </si>
  <si>
    <t>Telia Ettevõted, internet ja telefonid</t>
  </si>
  <si>
    <t xml:space="preserve">Telia </t>
  </si>
  <si>
    <t xml:space="preserve">aruanded jne </t>
  </si>
  <si>
    <t>päevaleht,õpetajate leht,virumaa teataja</t>
  </si>
  <si>
    <t>Deltmar(rmtk programm), raamatukile</t>
  </si>
  <si>
    <t>andmesidevõrk 110 x 12</t>
  </si>
  <si>
    <t>kaastunne, tööpakkumine</t>
  </si>
  <si>
    <t>paljundused, paber, pliiats jne</t>
  </si>
  <si>
    <t>eKool 80 x 12</t>
  </si>
  <si>
    <t>kaabel TV, Telia</t>
  </si>
  <si>
    <t>lisatud eraldi dokumendina</t>
  </si>
  <si>
    <t>vesi- ja kanalisatsioon</t>
  </si>
  <si>
    <t>prügivedu</t>
  </si>
  <si>
    <t>Lindström vaipade pesu</t>
  </si>
  <si>
    <t>KH ENERGIA KONSULT</t>
  </si>
  <si>
    <t>G4S AS</t>
  </si>
  <si>
    <t>USS Securiry</t>
  </si>
  <si>
    <t>Rentokil-kahjuritõrjeteenus</t>
  </si>
  <si>
    <t>ventilatsiooni hooldus</t>
  </si>
  <si>
    <t>remont</t>
  </si>
  <si>
    <t>1200 MWH x ???</t>
  </si>
  <si>
    <t>24000 Kwa x</t>
  </si>
  <si>
    <t>aasta tarbimine 2800m3 x ???</t>
  </si>
  <si>
    <t>puh.vahendid, paber jne</t>
  </si>
  <si>
    <t>KEK Elekter</t>
  </si>
  <si>
    <t>hooldus+filtrid</t>
  </si>
  <si>
    <t>pisiremont(san.remont)</t>
  </si>
  <si>
    <t>remont+liising</t>
  </si>
  <si>
    <t>autohüvitus(toiger,reimets)</t>
  </si>
  <si>
    <t>tehn.hoole</t>
  </si>
  <si>
    <t>Kallaste 135,Albert 185,buss 200 x 12 kuud</t>
  </si>
  <si>
    <t xml:space="preserve">Kallaste 249,Albert 220,buss 420x12 kuud </t>
  </si>
  <si>
    <t>liiklus+kasko 3 autot</t>
  </si>
  <si>
    <t>(40+150)x10kuud</t>
  </si>
  <si>
    <t>3 autot</t>
  </si>
  <si>
    <t>Kütus ja isikliku sõiduauto komp.</t>
  </si>
  <si>
    <t>arvutite värskendus(mälu,kõvaketad</t>
  </si>
  <si>
    <t>tarkvara litsensid</t>
  </si>
  <si>
    <t>remonditööd ja hooldus</t>
  </si>
  <si>
    <t>esmaabi vahendid,korral.med</t>
  </si>
  <si>
    <t>õpik,töövihik,mänguasjad jm</t>
  </si>
  <si>
    <t>paljunduspaber</t>
  </si>
  <si>
    <t>õppetransport</t>
  </si>
  <si>
    <t>med.tõend, vaktsineerimised,esmaabi vahendid</t>
  </si>
  <si>
    <t>mälumängud,spordivõistlused jm</t>
  </si>
  <si>
    <t>meened</t>
  </si>
  <si>
    <t>Kokku</t>
  </si>
  <si>
    <t>pikapäeva rühma kasvataja</t>
  </si>
  <si>
    <t>Põlula kool</t>
  </si>
  <si>
    <t>Lisatasud ja preemiad</t>
  </si>
  <si>
    <t>kontoritarbed</t>
  </si>
  <si>
    <t>koolitused</t>
  </si>
  <si>
    <t>hoonete kindlustus</t>
  </si>
  <si>
    <t>majanduskaup kooli ja sööklasse</t>
  </si>
  <si>
    <t>prügi vedu</t>
  </si>
  <si>
    <t>laboratoorsed analüüsid</t>
  </si>
  <si>
    <t>käiduteenus</t>
  </si>
  <si>
    <t>autopargi hooldus</t>
  </si>
  <si>
    <t>IT alased hooldustööd</t>
  </si>
  <si>
    <t>muud ettenägematud kulud 200 eurot</t>
  </si>
  <si>
    <t>nõudepesumasina hooldus 200 eurot</t>
  </si>
  <si>
    <t>aiakäru soetus tk.1 100 eurot</t>
  </si>
  <si>
    <t>murutrimmeri remont 100 eurot</t>
  </si>
  <si>
    <t>esmaabivahendid 100 eurot</t>
  </si>
  <si>
    <t>muud õppevahendid 300 eurot</t>
  </si>
  <si>
    <t>värvitoonerid tk.3 300 eurot</t>
  </si>
  <si>
    <t>tavatoonerid tk. 5  400 eurot</t>
  </si>
  <si>
    <t>tööõpetuse abivahendid- 500 eurot</t>
  </si>
  <si>
    <t>õpikud, töövihikud  300 eurot</t>
  </si>
  <si>
    <t>koopiapaber 100 eurot, värviline paber 100 eurot, kunstitarbed 600 eurot</t>
  </si>
  <si>
    <t>Haridusenõunik</t>
  </si>
  <si>
    <t>Metoodik</t>
  </si>
  <si>
    <t xml:space="preserve">Eripedagoog </t>
  </si>
  <si>
    <t>Muu haridus, sh hariduse haldus</t>
  </si>
  <si>
    <t>LVHJ lähetused+  3 töötaja koolitused</t>
  </si>
  <si>
    <t>(300+250+250) 2*10 kuud 1 *11 kuud</t>
  </si>
  <si>
    <t>eripedagoogi töövahendid</t>
  </si>
  <si>
    <t>laualambid jms alushariduse spets</t>
  </si>
  <si>
    <t>Haridusnõunik</t>
  </si>
  <si>
    <t>Tulud haridustegevusest kohatasud</t>
  </si>
  <si>
    <t>s.h põhikool</t>
  </si>
  <si>
    <t>s.h gümnaasium</t>
  </si>
  <si>
    <t>s.h alusharidus</t>
  </si>
  <si>
    <t>s.h õpilaskodu</t>
  </si>
  <si>
    <t xml:space="preserve">Kohatasud </t>
  </si>
  <si>
    <t>põhikool</t>
  </si>
  <si>
    <t>gümnaasium</t>
  </si>
  <si>
    <t>alusharidus</t>
  </si>
  <si>
    <t>arvlemine muusikakoolidega</t>
  </si>
  <si>
    <t>huvitegevusinventari soetus, arenguprojektid jms</t>
  </si>
  <si>
    <t>ringijuhtide tasud valla koolides 145 000</t>
  </si>
  <si>
    <t>Huvihariduse ja - tegevuse toetus</t>
  </si>
  <si>
    <t>toetusfond</t>
  </si>
  <si>
    <t>Valla hariduskapitali taastamine</t>
  </si>
  <si>
    <t>Õpilaste ja õpetajate vastuvõtt</t>
  </si>
  <si>
    <t>Õppeaasta lõpetamine</t>
  </si>
  <si>
    <t>Õppeaasta alustamine</t>
  </si>
  <si>
    <t>Õpetajatepäev</t>
  </si>
  <si>
    <t>(1*350.- + 3*125.-- 5*75.- )</t>
  </si>
  <si>
    <t>150 inimest: tänukirjad, meened, fotod, lilled, esinejad, suupisted</t>
  </si>
  <si>
    <t>Lilled , meened( 75 LA+31 PK +14 G+õpetajad)</t>
  </si>
  <si>
    <t>lilled 11 maja+ meened 1.klassile(75)</t>
  </si>
  <si>
    <t>üritus 175-le inimesele( kontsert, teater vms., transport, lilled, suupisted)</t>
  </si>
  <si>
    <t>Muud haridusüritused</t>
  </si>
  <si>
    <t>valla laste- ja noortepäev, haridusasutuste taidluspäevad jm ülevallalised üritused vastavalt kokkulepitud kultuurikavale</t>
  </si>
  <si>
    <t>Õpetajate ühiskoolitused</t>
  </si>
  <si>
    <t xml:space="preserve">koolivaheaegadel kõikidele valla õpetajatele korraldatud koolitused(4) </t>
  </si>
  <si>
    <t>0980004</t>
  </si>
  <si>
    <t>raamatukogu telefon, ajalehed,ajakirjad, print.tahm(ka kultuuriürituste kuulutused)</t>
  </si>
  <si>
    <t>korrashoiuvahendid(puh.vahendid,prügikotid jne), k.a.muuseumi jaoks</t>
  </si>
  <si>
    <t>Urrami programmi igakuine hooldustasu 20.-x 12 k</t>
  </si>
  <si>
    <t>uued raamatud kogusse</t>
  </si>
  <si>
    <t>planeeritud kultuuriüritused,mida korraldab. raamatukogu koostöös muuseumiga</t>
  </si>
  <si>
    <t>riiulitele teavikute kohasildid</t>
  </si>
  <si>
    <t>jäi osadele riiulitele 2019 puudu! s.h.lastefondile)</t>
  </si>
  <si>
    <t>Venevere seltsimaja</t>
  </si>
  <si>
    <t>kinnistukulud</t>
  </si>
  <si>
    <t>Sõidukite majandamiskulud</t>
  </si>
  <si>
    <t>IT kulud</t>
  </si>
  <si>
    <t>Pokaalid 50tk 90.00, muu inventar vastavalt vajadusele</t>
  </si>
  <si>
    <t>Ulvi Kodu rekonstrueerimine</t>
  </si>
  <si>
    <t>Vinni liiklusväljaku joonimine</t>
  </si>
  <si>
    <t>hooldaja</t>
  </si>
  <si>
    <t>Tammiku kodu</t>
  </si>
  <si>
    <t>Tammiku Kodu õueala mustkatte värskendamine</t>
  </si>
  <si>
    <t>Amortiseerunud mustkate</t>
  </si>
  <si>
    <t>telefonid ja internet, TV</t>
  </si>
  <si>
    <t xml:space="preserve">ajaleht </t>
  </si>
  <si>
    <t>tahm, paber, kirjatarbed</t>
  </si>
  <si>
    <t>kodulehekülg</t>
  </si>
  <si>
    <t xml:space="preserve">Virumaa Teataja                                               </t>
  </si>
  <si>
    <t xml:space="preserve">tint 30x4; paber, kirjatarbed                              </t>
  </si>
  <si>
    <t xml:space="preserve">Elkada Oü 19x44                                                 </t>
  </si>
  <si>
    <t>plaanilised koolitused</t>
  </si>
  <si>
    <t xml:space="preserve">juhataja koolitus                                                </t>
  </si>
  <si>
    <t xml:space="preserve">hooldajate, kokkade koolitused                         </t>
  </si>
  <si>
    <t>korrashoiuvahendid, voodipesud, käterätid jms</t>
  </si>
  <si>
    <t>KÜ maksud</t>
  </si>
  <si>
    <t>Valve ATS hooldus</t>
  </si>
  <si>
    <t>vee analüüsid</t>
  </si>
  <si>
    <t>korstna-ja ventilatsiooni puhastus</t>
  </si>
  <si>
    <t>kahjuritõrje, prügi</t>
  </si>
  <si>
    <t>kütus muruniidukile, niiduki õli ja remont</t>
  </si>
  <si>
    <t xml:space="preserve">35 m2 puid Tammiku Kodule                           </t>
  </si>
  <si>
    <t xml:space="preserve">Obja k peamaja ja 2 korterit Roelas             </t>
  </si>
  <si>
    <t xml:space="preserve">Fixum 230 eurot kuus                                                      </t>
  </si>
  <si>
    <t xml:space="preserve">pesuvahendid, puhastustarbed jm         </t>
  </si>
  <si>
    <t xml:space="preserve">Järve 2-10 ja Järve 6-21          </t>
  </si>
  <si>
    <t xml:space="preserve">4x72 GAS Eesti                                            </t>
  </si>
  <si>
    <t xml:space="preserve">Terviseamet                                               </t>
  </si>
  <si>
    <t xml:space="preserve">Päästeameti nõue                                         </t>
  </si>
  <si>
    <t xml:space="preserve">20 l kuus 240, õli, remont 150                                                                   </t>
  </si>
  <si>
    <t xml:space="preserve">Rentokil 35x4, prügi 13x12                 </t>
  </si>
  <si>
    <t>el.auto tehnhool, kindlustus, remont</t>
  </si>
  <si>
    <t>sotsiaaltranspordi teenus</t>
  </si>
  <si>
    <t>TV, arvutid</t>
  </si>
  <si>
    <t>toidukaup</t>
  </si>
  <si>
    <t xml:space="preserve">24 in x 365 p x 2,30                                  </t>
  </si>
  <si>
    <t>Tervisekontroll</t>
  </si>
  <si>
    <t>Pereõe külastus</t>
  </si>
  <si>
    <t>Ravimid</t>
  </si>
  <si>
    <t>Haiglatasud</t>
  </si>
  <si>
    <t xml:space="preserve">Töötajad                                                     </t>
  </si>
  <si>
    <t xml:space="preserve">Riina Sinisoo 1x kuus                                  </t>
  </si>
  <si>
    <t xml:space="preserve">Retsepti-ja vabamüügiravimid             </t>
  </si>
  <si>
    <t xml:space="preserve">1x linad, pesemiskindad, mähkmed jm      </t>
  </si>
  <si>
    <t xml:space="preserve">Haigla voodi-ja visiiditasud                           </t>
  </si>
  <si>
    <t>Üritused, sünnipäevad, esinejad</t>
  </si>
  <si>
    <t>Ettenägematud soetused</t>
  </si>
  <si>
    <t>Tulud sotsiaalabi teenustest</t>
  </si>
  <si>
    <t>Ulvi kodu</t>
  </si>
  <si>
    <t>hooldajad</t>
  </si>
  <si>
    <t xml:space="preserve">ajalehed( virumaa teataja, kodutohter </t>
  </si>
  <si>
    <t>esinduskulu</t>
  </si>
  <si>
    <t>ettevõttekindlustus</t>
  </si>
  <si>
    <t>ruumide korrashoid, pesu pesemine</t>
  </si>
  <si>
    <t>prügi vedu+energia kontroll)</t>
  </si>
  <si>
    <t>korrashoid ja remont tubades</t>
  </si>
  <si>
    <t>soojusenergia ( küte)</t>
  </si>
  <si>
    <t>isikliku sõiduauto komp.</t>
  </si>
  <si>
    <t>sõidukite kulud 11kuud * 150</t>
  </si>
  <si>
    <t>tarkvara hooldus</t>
  </si>
  <si>
    <t>internet ja teler, telefon</t>
  </si>
  <si>
    <t xml:space="preserve">voodikapp lauaga 2 tk  </t>
  </si>
  <si>
    <t>riidekapp 1 tk</t>
  </si>
  <si>
    <t>voodipesu 30</t>
  </si>
  <si>
    <t>köögitarvikud (potid, pannid) kööki, hooldus, remont</t>
  </si>
  <si>
    <t>nõudepesumasin</t>
  </si>
  <si>
    <t>madrats 2tk</t>
  </si>
  <si>
    <t>pesukuivati</t>
  </si>
  <si>
    <t>Personalitoit</t>
  </si>
  <si>
    <t>Ravimid, mähkmed</t>
  </si>
  <si>
    <t xml:space="preserve">kaldtee </t>
  </si>
  <si>
    <t>üritused, huvitegevus, lilled</t>
  </si>
  <si>
    <t xml:space="preserve">Tööriided  </t>
  </si>
  <si>
    <t>uus teenus</t>
  </si>
  <si>
    <t>sõiduabi (transport haiglast koju)</t>
  </si>
  <si>
    <t>tervishoiuteenuse ostmine ( pereõde)</t>
  </si>
  <si>
    <t>laste kommipakid</t>
  </si>
  <si>
    <t>toidukorda</t>
  </si>
  <si>
    <t>Maavarad</t>
  </si>
  <si>
    <t>Tudu raamatukogu</t>
  </si>
  <si>
    <t>lugejatele 2 tugitooli,vaip,laud</t>
  </si>
  <si>
    <t>tel 3235645 kõned ja kuutasu + interneti kuutasu</t>
  </si>
  <si>
    <t>ajakirjade arv jääb samaks nagu 2019.a.</t>
  </si>
  <si>
    <t>kantseleikaup,paber,tahm</t>
  </si>
  <si>
    <t>urrami programmihooldus 20.- x12 kuud</t>
  </si>
  <si>
    <t>Asendus- ja järelhooldus-teenuse toetus</t>
  </si>
  <si>
    <t>Vinni Perekodu</t>
  </si>
  <si>
    <t>Kohatasud</t>
  </si>
  <si>
    <t>perevanem Päikese 8</t>
  </si>
  <si>
    <t>perevanem Päikese 12</t>
  </si>
  <si>
    <t>perevanem Päikese 14</t>
  </si>
  <si>
    <t>perevanem Päikese 4</t>
  </si>
  <si>
    <t>perevanem Päikese 2</t>
  </si>
  <si>
    <t>abi</t>
  </si>
  <si>
    <t>puhkusteasendaja</t>
  </si>
  <si>
    <t>õuealahool, remont 0,5</t>
  </si>
  <si>
    <t>autojuht 0,5</t>
  </si>
  <si>
    <t>koristaja 0.2</t>
  </si>
  <si>
    <t xml:space="preserve">telefon, internet, TV </t>
  </si>
  <si>
    <t>kantseleikulu</t>
  </si>
  <si>
    <t>mobiilkõned</t>
  </si>
  <si>
    <t>vesi-kanalisatsioon</t>
  </si>
  <si>
    <t>korrashoiuvah.</t>
  </si>
  <si>
    <t>ühiselamumaksud</t>
  </si>
  <si>
    <t>signalisatsioon</t>
  </si>
  <si>
    <t>el. Käidu leping</t>
  </si>
  <si>
    <t>tehnoseadmed</t>
  </si>
  <si>
    <t>liising, kasko</t>
  </si>
  <si>
    <t>riided , jalanõud</t>
  </si>
  <si>
    <t xml:space="preserve">Inventar </t>
  </si>
  <si>
    <t>29 last x 40€kuusx 12 kuud</t>
  </si>
  <si>
    <t>toitlustamine kodus</t>
  </si>
  <si>
    <t>lasteaed, kaugel õppijad, väljas</t>
  </si>
  <si>
    <t>29 last x 4 € päev x 365 päeva</t>
  </si>
  <si>
    <t>ravimid, hügieen</t>
  </si>
  <si>
    <t>eriarstide vastuvõtt</t>
  </si>
  <si>
    <t xml:space="preserve">kohatasu lasteaed </t>
  </si>
  <si>
    <t>koolide väljasõidud</t>
  </si>
  <si>
    <t>trenn/hobi</t>
  </si>
  <si>
    <t>koolitarbed (sh eririietus, ....</t>
  </si>
  <si>
    <t>29 last  x 15 € x 12 kuud</t>
  </si>
  <si>
    <t>2019. aasta eelarve prognoositav jääk</t>
  </si>
  <si>
    <t>ringijuht</t>
  </si>
  <si>
    <t>kõneravi koolis</t>
  </si>
  <si>
    <t>kõneravi lasteaias</t>
  </si>
  <si>
    <t>abiõpetaja lasteaias</t>
  </si>
  <si>
    <t>lasteaiaõpetaja</t>
  </si>
  <si>
    <t>lasteaia muusikaõpetaja</t>
  </si>
  <si>
    <t>lasteaia liikumisõpetaja</t>
  </si>
  <si>
    <t>aednik-majahoidja</t>
  </si>
  <si>
    <t>katlakütja</t>
  </si>
  <si>
    <t>remondimees</t>
  </si>
  <si>
    <t>kokk+abitööline</t>
  </si>
  <si>
    <t>Tudu Põhikool</t>
  </si>
  <si>
    <t>2.korruse koridori põrandakate vahetada</t>
  </si>
  <si>
    <t xml:space="preserve">Põrandakate purunenud, </t>
  </si>
  <si>
    <t>uued rulood lasteaeda(4) ja 1 õppeklassis(49)</t>
  </si>
  <si>
    <t>kahjustatud, inetud ja ei toimi</t>
  </si>
  <si>
    <t>printeritahm ja tint</t>
  </si>
  <si>
    <t>kantseleitarbed</t>
  </si>
  <si>
    <t>ajakirjanduse tellimine</t>
  </si>
  <si>
    <t>EMT 200; lauatel+neti=600</t>
  </si>
  <si>
    <t>paber, kladed, pliiatsid jne</t>
  </si>
  <si>
    <t>ajalehed</t>
  </si>
  <si>
    <t>erivajadustega laste õpet</t>
  </si>
  <si>
    <t>robootika ainetundides</t>
  </si>
  <si>
    <t>uue õppekava rakend</t>
  </si>
  <si>
    <t>enesekehtestamine</t>
  </si>
  <si>
    <t>Tudu lasteaed</t>
  </si>
  <si>
    <t>aknapesuteenus</t>
  </si>
  <si>
    <t>elektritööd</t>
  </si>
  <si>
    <t>korstnapühkimine</t>
  </si>
  <si>
    <t>vesi, kanalisatsioon</t>
  </si>
  <si>
    <t>jooksev remont</t>
  </si>
  <si>
    <t>riigi sümboolika</t>
  </si>
  <si>
    <t>kooliaed(seemned, istikud)</t>
  </si>
  <si>
    <t>avariivalgustus</t>
  </si>
  <si>
    <t>hooldus</t>
  </si>
  <si>
    <t>autohüvitised</t>
  </si>
  <si>
    <t>rehvivahetus</t>
  </si>
  <si>
    <t>IT-tarvikud</t>
  </si>
  <si>
    <t>robootika õppevah</t>
  </si>
  <si>
    <t>muruniiduk</t>
  </si>
  <si>
    <t>köögikombain</t>
  </si>
  <si>
    <t>tolmuimeja</t>
  </si>
  <si>
    <t>koopiamasin</t>
  </si>
  <si>
    <t>lasteaia toidukaup</t>
  </si>
  <si>
    <t>kool</t>
  </si>
  <si>
    <t>esmaabi kapp</t>
  </si>
  <si>
    <t xml:space="preserve">õpikud </t>
  </si>
  <si>
    <t>mänguasjad, paber, värvid jm</t>
  </si>
  <si>
    <t>eriped tegevus</t>
  </si>
  <si>
    <t>õpikud sh etunni mälupulgad õpet</t>
  </si>
  <si>
    <t>tehnoloogia, kodund õppev</t>
  </si>
  <si>
    <t>eriped teenus</t>
  </si>
  <si>
    <t>paber, värvid jm</t>
  </si>
  <si>
    <t>vastlapäev</t>
  </si>
  <si>
    <t>EV aastpäev</t>
  </si>
  <si>
    <t>etenduse dekor</t>
  </si>
  <si>
    <t>jõuluvana</t>
  </si>
  <si>
    <t>isadepäev, emadepäev</t>
  </si>
  <si>
    <t>ekskursioonid, õppepäevad</t>
  </si>
  <si>
    <t>õa lõpetamine</t>
  </si>
  <si>
    <t xml:space="preserve">õpetajate päev </t>
  </si>
  <si>
    <t>Tudu hariduselu 170 tähist</t>
  </si>
  <si>
    <t>Perenaine</t>
  </si>
  <si>
    <t>Naistantsurühma juhendaja</t>
  </si>
  <si>
    <t>Memmede tantsurühma juhendaja</t>
  </si>
  <si>
    <t>Segakoori dirigent</t>
  </si>
  <si>
    <t>Naisansambli juhendaja</t>
  </si>
  <si>
    <t>Meesansambli juhendaja</t>
  </si>
  <si>
    <t>Kvartett ,,Sära´´ juhendaja</t>
  </si>
  <si>
    <t>ZUMBA tantsutrenni juhendaja</t>
  </si>
  <si>
    <t>Näiteringi ,,Kartoffel´´ juhendaja</t>
  </si>
  <si>
    <t>Laste pilliõpe</t>
  </si>
  <si>
    <t>Roela Rahvamaja</t>
  </si>
  <si>
    <t>töötasud</t>
  </si>
  <si>
    <t>juhendajate motiveerimine</t>
  </si>
  <si>
    <t>esinejate garderoobide mööbel,kontsertsaali kardinapuud, kaamerad, esinejate wc remont</t>
  </si>
  <si>
    <t>näituste korraldamise kulud</t>
  </si>
  <si>
    <t>ülesseadmine,transport</t>
  </si>
  <si>
    <t>RAM-i kontsert (RAM 75-EV 102)</t>
  </si>
  <si>
    <t>Salongiõhtu Meenutame jaak Joalat ja Georg Otsa</t>
  </si>
  <si>
    <t>kontserdi maksumus</t>
  </si>
  <si>
    <t>külalisesinejad</t>
  </si>
  <si>
    <t>Jaaniõhtu</t>
  </si>
  <si>
    <t>advendi ja jõuluüritused. Aastalõpupidu</t>
  </si>
  <si>
    <t>auhinnad,tantsumuusika</t>
  </si>
  <si>
    <t>esinejad, meened</t>
  </si>
  <si>
    <t>telefon, internet</t>
  </si>
  <si>
    <t>3297299,internet digi tv</t>
  </si>
  <si>
    <t>mobiiltelefon</t>
  </si>
  <si>
    <t>üritused,ümbrikud, plakatid</t>
  </si>
  <si>
    <t>tahma- ja tindikassetid</t>
  </si>
  <si>
    <t>printerid</t>
  </si>
  <si>
    <t>juhataja,ringijuhid</t>
  </si>
  <si>
    <t>õliküte 21000 l. aastas</t>
  </si>
  <si>
    <t>28455 mhv rahvamaja, arvestuses ka Sinilille tn. valgustus</t>
  </si>
  <si>
    <t>Virumaa Veepumbakeskus, Fixum</t>
  </si>
  <si>
    <t>U.K.V. Grupp</t>
  </si>
  <si>
    <t>wc paber, harjad, lapid, kodukeemia</t>
  </si>
  <si>
    <t>valgustid</t>
  </si>
  <si>
    <t>pirnid, prožektorid</t>
  </si>
  <si>
    <t>pesu pesemine</t>
  </si>
  <si>
    <t>teenus</t>
  </si>
  <si>
    <t>pisiremont</t>
  </si>
  <si>
    <t>12 kuud</t>
  </si>
  <si>
    <t>esinemised</t>
  </si>
  <si>
    <t>väljasõidud</t>
  </si>
  <si>
    <t>valgustid (prožektorid),helitehnika (kõlarid,juhtmed)</t>
  </si>
  <si>
    <t>esmaabivahendid,prillid</t>
  </si>
  <si>
    <t>käelise tegevuse asjad,markerid,paberid,liim,värvid,rekvisiit,lilled</t>
  </si>
  <si>
    <t>juhendaja tasustamine kuni eelmise aastani kooli eelarvest, vallavanem ei ole veel teinud otsust millisel moel edaspidi jätkata</t>
  </si>
  <si>
    <t>teede- ja ühistranspordinõunik</t>
  </si>
  <si>
    <t>Valitsuse liikme tasud</t>
  </si>
  <si>
    <t>Valitsuse liikmete koolituskulud</t>
  </si>
  <si>
    <t>Söökla trepikoda</t>
  </si>
  <si>
    <t xml:space="preserve">Pole remonditud u 50 a, väga halb väljanägemine. </t>
  </si>
  <si>
    <t>Tuulekastid (puidust) kulunud sisehoovis.</t>
  </si>
  <si>
    <t>sünnipäev, jõulukink</t>
  </si>
  <si>
    <t>Taskurahad</t>
  </si>
  <si>
    <t>Eelkooliealised</t>
  </si>
  <si>
    <t>1-4 klassi lapsed</t>
  </si>
  <si>
    <t>5-.. Lapsed</t>
  </si>
  <si>
    <t>Kultuuri-ja avalike suhete nõunik</t>
  </si>
  <si>
    <t>Kadila seltsimaja</t>
  </si>
  <si>
    <t>Kadila Seltsimaja</t>
  </si>
  <si>
    <t>Vesi ja kanalisatsioon</t>
  </si>
  <si>
    <t>Prügikonteineri rent</t>
  </si>
  <si>
    <t>Tudu Rahvamaja</t>
  </si>
  <si>
    <t>Vallalehe kirjastuskulud</t>
  </si>
  <si>
    <t>Lepingulised</t>
  </si>
  <si>
    <t>Pajusti klubi</t>
  </si>
  <si>
    <t>Küttesüsteemide parandus.
Termokraanide paigaldus. Radiaatoreid 20</t>
  </si>
  <si>
    <t>Klubi juhataja, ringide juhendajad</t>
  </si>
  <si>
    <t>arvutiprogrammid, hoolduse, tooner</t>
  </si>
  <si>
    <t>lastevanemate koolitused</t>
  </si>
  <si>
    <t>ÕK öökasvataja</t>
  </si>
  <si>
    <t>Roela Õpilaskodu</t>
  </si>
  <si>
    <t>mobiili kuulimiit 20 eurot</t>
  </si>
  <si>
    <t>printeri tahm</t>
  </si>
  <si>
    <t>kalendrid, paber jne</t>
  </si>
  <si>
    <t>internet 46 x 12 = 552</t>
  </si>
  <si>
    <t>20 x 12</t>
  </si>
  <si>
    <t>seadmete remont</t>
  </si>
  <si>
    <t>pesukuivati, pesumasin</t>
  </si>
  <si>
    <t>32 x 11 (Tiina Alavere)</t>
  </si>
  <si>
    <t>voodikast 9 tk</t>
  </si>
  <si>
    <t>köögitaburet 12 tk</t>
  </si>
  <si>
    <t>televiisor 1 tk</t>
  </si>
  <si>
    <t>toiduained</t>
  </si>
  <si>
    <t>ravimid</t>
  </si>
  <si>
    <t>vihikud, pliiatsid, värvid jne</t>
  </si>
  <si>
    <t>mängud</t>
  </si>
  <si>
    <t>Viru-Jaagupi rahvaraamatukogu küttesüsteemi üleviimine pelletküttele</t>
  </si>
  <si>
    <t>Tudu Kooli küttesüsteemi üleviimine pelletküttele</t>
  </si>
  <si>
    <t>Laekumised korrakaitseasutuste majandustegevusest</t>
  </si>
  <si>
    <t>Muuga-Laekvere kool</t>
  </si>
  <si>
    <t>büroo</t>
  </si>
  <si>
    <t>Muud admin.kulud</t>
  </si>
  <si>
    <t>Muud kinnistukulud</t>
  </si>
  <si>
    <t>muud inventari kulud</t>
  </si>
  <si>
    <t>piirdeaed</t>
  </si>
  <si>
    <t>vajab vahetust</t>
  </si>
  <si>
    <t>saali rulood</t>
  </si>
  <si>
    <t>vanad katki</t>
  </si>
  <si>
    <t>arvutid 4 tk</t>
  </si>
  <si>
    <t>uuendada</t>
  </si>
  <si>
    <t>traadita internetivõrk</t>
  </si>
  <si>
    <t>puudub</t>
  </si>
  <si>
    <t>Õpetaja+ klassijuhatamine</t>
  </si>
  <si>
    <t>õpiabi</t>
  </si>
  <si>
    <t xml:space="preserve">õppejuht </t>
  </si>
  <si>
    <t xml:space="preserve">sotsiaalpedagoog </t>
  </si>
  <si>
    <t>hoidja</t>
  </si>
  <si>
    <t>õpetaja assistent</t>
  </si>
  <si>
    <t xml:space="preserve">pikkpäev </t>
  </si>
  <si>
    <t>mõisa perenaine</t>
  </si>
  <si>
    <t>koka abi</t>
  </si>
  <si>
    <t>ringid (1,29+1,31)</t>
  </si>
  <si>
    <t>ujumine</t>
  </si>
  <si>
    <t>õpilaste üritused</t>
  </si>
  <si>
    <t>põrandate hooldus</t>
  </si>
  <si>
    <t>igal aastal</t>
  </si>
  <si>
    <t>rattahoidjad</t>
  </si>
  <si>
    <t>juurde vaja</t>
  </si>
  <si>
    <t>tuletõrje andurid</t>
  </si>
  <si>
    <t>vanad</t>
  </si>
  <si>
    <t>p tööõpetus tööriistad ja univ. Puidupink</t>
  </si>
  <si>
    <t>vaja uuendada</t>
  </si>
  <si>
    <t>köögikombain(juurviljatükeldaja)</t>
  </si>
  <si>
    <t>vana on amortiseerunud</t>
  </si>
  <si>
    <t>söögisaali rulood</t>
  </si>
  <si>
    <t>olemasolevad katki</t>
  </si>
  <si>
    <t>õpilaste üritused, autasud</t>
  </si>
  <si>
    <t>põrandate hooldus+ akende pesu</t>
  </si>
  <si>
    <t>peatrepi vaip</t>
  </si>
  <si>
    <t>kulunud</t>
  </si>
  <si>
    <t xml:space="preserve">ringid </t>
  </si>
  <si>
    <t>Jäätmekava</t>
  </si>
  <si>
    <t xml:space="preserve">Jäätmevaldajate register EVALD </t>
  </si>
  <si>
    <t>GEODATA jäätmehalduse moodul</t>
  </si>
  <si>
    <t>Lemmikloomaregister SPIN TEK</t>
  </si>
  <si>
    <t>muud hulkuvate loomadega seotud kulud</t>
  </si>
  <si>
    <t>a. Jäätmeringid (ohtlikud jäätmed, sh eterniit); 
b. ebaseaduslikult ladestatud jäätmete koristamine KOV maadelt;
c. konteinerite tühjendus ja rent (või väljaostmine); Valdavalt püsikulu</t>
  </si>
  <si>
    <t>sideteenused</t>
  </si>
  <si>
    <t>Vinni-Pajusti piirkond</t>
  </si>
  <si>
    <t>Korterite kommunaalmaksed</t>
  </si>
  <si>
    <t>valvekaameratega seotud kulud</t>
  </si>
  <si>
    <t>Vallamaja koristusteenus</t>
  </si>
  <si>
    <t>Tarvaprojekt</t>
  </si>
  <si>
    <t>Suuremad niitmised</t>
  </si>
  <si>
    <t>Tammikus OÜ</t>
  </si>
  <si>
    <t>Prügikonteinerite rent</t>
  </si>
  <si>
    <t>Prügivedu, konteinerite rent</t>
  </si>
  <si>
    <t>Jäätmekeskus</t>
  </si>
  <si>
    <t>Elektri tarbimine</t>
  </si>
  <si>
    <t>Heakorra tööde tarbitav kütus</t>
  </si>
  <si>
    <t>Muud kinnistute ja hoonetega seotud kulud</t>
  </si>
  <si>
    <t>Pingid</t>
  </si>
  <si>
    <t>abipolitseid</t>
  </si>
  <si>
    <t>Haagiste, sõidukite kindlustused</t>
  </si>
  <si>
    <t>sõidupäeviku teenus</t>
  </si>
  <si>
    <t>ülevaatus</t>
  </si>
  <si>
    <t>Silberauto</t>
  </si>
  <si>
    <t>liisingauto remont</t>
  </si>
  <si>
    <t>Silberauto liisingauto remont</t>
  </si>
  <si>
    <t>sõidukite remondi jms kulud</t>
  </si>
  <si>
    <t>muud sõidukitega seotud kulud</t>
  </si>
  <si>
    <t>Tööriistad</t>
  </si>
  <si>
    <t>Heakorratööline</t>
  </si>
  <si>
    <t>Ehitus-, remondi ja majandustöötaja</t>
  </si>
  <si>
    <t>remondi- ja elektritööline</t>
  </si>
  <si>
    <t>töövõimetus, ei maksa sotsiaalmaksu</t>
  </si>
  <si>
    <t>Kaasav eelarve</t>
  </si>
  <si>
    <t>Kaunis kodu auhinnafond</t>
  </si>
  <si>
    <t>Albumid, lilled jms</t>
  </si>
  <si>
    <t xml:space="preserve"> Halduse tagatavad kulud</t>
  </si>
  <si>
    <t>Vilde kirjanduspreemia</t>
  </si>
  <si>
    <t>Raamatud, lilled, külaliste vastuvõtt jms</t>
  </si>
  <si>
    <t>Varjupaikade MTÜ püsitasu kohalikelt + muuda tasud</t>
  </si>
  <si>
    <t>Pangateenustasud</t>
  </si>
  <si>
    <t>Swedbank</t>
  </si>
  <si>
    <t>Arhivaalide hävitamise teenus</t>
  </si>
  <si>
    <t>Arhiivi tarvikud</t>
  </si>
  <si>
    <t>Postikulud</t>
  </si>
  <si>
    <t>Koopiapaber</t>
  </si>
  <si>
    <t>Paljunduskulud</t>
  </si>
  <si>
    <t>Kalendrid</t>
  </si>
  <si>
    <t>Kalendermärkmikud</t>
  </si>
  <si>
    <t>Meened (prillilapp, tassid, pastakad)</t>
  </si>
  <si>
    <t>Lilled sünnipäevalistele jne</t>
  </si>
  <si>
    <t>Lauatelefonid</t>
  </si>
  <si>
    <t>Esinduskulud (kohv)</t>
  </si>
  <si>
    <t>Esindus - ja vastuvõtu kulud</t>
  </si>
  <si>
    <t>Kuulutused</t>
  </si>
  <si>
    <t>kaastunde avaldused jms</t>
  </si>
  <si>
    <t>Visiitkaardid</t>
  </si>
  <si>
    <t>Kantselei</t>
  </si>
  <si>
    <t>R.Võrno lähetused</t>
  </si>
  <si>
    <t>Koolitustel osalemine</t>
  </si>
  <si>
    <t>Mart, Vaive, Kersti, Tuuli, Inga, Kätlin</t>
  </si>
  <si>
    <t>Vallavalitsuse koosseisu hõlmavad üldised koolitused</t>
  </si>
  <si>
    <t>Valla meeskonna koolitused</t>
  </si>
  <si>
    <t>Mastilipud</t>
  </si>
  <si>
    <t>Saku Läte</t>
  </si>
  <si>
    <t>Vallamaja elekter</t>
  </si>
  <si>
    <t>Vallamaja vesi</t>
  </si>
  <si>
    <t>Vallamaja keskküte</t>
  </si>
  <si>
    <t>Hoone kindlustus</t>
  </si>
  <si>
    <t>Muud kinnistu ja hoonetega seotud kulud</t>
  </si>
  <si>
    <t>vallasekretär</t>
  </si>
  <si>
    <t>abivallavanem</t>
  </si>
  <si>
    <t>Vallavanema auto liising</t>
  </si>
  <si>
    <t>Vallavanema auto kindlustus</t>
  </si>
  <si>
    <t>Vallavanema auto kütus</t>
  </si>
  <si>
    <t>Vallavanema auto remont ja hooldus</t>
  </si>
  <si>
    <t xml:space="preserve"> X-tee turvaserveri v6  majutus</t>
  </si>
  <si>
    <t>AS Andmevara</t>
  </si>
  <si>
    <t>Kohaliku omavalitsuse teenusportaali kasutamine</t>
  </si>
  <si>
    <t>Amphora dokumendihaldustarkvara kuutasud</t>
  </si>
  <si>
    <t>kuutasu 280,02+km; 2020 hinnatõus 9%</t>
  </si>
  <si>
    <t>Amphora arendamine</t>
  </si>
  <si>
    <t>Kohvimasina rent</t>
  </si>
  <si>
    <t>Muud inventari vajadused</t>
  </si>
  <si>
    <t>Töötervishoiuarsti teenused, gripivaktsiin, esmaabi vahendid</t>
  </si>
  <si>
    <t>Prillide kompensatsioon</t>
  </si>
  <si>
    <t>10 in.</t>
  </si>
  <si>
    <t>Raamatud (meene isa-ema, vanaema-vanaisa)</t>
  </si>
  <si>
    <t>Vinni Vald 30</t>
  </si>
  <si>
    <t>Vabariigi aastapäev</t>
  </si>
  <si>
    <t>Kalade ülalpidamine</t>
  </si>
  <si>
    <t>Spordikulude hüvitamine</t>
  </si>
  <si>
    <t>28 in x 400€</t>
  </si>
  <si>
    <t>Arhiivi korrastamise teenus (töövõtuleping)</t>
  </si>
  <si>
    <t>Preemia juubilaridele (ametnik+töötaja)</t>
  </si>
  <si>
    <t>Kontode alanimetus</t>
  </si>
  <si>
    <t>Finantstulud</t>
  </si>
  <si>
    <t>Muutus</t>
  </si>
  <si>
    <t>Kodulehe majutus ja e-post</t>
  </si>
  <si>
    <t>Telia (e-post)</t>
  </si>
  <si>
    <t>7 arvutit</t>
  </si>
  <si>
    <t>7 monitori</t>
  </si>
  <si>
    <t>Ruuteri ja Syslogi hooldustasu</t>
  </si>
  <si>
    <t>Esri EA aastatasu</t>
  </si>
  <si>
    <t>Virtuaalserver</t>
  </si>
  <si>
    <t>Viirusetõrje</t>
  </si>
  <si>
    <t>Muud mitmesugused ennustamatud kulud: 752,6 € kuus</t>
  </si>
  <si>
    <t>Videovalve väljaehitamine</t>
  </si>
  <si>
    <t>hetkel kaamerate summa</t>
  </si>
  <si>
    <t>Põhivara soetuseks antav sihtfinantseerimine (-)</t>
  </si>
  <si>
    <t>Põhivara soetuseks saadav sihtfinantseerimine (+)</t>
  </si>
  <si>
    <t>Laenu võtmine</t>
  </si>
  <si>
    <t>Ühik2</t>
  </si>
  <si>
    <t>in</t>
  </si>
  <si>
    <t>(Multiple Items)</t>
  </si>
  <si>
    <t>Riigikaitse kokku</t>
  </si>
  <si>
    <t>maha arvatud laste arvust -20% puudumised</t>
  </si>
  <si>
    <t>kohatasu, maha arvestatud -10% puudumisi</t>
  </si>
  <si>
    <t>Spordiseltside, klubide, mtü-de, andekate sportlaste ja spordiürituste korraldamise toetused</t>
  </si>
  <si>
    <t>Toetused sportlastele, spordiüritused, kaasfinantseeringud, valla parimate sportlaste tunnustamine. (jooksvalt 2020)</t>
  </si>
  <si>
    <t>Lääne-Virumaa Puuetega Inimeste Koda</t>
  </si>
  <si>
    <t>sh. Laekvere eakate seltsing Meenutuse transpordi kulud</t>
  </si>
  <si>
    <t>Lääne-Virumaa Suurte Perede ühenduse toetamine</t>
  </si>
  <si>
    <t>Haigete sotsiaalne kaitse</t>
  </si>
  <si>
    <t>Muu tervishoid, sh tervishoiu haldamine</t>
  </si>
  <si>
    <t>Vallamaja küttesüsteem</t>
  </si>
  <si>
    <t>Vinni-Pajusti avaliku ruumi arendamine (Kirjandustammik, vaateplatvorm, VPG ala)</t>
  </si>
  <si>
    <t>Avalike mänguväljakute ja sportimispaikade rajamine</t>
  </si>
  <si>
    <t>Valla üldplaneeringu koostamine</t>
  </si>
  <si>
    <t>Ettevõtlust/turismi toetava taristu arendamine, sh kiire internetiühenduse leviku toetamine valla territooriumil</t>
  </si>
  <si>
    <t>Lisatasu kultuuriasutuste koordineerimise eest</t>
  </si>
  <si>
    <t>Alevike kanalisatsioon</t>
  </si>
  <si>
    <t>Liikmemaks Põhja- Eesti Ühistranspordikeskus MTÜ-le</t>
  </si>
  <si>
    <t>Muu amortiseeruv materiaalne põhivara</t>
  </si>
  <si>
    <t>ÜVK arendamise kava investeeringute kaasrahastamine</t>
  </si>
  <si>
    <t>Laekvere kompostimisväljaku rajamine</t>
  </si>
  <si>
    <t>maa soetus</t>
  </si>
  <si>
    <t>Pajusti klubi katus</t>
  </si>
  <si>
    <t>Laekvere Rahvamaja keldrisse lasketiiru rajamine</t>
  </si>
  <si>
    <t>Raudteepärandi projektis osalemine</t>
  </si>
  <si>
    <t>Laekvere kergliiklustee</t>
  </si>
  <si>
    <t>Viru-Jaagupi – Kannastiku kergliiklustee</t>
  </si>
  <si>
    <t>Pajusti Lasteaia rühmaruumide remont</t>
  </si>
  <si>
    <t>Lasteaedade ja koolide õues õppetingimuste loomine</t>
  </si>
  <si>
    <t>Roela kool-küttesüsteem ja fassaad</t>
  </si>
  <si>
    <t>Muuga-Laekvere Kooli Laekvere koolimaja katuse vahetus, fassaadi remont</t>
  </si>
  <si>
    <t>Vinni-Pajusti Gümnaasiumi küttesüsteemi rekonstrueerimine</t>
  </si>
  <si>
    <t>Ulvi teeninduskeskuse / arstipunkti soojustamine</t>
  </si>
  <si>
    <t>ok</t>
  </si>
  <si>
    <t>2020 võetud laenude tagasimaksed</t>
  </si>
  <si>
    <t>Vinni Spordikompl.</t>
  </si>
  <si>
    <t>Paik MTÜ liikmemaks</t>
  </si>
  <si>
    <t>Virumaa Koostöökogu MTÜ liikmemaks</t>
  </si>
  <si>
    <t>2019.a +2%</t>
  </si>
  <si>
    <t>VIROL omaosalus projektis "Piirkondlike algatuste tugiprogramm 2020-2023"</t>
  </si>
  <si>
    <t>2020-2023 kogumaksumus 8264€</t>
  </si>
  <si>
    <t>Hilje ametikoht</t>
  </si>
  <si>
    <t>Kütus</t>
  </si>
  <si>
    <t>50000km*36l/100le*1,3eur/l</t>
  </si>
  <si>
    <t>0820301</t>
  </si>
  <si>
    <t>Muuseumid</t>
  </si>
  <si>
    <t>Vinni Vallamuuseum</t>
  </si>
  <si>
    <t>hooldatavat</t>
  </si>
  <si>
    <t>kuud</t>
  </si>
  <si>
    <t>Muuseumi juhataja</t>
  </si>
  <si>
    <t>Transpordikulud</t>
  </si>
  <si>
    <t>Põlula, Tudu muuseumisse isikute vedu</t>
  </si>
  <si>
    <t>Skännerid</t>
  </si>
  <si>
    <t>Arhiveerimistarvikud</t>
  </si>
  <si>
    <t>Põlula, Tudu, Roela, Viru-Jaagupi, Kadila, Laekvere</t>
  </si>
  <si>
    <t>Materjalide ettevalmistamine näituseks</t>
  </si>
  <si>
    <t xml:space="preserve">Põlula, Tudu, Roela </t>
  </si>
  <si>
    <t>Käsunduslepingud arhivaalide kogumiseks</t>
  </si>
  <si>
    <t>Topoteegi aastane hooldustasu</t>
  </si>
  <si>
    <t>Topoteegi pidajate koolitus</t>
  </si>
  <si>
    <t>TLU töögrupi tegevuse kompenseerimine</t>
  </si>
  <si>
    <t>Majutus, transport, toitlustus</t>
  </si>
  <si>
    <t>Eksperdi kaasamine ERMist</t>
  </si>
  <si>
    <t>VIROL liikmemaks 2020</t>
  </si>
  <si>
    <t>Kultuurinõunik</t>
  </si>
  <si>
    <t>Kultuuri MTÜ-de toetused</t>
  </si>
  <si>
    <t>Kultuuri MTÜ-de toetuste reserv</t>
  </si>
  <si>
    <t>10% kultuuri MTÜ-de kogumahust</t>
  </si>
  <si>
    <t>Ürituste plaan 2020</t>
  </si>
  <si>
    <t>liising, kasko, liiklus, tarvikud</t>
  </si>
  <si>
    <t>IT vahendid</t>
  </si>
  <si>
    <t>+ lisatud MTÜ Eestkoste teenused riigilõiv 50€/kuu</t>
  </si>
  <si>
    <t>Kingitused valdkonna asutustele</t>
  </si>
  <si>
    <t>Lauatennise laud Tudu kooli</t>
  </si>
  <si>
    <t>esialgu taotles vahendeid selle soetuseks Tudu Hariduse ja Spordiselts MTÜ</t>
  </si>
  <si>
    <t xml:space="preserve">0810908         </t>
  </si>
  <si>
    <t>Kultuuri projektide kaasfinantseerimised</t>
  </si>
  <si>
    <t>Kultuuri projektide kaasfinantseerimised 2020.a</t>
  </si>
  <si>
    <t>Toetusfondi vahendid koolide tarbeks</t>
  </si>
  <si>
    <t>huvitegevuse kompensatsioon lastevanematele</t>
  </si>
  <si>
    <t>Täiendav perede toetus 3 ja enama lapse puhul</t>
  </si>
  <si>
    <t>Kauplusauto</t>
  </si>
  <si>
    <t xml:space="preserve">VKK Kaubandus; </t>
  </si>
  <si>
    <t>naistepäevapidu</t>
  </si>
  <si>
    <t>%</t>
  </si>
  <si>
    <t>Noorkotkad</t>
  </si>
  <si>
    <t>Erik 400€; Gustav 400€; Aivar 400€; Irina 400€</t>
  </si>
  <si>
    <t>Irina 150€, Aivar 335€, Gustav 150€, Erik 150€; Kätlyn 150€</t>
  </si>
  <si>
    <t>Geoarhiivi moodul</t>
  </si>
  <si>
    <t>GEODATA</t>
  </si>
  <si>
    <t>Kohalike teede moodul</t>
  </si>
  <si>
    <t xml:space="preserve">Muud ettenägematud kulud  </t>
  </si>
  <si>
    <t xml:space="preserve">Riigilõivud </t>
  </si>
  <si>
    <t>Kommunaalteenused</t>
  </si>
  <si>
    <t>vesi</t>
  </si>
  <si>
    <t>Laekumised elamu- ja kommunaalasutuste majandustegevusest</t>
  </si>
  <si>
    <t>Vabatahtliku tegevuse püsitasu</t>
  </si>
  <si>
    <t>kvartal</t>
  </si>
  <si>
    <t>Valmisoleku tasud</t>
  </si>
  <si>
    <t>Tehnika püsitasu</t>
  </si>
  <si>
    <t>Saunateenuste tulu</t>
  </si>
  <si>
    <t>Laekumised muude majandusküsimustega tegelevate asutustega</t>
  </si>
  <si>
    <t>Korterite üüritulu</t>
  </si>
  <si>
    <t>Üüri- ja renditulud</t>
  </si>
  <si>
    <t>Korterite elekter</t>
  </si>
  <si>
    <t>Korterite vesi</t>
  </si>
  <si>
    <t>Korterite prügivedu</t>
  </si>
  <si>
    <t>Korterite keskküte</t>
  </si>
  <si>
    <t>Korterite digiteenus (elisa)</t>
  </si>
  <si>
    <t>Koduteenuse osutamine</t>
  </si>
  <si>
    <t>Valmisolekutasud</t>
  </si>
  <si>
    <t>Lisatasud tulekahju kustutamiste korral</t>
  </si>
  <si>
    <t>Sõidukite remont, hooldus jms</t>
  </si>
  <si>
    <t>Vee erikasutustasud</t>
  </si>
  <si>
    <t>sisaldab palgatõusu</t>
  </si>
  <si>
    <t>Lisavajadustes</t>
  </si>
  <si>
    <t>Ulvi Hooldekodu</t>
  </si>
  <si>
    <t xml:space="preserve">hooldekodu ja lasteaia pesu kuivat </t>
  </si>
  <si>
    <t>Töötajad tasuvad ise tagasi</t>
  </si>
  <si>
    <t>Kulu kaetakse hooldajate pere poolt</t>
  </si>
  <si>
    <t>sanremondi materjalid(pahtel,värv)</t>
  </si>
  <si>
    <t>wc paber,kätekuivatuspaber</t>
  </si>
  <si>
    <t>Planeeringus 168€ lisatasu märgitud</t>
  </si>
  <si>
    <t>Kulud, elektrile, küttele, prügi , vee eest, 
kanalistasioon, korrashoiuvahendid, tuletõrje 
ja signalisatsiooni hooldus, jäätmete vedamine, 
pisiremont</t>
  </si>
  <si>
    <t>Lilled Mõttelõng</t>
  </si>
  <si>
    <t>Lilled Elutark</t>
  </si>
  <si>
    <t>Fliisid jms</t>
  </si>
  <si>
    <t>Kaunis kodu</t>
  </si>
  <si>
    <t>Porkuni kool</t>
  </si>
  <si>
    <t>Tudu, Roela, V-Jaagupi, Pajusti, Vinni lapsed 7-26 a.</t>
  </si>
  <si>
    <t>huviharidus-ujumistreeningud Vinni Spordikompleksis 2020. - Tudu, Roela, V-Jaagupi, Pajusti, Vinni lapsed 7-26 a.</t>
  </si>
  <si>
    <t>Transport(buss)</t>
  </si>
  <si>
    <t>Ujula kasutus</t>
  </si>
  <si>
    <t>huviharidus-ujumistreeningud Vinni Spordikompleksis 2020. - Laekvere, Muuga lapsed 7-26a.</t>
  </si>
  <si>
    <t>Ujumise juhendamine</t>
  </si>
  <si>
    <t>Laekvere, Muuga lapsed 7-26a.</t>
  </si>
  <si>
    <t>Korrashoiu- ja puhastusvahendid</t>
  </si>
  <si>
    <t>juhiabi/majandusjuht</t>
  </si>
  <si>
    <t>noorsootöötaja</t>
  </si>
  <si>
    <t>ÕK kasvataja</t>
  </si>
  <si>
    <t xml:space="preserve">pikapäevarühma kasvatajad </t>
  </si>
  <si>
    <t>Lepingule</t>
  </si>
  <si>
    <t>Eelarve rakenduse Veera Liitumis- ja juurutusprotsess</t>
  </si>
  <si>
    <t>Eelarve rakenduse Veera kuutasu</t>
  </si>
  <si>
    <t>MTÜ Eha kapelli juhendaja tasu</t>
  </si>
  <si>
    <t>MTÜ Eha kapellijuhendaja sõidukulud</t>
  </si>
  <si>
    <t>Muud ettenägematud kulud</t>
  </si>
  <si>
    <t>Rauno</t>
  </si>
  <si>
    <t xml:space="preserve">Muuga Spordihoone </t>
  </si>
  <si>
    <t>Välitrepi remont</t>
  </si>
  <si>
    <t>Lisaruumide san.remont vms renoveerimine</t>
  </si>
  <si>
    <t>Kiige tn poolne trepp</t>
  </si>
  <si>
    <t>VALLA ETTEPANEK</t>
  </si>
  <si>
    <t>Mänguväljaku rajamine</t>
  </si>
  <si>
    <t>Arenguväljaminekud</t>
  </si>
  <si>
    <t>PRIA toetus</t>
  </si>
  <si>
    <t>materjali kulu</t>
  </si>
  <si>
    <t>tundi</t>
  </si>
  <si>
    <t>noorsootöö all</t>
  </si>
  <si>
    <t>Filharmoonikud ja advendikingitus Valla ürituste eelarvesse</t>
  </si>
  <si>
    <t>Vinni Filharmoonikud, advendikingitus</t>
  </si>
  <si>
    <t>Töötajate juubelid</t>
  </si>
  <si>
    <t>Pisiremondid jms</t>
  </si>
  <si>
    <t>Juhtide tööjõukulu</t>
  </si>
  <si>
    <t>Pedagoogilised koolitused</t>
  </si>
  <si>
    <t>Pedagoogilised õppevahendid</t>
  </si>
  <si>
    <t>PK õpetajate tööjõukulu</t>
  </si>
  <si>
    <t>G õpetajate tööjõukulu</t>
  </si>
  <si>
    <t>Ped.</t>
  </si>
  <si>
    <t>Pk õpetajate tööjõukulu</t>
  </si>
  <si>
    <t>Pedagoogiliste vahendite reserv</t>
  </si>
  <si>
    <t>maksud</t>
  </si>
  <si>
    <t>Lisatasu kuu 300€</t>
  </si>
  <si>
    <t>0,13 kohta Margitil?</t>
  </si>
  <si>
    <t>PALK 970</t>
  </si>
  <si>
    <t>Kirjas 0,3 kohta Margitil?</t>
  </si>
  <si>
    <t>Disani nime all? Koormus?</t>
  </si>
  <si>
    <t>Sekretär</t>
  </si>
  <si>
    <t>haridustehnoloog</t>
  </si>
  <si>
    <t xml:space="preserve">hetkel täitmata </t>
  </si>
  <si>
    <t>lisatasu klaveriõpetajale</t>
  </si>
  <si>
    <t>lisatasu õpetajale</t>
  </si>
  <si>
    <t>alustavad jaanuarist</t>
  </si>
  <si>
    <t>Koolieelsete lasteasutuste õpetajate tööjõukulude toetus</t>
  </si>
  <si>
    <t>Rahvastikutoimingute kulude hüvitis</t>
  </si>
  <si>
    <t>Muuga-Laekvere koolile eraldatud katuseraha  Inventari soetamine</t>
  </si>
  <si>
    <t>Laekvere Põhikooli dušši- ja riietusruumide ehitamine</t>
  </si>
  <si>
    <t>Rahandusmin. Õpilaskodu toetus</t>
  </si>
  <si>
    <t>Arvestus: 11in*2000€/aasta=22 000; Vähendus 2019.a eest -2666,67</t>
  </si>
  <si>
    <t>PRIA koolipiima toetus</t>
  </si>
  <si>
    <t>Laekvere Rahvamaja, soojustuse projekteerimine ja noortetoa ventilatsioon</t>
  </si>
  <si>
    <t>Ulvi, Vinni-Pajusti teeninduspiirkond</t>
  </si>
  <si>
    <t>Laekvere teeninduspiirkond</t>
  </si>
  <si>
    <t>Laekvere Raamatukogu</t>
  </si>
  <si>
    <t>Tudu Rahvaraamatukogu</t>
  </si>
  <si>
    <t>Ulvi Raamatukogu</t>
  </si>
  <si>
    <t>Roela Rahvaraamatukogu</t>
  </si>
  <si>
    <t>Viru-Jaagupi Rahvaraamatukogu</t>
  </si>
  <si>
    <t>Vinni-Pajusti Rahvaraamatukogu</t>
  </si>
  <si>
    <t>Laekvere Rahvamaja</t>
  </si>
  <si>
    <t>Venevere Seltsimaja</t>
  </si>
  <si>
    <t>Ulvi Klubi</t>
  </si>
  <si>
    <t xml:space="preserve"> Ulvi Kodu</t>
  </si>
  <si>
    <t>0660510</t>
  </si>
  <si>
    <t>0660511</t>
  </si>
  <si>
    <t>Rägavere halduspiirkond</t>
  </si>
  <si>
    <t>Vinni-Pajusti halduspiirkond</t>
  </si>
  <si>
    <t>Roela halduspiirkond</t>
  </si>
  <si>
    <t>Tudu halduspiirkond</t>
  </si>
  <si>
    <t>Viru-Jaagupi halduspiirkond</t>
  </si>
  <si>
    <t>al. 2020</t>
  </si>
  <si>
    <t>nime muudatus</t>
  </si>
  <si>
    <t>Roela, Tudu, Viru-Jaagupi teeninduspiirkond</t>
  </si>
  <si>
    <t>Muuga raamatukogu</t>
  </si>
  <si>
    <t>Venevere raamatukogu</t>
  </si>
  <si>
    <t>Muuga Raamatukogu</t>
  </si>
  <si>
    <t>Venevere Raamatukogu</t>
  </si>
  <si>
    <t>ei kasuta al. 2020</t>
  </si>
  <si>
    <t xml:space="preserve"> Vinni-Pajusti Gümnaasium</t>
  </si>
  <si>
    <t>0921208</t>
  </si>
  <si>
    <t>Muuga-Laekvere Kool</t>
  </si>
  <si>
    <t xml:space="preserve"> Muuga-Laekvere põhikool - Laekvere õppehoone</t>
  </si>
  <si>
    <t xml:space="preserve"> Muuga-Laekvere põhikool - Muuga õppehoone</t>
  </si>
  <si>
    <t>Muuga õppehoone</t>
  </si>
  <si>
    <t>Laekvere õppehoone</t>
  </si>
  <si>
    <t>Lisaeelarve / €</t>
  </si>
  <si>
    <t>järelvalve</t>
  </si>
  <si>
    <t>2019.a investeering lasteaia reovesi</t>
  </si>
  <si>
    <t>investeering</t>
  </si>
  <si>
    <t>Uurimis- ja arendustööd</t>
  </si>
  <si>
    <t>Raamatukogude koordineerja lisatasu</t>
  </si>
  <si>
    <t>Lisatasu</t>
  </si>
  <si>
    <t>Netovõlakoormus:</t>
  </si>
  <si>
    <t>Sum of 2020. EA</t>
  </si>
  <si>
    <t>Nõustamisteenus (A.Rosenthal)</t>
  </si>
  <si>
    <t>Tugiisiku teenus (T.Raudmäe</t>
  </si>
  <si>
    <t>Maria ja Lapsed MTÜ</t>
  </si>
  <si>
    <t>Telefonid, internet</t>
  </si>
  <si>
    <t>02</t>
  </si>
  <si>
    <t>05</t>
  </si>
  <si>
    <t>07</t>
  </si>
  <si>
    <t xml:space="preserve"> Vinni päevakeskus</t>
  </si>
  <si>
    <t>Toimetulekutoetuse 2019.a jääk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</si>
</sst>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5" x14ac:knownFonts="1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186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  <charset val="186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quotePrefix="1"/>
    <xf numFmtId="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0" borderId="1" xfId="0" applyFont="1" applyBorder="1"/>
    <xf numFmtId="0" fontId="1" fillId="3" borderId="3" xfId="0" applyFont="1" applyFill="1" applyBorder="1"/>
    <xf numFmtId="0" fontId="1" fillId="3" borderId="2" xfId="0" applyFont="1" applyFill="1" applyBorder="1"/>
    <xf numFmtId="4" fontId="1" fillId="3" borderId="2" xfId="0" applyNumberFormat="1" applyFont="1" applyFill="1" applyBorder="1"/>
    <xf numFmtId="0" fontId="0" fillId="0" borderId="0" xfId="0" applyBorder="1"/>
    <xf numFmtId="0" fontId="3" fillId="0" borderId="0" xfId="1" applyFont="1" applyBorder="1" applyAlignment="1"/>
    <xf numFmtId="0" fontId="4" fillId="0" borderId="0" xfId="1" applyFont="1"/>
    <xf numFmtId="0" fontId="5" fillId="0" borderId="0" xfId="1" applyFont="1"/>
    <xf numFmtId="4" fontId="3" fillId="0" borderId="5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horizontal="left" vertical="center"/>
    </xf>
    <xf numFmtId="10" fontId="7" fillId="0" borderId="0" xfId="1" applyNumberFormat="1" applyFont="1"/>
    <xf numFmtId="4" fontId="4" fillId="0" borderId="0" xfId="1" applyNumberFormat="1" applyFont="1"/>
    <xf numFmtId="0" fontId="8" fillId="0" borderId="0" xfId="1" applyFont="1"/>
    <xf numFmtId="4" fontId="8" fillId="0" borderId="0" xfId="1" applyNumberFormat="1" applyFont="1"/>
    <xf numFmtId="10" fontId="8" fillId="0" borderId="0" xfId="1" applyNumberFormat="1" applyFont="1"/>
    <xf numFmtId="0" fontId="3" fillId="4" borderId="5" xfId="1" applyFont="1" applyFill="1" applyBorder="1" applyAlignment="1">
      <alignment horizontal="left" vertical="center"/>
    </xf>
    <xf numFmtId="0" fontId="4" fillId="0" borderId="0" xfId="1" applyNumberFormat="1" applyFont="1"/>
    <xf numFmtId="10" fontId="4" fillId="0" borderId="0" xfId="1" applyNumberFormat="1" applyFont="1"/>
    <xf numFmtId="0" fontId="1" fillId="3" borderId="9" xfId="0" applyFont="1" applyFill="1" applyBorder="1"/>
    <xf numFmtId="0" fontId="0" fillId="2" borderId="0" xfId="0" quotePrefix="1" applyFill="1"/>
    <xf numFmtId="0" fontId="0" fillId="5" borderId="0" xfId="0" applyFill="1"/>
    <xf numFmtId="0" fontId="0" fillId="0" borderId="0" xfId="0" quotePrefix="1" applyFill="1"/>
    <xf numFmtId="0" fontId="0" fillId="2" borderId="0" xfId="0" applyNumberFormat="1" applyFill="1"/>
    <xf numFmtId="0" fontId="0" fillId="0" borderId="0" xfId="0" applyFill="1"/>
    <xf numFmtId="0" fontId="0" fillId="0" borderId="0" xfId="0" applyNumberFormat="1" applyFill="1"/>
    <xf numFmtId="4" fontId="0" fillId="0" borderId="0" xfId="0" applyNumberFormat="1" applyFill="1"/>
    <xf numFmtId="0" fontId="0" fillId="0" borderId="4" xfId="0" applyFont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" fontId="9" fillId="0" borderId="0" xfId="0" applyNumberFormat="1" applyFont="1"/>
    <xf numFmtId="2" fontId="0" fillId="0" borderId="0" xfId="0" applyNumberFormat="1" applyBorder="1"/>
    <xf numFmtId="0" fontId="0" fillId="0" borderId="4" xfId="0" applyFont="1" applyFill="1" applyBorder="1"/>
    <xf numFmtId="4" fontId="9" fillId="2" borderId="0" xfId="0" applyNumberFormat="1" applyFont="1" applyFill="1"/>
    <xf numFmtId="4" fontId="9" fillId="0" borderId="0" xfId="0" applyNumberFormat="1" applyFont="1" applyBorder="1"/>
    <xf numFmtId="4" fontId="9" fillId="0" borderId="0" xfId="0" applyNumberFormat="1" applyFont="1" applyFill="1" applyBorder="1"/>
    <xf numFmtId="4" fontId="9" fillId="2" borderId="0" xfId="0" applyNumberFormat="1" applyFont="1" applyFill="1" applyBorder="1"/>
    <xf numFmtId="4" fontId="9" fillId="0" borderId="0" xfId="0" applyNumberFormat="1" applyFont="1" applyFill="1"/>
    <xf numFmtId="0" fontId="0" fillId="2" borderId="0" xfId="0" applyNumberFormat="1" applyFill="1" applyBorder="1"/>
    <xf numFmtId="0" fontId="10" fillId="0" borderId="1" xfId="0" applyFont="1" applyBorder="1"/>
    <xf numFmtId="0" fontId="10" fillId="0" borderId="4" xfId="0" applyFont="1" applyBorder="1"/>
    <xf numFmtId="0" fontId="0" fillId="2" borderId="4" xfId="0" applyFont="1" applyFill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Alignment="1">
      <alignment vertical="center" wrapText="1"/>
    </xf>
    <xf numFmtId="0" fontId="3" fillId="6" borderId="5" xfId="1" applyFont="1" applyFill="1" applyBorder="1" applyAlignment="1">
      <alignment horizontal="left" vertical="center"/>
    </xf>
    <xf numFmtId="0" fontId="3" fillId="4" borderId="5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12" fillId="0" borderId="4" xfId="0" applyFont="1" applyBorder="1"/>
    <xf numFmtId="0" fontId="3" fillId="0" borderId="5" xfId="1" applyFont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4" fillId="0" borderId="0" xfId="1" applyFont="1" applyFill="1"/>
    <xf numFmtId="4" fontId="4" fillId="0" borderId="0" xfId="1" applyNumberFormat="1" applyFont="1" applyFill="1"/>
    <xf numFmtId="4" fontId="0" fillId="0" borderId="0" xfId="0" quotePrefix="1" applyNumberFormat="1"/>
    <xf numFmtId="10" fontId="4" fillId="0" borderId="0" xfId="3" applyNumberFormat="1" applyFont="1"/>
    <xf numFmtId="10" fontId="3" fillId="0" borderId="5" xfId="3" applyNumberFormat="1" applyFont="1" applyBorder="1" applyAlignment="1">
      <alignment horizontal="right" vertical="center"/>
    </xf>
    <xf numFmtId="10" fontId="6" fillId="0" borderId="5" xfId="3" applyNumberFormat="1" applyFont="1" applyBorder="1" applyAlignment="1">
      <alignment horizontal="right" vertical="center"/>
    </xf>
    <xf numFmtId="10" fontId="6" fillId="6" borderId="5" xfId="3" applyNumberFormat="1" applyFont="1" applyFill="1" applyBorder="1" applyAlignment="1">
      <alignment horizontal="right" vertical="center"/>
    </xf>
    <xf numFmtId="10" fontId="3" fillId="6" borderId="5" xfId="3" applyNumberFormat="1" applyFont="1" applyFill="1" applyBorder="1" applyAlignment="1">
      <alignment horizontal="right" vertical="center"/>
    </xf>
    <xf numFmtId="10" fontId="6" fillId="4" borderId="5" xfId="3" applyNumberFormat="1" applyFont="1" applyFill="1" applyBorder="1" applyAlignment="1">
      <alignment horizontal="right" vertical="center"/>
    </xf>
    <xf numFmtId="10" fontId="3" fillId="4" borderId="5" xfId="3" applyNumberFormat="1" applyFont="1" applyFill="1" applyBorder="1" applyAlignment="1">
      <alignment horizontal="right" vertical="center"/>
    </xf>
    <xf numFmtId="10" fontId="6" fillId="0" borderId="5" xfId="3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Alignment="1">
      <alignment wrapText="1"/>
    </xf>
    <xf numFmtId="0" fontId="4" fillId="0" borderId="0" xfId="3" applyNumberFormat="1" applyFont="1"/>
    <xf numFmtId="0" fontId="13" fillId="0" borderId="4" xfId="0" applyFont="1" applyBorder="1"/>
    <xf numFmtId="0" fontId="0" fillId="0" borderId="4" xfId="0" applyFill="1" applyBorder="1"/>
    <xf numFmtId="0" fontId="0" fillId="7" borderId="0" xfId="0" applyFill="1"/>
    <xf numFmtId="4" fontId="9" fillId="7" borderId="0" xfId="0" applyNumberFormat="1" applyFont="1" applyFill="1"/>
    <xf numFmtId="0" fontId="0" fillId="7" borderId="0" xfId="0" applyNumberFormat="1" applyFill="1"/>
    <xf numFmtId="4" fontId="0" fillId="7" borderId="0" xfId="0" applyNumberFormat="1" applyFill="1"/>
    <xf numFmtId="0" fontId="0" fillId="7" borderId="0" xfId="0" applyFill="1" applyBorder="1"/>
    <xf numFmtId="0" fontId="0" fillId="8" borderId="0" xfId="0" applyFill="1"/>
    <xf numFmtId="0" fontId="0" fillId="8" borderId="0" xfId="0" applyNumberFormat="1" applyFill="1"/>
    <xf numFmtId="4" fontId="9" fillId="8" borderId="0" xfId="0" applyNumberFormat="1" applyFont="1" applyFill="1"/>
    <xf numFmtId="4" fontId="0" fillId="8" borderId="0" xfId="0" applyNumberFormat="1" applyFill="1"/>
    <xf numFmtId="0" fontId="0" fillId="9" borderId="0" xfId="0" applyFill="1"/>
    <xf numFmtId="0" fontId="0" fillId="9" borderId="0" xfId="0" applyNumberFormat="1" applyFill="1"/>
    <xf numFmtId="4" fontId="9" fillId="9" borderId="0" xfId="0" applyNumberFormat="1" applyFont="1" applyFill="1"/>
    <xf numFmtId="4" fontId="0" fillId="9" borderId="0" xfId="0" applyNumberFormat="1" applyFill="1"/>
    <xf numFmtId="0" fontId="0" fillId="10" borderId="0" xfId="0" applyFill="1" applyBorder="1"/>
    <xf numFmtId="0" fontId="0" fillId="10" borderId="0" xfId="0" applyFill="1"/>
    <xf numFmtId="4" fontId="9" fillId="10" borderId="0" xfId="0" applyNumberFormat="1" applyFont="1" applyFill="1" applyBorder="1"/>
    <xf numFmtId="0" fontId="0" fillId="10" borderId="1" xfId="0" applyFont="1" applyFill="1" applyBorder="1"/>
    <xf numFmtId="0" fontId="0" fillId="10" borderId="0" xfId="0" applyNumberFormat="1" applyFill="1" applyBorder="1"/>
    <xf numFmtId="0" fontId="0" fillId="10" borderId="0" xfId="0" applyNumberFormat="1" applyFill="1"/>
    <xf numFmtId="0" fontId="10" fillId="10" borderId="4" xfId="0" applyFont="1" applyFill="1" applyBorder="1"/>
    <xf numFmtId="0" fontId="10" fillId="10" borderId="1" xfId="0" applyFont="1" applyFill="1" applyBorder="1"/>
    <xf numFmtId="0" fontId="0" fillId="0" borderId="0" xfId="0" applyAlignment="1">
      <alignment horizontal="left" indent="2"/>
    </xf>
    <xf numFmtId="4" fontId="4" fillId="0" borderId="0" xfId="3" applyNumberFormat="1" applyFont="1"/>
    <xf numFmtId="0" fontId="14" fillId="0" borderId="4" xfId="0" applyFont="1" applyBorder="1"/>
    <xf numFmtId="0" fontId="15" fillId="2" borderId="0" xfId="0" applyFont="1" applyFill="1"/>
    <xf numFmtId="0" fontId="15" fillId="2" borderId="0" xfId="0" applyNumberFormat="1" applyFont="1" applyFill="1"/>
    <xf numFmtId="0" fontId="15" fillId="2" borderId="0" xfId="0" applyFont="1" applyFill="1" applyBorder="1"/>
    <xf numFmtId="4" fontId="16" fillId="2" borderId="0" xfId="0" applyNumberFormat="1" applyFont="1" applyFill="1"/>
    <xf numFmtId="4" fontId="15" fillId="2" borderId="0" xfId="0" applyNumberFormat="1" applyFont="1" applyFill="1"/>
    <xf numFmtId="0" fontId="9" fillId="0" borderId="0" xfId="0" applyNumberFormat="1" applyFont="1"/>
    <xf numFmtId="0" fontId="0" fillId="2" borderId="0" xfId="0" applyFill="1" applyAlignment="1">
      <alignment horizontal="left"/>
    </xf>
    <xf numFmtId="3" fontId="6" fillId="0" borderId="5" xfId="1" applyNumberFormat="1" applyFont="1" applyBorder="1" applyAlignment="1">
      <alignment horizontal="right" vertical="center"/>
    </xf>
    <xf numFmtId="3" fontId="6" fillId="6" borderId="5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3" fillId="6" borderId="5" xfId="1" applyNumberFormat="1" applyFont="1" applyFill="1" applyBorder="1" applyAlignment="1">
      <alignment horizontal="right" vertical="center"/>
    </xf>
    <xf numFmtId="3" fontId="6" fillId="4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9" fontId="4" fillId="0" borderId="0" xfId="3" applyFont="1"/>
    <xf numFmtId="0" fontId="17" fillId="0" borderId="4" xfId="0" applyFont="1" applyFill="1" applyBorder="1"/>
    <xf numFmtId="0" fontId="17" fillId="0" borderId="4" xfId="0" applyFont="1" applyBorder="1"/>
    <xf numFmtId="0" fontId="2" fillId="0" borderId="4" xfId="0" applyFont="1" applyBorder="1"/>
    <xf numFmtId="0" fontId="18" fillId="0" borderId="0" xfId="0" pivotButton="1" applyFont="1"/>
    <xf numFmtId="0" fontId="19" fillId="0" borderId="4" xfId="0" applyFont="1" applyBorder="1"/>
    <xf numFmtId="0" fontId="20" fillId="0" borderId="5" xfId="1" applyFont="1" applyBorder="1" applyAlignment="1">
      <alignment horizontal="right" vertical="center"/>
    </xf>
    <xf numFmtId="3" fontId="22" fillId="0" borderId="5" xfId="1" applyNumberFormat="1" applyFont="1" applyBorder="1" applyAlignment="1">
      <alignment horizontal="right" vertical="center"/>
    </xf>
    <xf numFmtId="10" fontId="22" fillId="0" borderId="5" xfId="3" applyNumberFormat="1" applyFont="1" applyBorder="1" applyAlignment="1">
      <alignment horizontal="right" vertical="center"/>
    </xf>
    <xf numFmtId="4" fontId="23" fillId="0" borderId="0" xfId="1" applyNumberFormat="1" applyFont="1"/>
    <xf numFmtId="10" fontId="23" fillId="0" borderId="0" xfId="1" applyNumberFormat="1" applyFont="1"/>
    <xf numFmtId="0" fontId="23" fillId="0" borderId="0" xfId="1" applyFont="1"/>
    <xf numFmtId="4" fontId="23" fillId="0" borderId="0" xfId="1" applyNumberFormat="1" applyFont="1" applyFill="1"/>
    <xf numFmtId="0" fontId="22" fillId="0" borderId="5" xfId="1" applyFont="1" applyBorder="1" applyAlignment="1">
      <alignment horizontal="right" vertical="center"/>
    </xf>
    <xf numFmtId="4" fontId="23" fillId="0" borderId="0" xfId="1" applyNumberFormat="1" applyFont="1" applyFill="1" applyAlignment="1">
      <alignment horizontal="right"/>
    </xf>
    <xf numFmtId="4" fontId="23" fillId="0" borderId="0" xfId="1" applyNumberFormat="1" applyFont="1" applyAlignment="1">
      <alignment horizontal="right"/>
    </xf>
    <xf numFmtId="10" fontId="23" fillId="0" borderId="0" xfId="1" applyNumberFormat="1" applyFont="1" applyAlignment="1">
      <alignment horizontal="right"/>
    </xf>
    <xf numFmtId="0" fontId="23" fillId="0" borderId="0" xfId="1" applyFont="1" applyAlignment="1">
      <alignment horizontal="right"/>
    </xf>
    <xf numFmtId="0" fontId="23" fillId="0" borderId="0" xfId="1" applyFont="1" applyFill="1" applyAlignment="1">
      <alignment horizontal="right"/>
    </xf>
    <xf numFmtId="0" fontId="24" fillId="0" borderId="0" xfId="1" applyFont="1"/>
    <xf numFmtId="3" fontId="21" fillId="4" borderId="5" xfId="1" applyNumberFormat="1" applyFont="1" applyFill="1" applyBorder="1" applyAlignment="1">
      <alignment horizontal="right" vertical="center"/>
    </xf>
    <xf numFmtId="3" fontId="22" fillId="0" borderId="5" xfId="1" applyNumberFormat="1" applyFont="1" applyBorder="1" applyAlignment="1">
      <alignment horizontal="center" vertical="center"/>
    </xf>
    <xf numFmtId="3" fontId="20" fillId="0" borderId="5" xfId="1" applyNumberFormat="1" applyFont="1" applyBorder="1" applyAlignment="1">
      <alignment horizontal="center" vertical="center"/>
    </xf>
    <xf numFmtId="3" fontId="22" fillId="0" borderId="5" xfId="1" applyNumberFormat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6" borderId="5" xfId="1" applyFont="1" applyFill="1" applyBorder="1" applyAlignment="1">
      <alignment horizontal="left" vertical="center"/>
    </xf>
    <xf numFmtId="0" fontId="3" fillId="0" borderId="5" xfId="1" applyFont="1" applyBorder="1" applyAlignment="1">
      <alignment horizontal="left" vertical="center" wrapText="1"/>
    </xf>
    <xf numFmtId="0" fontId="3" fillId="4" borderId="5" xfId="1" applyFont="1" applyFill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6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Percent" xfId="3" builtinId="5"/>
    <cellStyle name="Percent 2" xfId="2"/>
  </cellStyles>
  <dxfs count="7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4" formatCode="#,##0.00"/>
    </dxf>
    <dxf>
      <font>
        <b/>
      </font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4" formatCode="#,##0.00"/>
    </dxf>
    <dxf>
      <font>
        <b/>
      </font>
      <numFmt numFmtId="4" formatCode="#,##0.00"/>
    </dxf>
    <dxf>
      <numFmt numFmtId="4" formatCode="#,##0.00"/>
    </dxf>
    <dxf>
      <font>
        <b/>
      </font>
      <numFmt numFmtId="4" formatCode="#,##0.00"/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</font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</dxf>
    <dxf>
      <numFmt numFmtId="0" formatCode="General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</font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numFmt numFmtId="4" formatCode="#,##0.00"/>
    </dxf>
    <dxf>
      <numFmt numFmtId="3" formatCode="#,##0"/>
    </dxf>
    <dxf>
      <numFmt numFmtId="3" formatCode="#,##0"/>
    </dxf>
    <dxf>
      <numFmt numFmtId="165" formatCode="#,##0.0"/>
    </dxf>
    <dxf>
      <numFmt numFmtId="4" formatCode="#,##0.00"/>
    </dxf>
    <dxf>
      <numFmt numFmtId="166" formatCode="#,##0.000"/>
    </dxf>
    <dxf>
      <numFmt numFmtId="4" formatCode="#,##0.00"/>
    </dxf>
    <dxf>
      <numFmt numFmtId="3" formatCode="#,##0"/>
    </dxf>
    <dxf>
      <numFmt numFmtId="1" formatCode="0"/>
    </dxf>
    <dxf>
      <numFmt numFmtId="1" formatCode="0"/>
    </dxf>
    <dxf>
      <numFmt numFmtId="3" formatCode="#,##0"/>
    </dxf>
    <dxf>
      <numFmt numFmtId="1" formatCode="0"/>
    </dxf>
    <dxf>
      <numFmt numFmtId="4" formatCode="#,##0.00"/>
    </dxf>
    <dxf>
      <numFmt numFmtId="4" formatCode="#,##0.00"/>
    </dxf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" formatCode="#,##0.00"/>
    </dxf>
    <dxf>
      <font>
        <color theme="0" tint="-0.34998626667073579"/>
      </font>
    </dxf>
    <dxf>
      <font>
        <color theme="0" tint="-0.249977111117893"/>
      </font>
    </dxf>
  </dxfs>
  <tableStyles count="0" defaultTableStyle="TableStyleMedium2" defaultPivotStyle="PivotStyleLight16"/>
  <colors>
    <mruColors>
      <color rgb="FFD9E1F2"/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5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4.xml"/><Relationship Id="rId27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iina" refreshedDate="43845.671311805556" createdVersion="6" refreshedVersion="6" minRefreshableVersion="3" recordCount="28">
  <cacheSource type="worksheet">
    <worksheetSource ref="A1:Q29" sheet="Investeeringute lisa"/>
  </cacheSource>
  <cacheFields count="17">
    <cacheField name="Valdkond" numFmtId="0">
      <sharedItems count="6">
        <s v="01"/>
        <s v="04"/>
        <s v="06"/>
        <s v="08"/>
        <s v="09"/>
        <s v="10"/>
      </sharedItems>
    </cacheField>
    <cacheField name="Tegevusala" numFmtId="0">
      <sharedItems/>
    </cacheField>
    <cacheField name="Tegevusala nimetus2" numFmtId="0">
      <sharedItems count="20">
        <s v=" Valla- ja linnavalitsus"/>
        <s v=" Kohaliku omavalitsuse üksuse reservfond"/>
        <s v="Maanteetransport"/>
        <s v="Veevarustus"/>
        <s v="Tänavavalgustus"/>
        <s v="Laekvere teeninduspiirkond"/>
        <s v=" Kergliiklusteed"/>
        <s v="Viru-Jaagupi Rahvaraamatukogu"/>
        <s v=" Pajusti klubi"/>
        <s v="Laekvere Rahvamaja"/>
        <s v=" Muu vaba aeg, kultuur, religioon, sh haldus"/>
        <s v=" Pajusti Lasteaed"/>
        <s v="Muuga-Laekvere Kool"/>
        <s v=" Roela kool"/>
        <s v=" Tudu kool"/>
        <s v=" Vinni-Pajusti Gümnaasium"/>
        <s v=" Noorte huviharidus ja huvitegevus"/>
        <s v=" Ulvi Kodu"/>
        <s v=" Muu sotsiaalsete riskirühmade kaitse"/>
        <s v=" Kulina Lasteaed"/>
      </sharedItems>
    </cacheField>
    <cacheField name="Tegevusala alanimetus" numFmtId="0">
      <sharedItems/>
    </cacheField>
    <cacheField name="Tegevusala koondnimetus" numFmtId="0">
      <sharedItems/>
    </cacheField>
    <cacheField name="Eelarve eest vastutav" numFmtId="0">
      <sharedItems/>
    </cacheField>
    <cacheField name="Tegevuse kirjeldus" numFmtId="0">
      <sharedItems count="25">
        <s v="Vallamaja küttesüsteem"/>
        <s v="Vinni-Pajusti avaliku ruumi arendamine (Kirjandustammik, vaateplatvorm, VPG ala)"/>
        <s v="Avalike mänguväljakute ja sportimispaikade rajamine"/>
        <s v="Kaasav eelarve"/>
        <s v="Ettevõtlust/turismi toetava taristu arendamine, sh kiire internetiühenduse leviku toetamine valla territooriumil"/>
        <s v="Alevike kanalisatsioon"/>
        <s v="ÜVK arendamise kava investeeringute kaasrahastamine"/>
        <s v="Tänavalgustuse rekonstrueerimine"/>
        <s v="Laekvere kompostimisväljaku rajamine"/>
        <s v="Laekvere kergliiklustee"/>
        <s v="Viru-Jaagupi – Kannastiku kergliiklustee"/>
        <s v="Viru-Jaagupi rahvaraamatukogu küttesüsteemi üleviimine pelletküttele"/>
        <s v="Pajusti klubi katus"/>
        <s v="Laekvere Rahvamaja keldrisse lasketiiru rajamine"/>
        <s v="Laekvere Rahvamaja, soojustuse projekteerimine ja noortetoa ventilatsioon"/>
        <s v="Raudteepärandi projektis osalemine"/>
        <s v="Pajusti Lasteaia rühmaruumide remont"/>
        <s v="Muuga-Laekvere Kooli Laekvere koolimaja katuse vahetus, fassaadi remont"/>
        <s v="Roela kool-küttesüsteem ja fassaad"/>
        <s v="Tudu Kooli küttesüsteemi üleviimine pelletküttele"/>
        <s v="Vinni-Pajusti Gümnaasiumi küttesüsteemi rekonstrueerimine"/>
        <s v="Lasteaedade ja koolide õues õppetingimuste loomine"/>
        <s v="Ulvi Kodu rekonstrueerimine"/>
        <s v="Ulvi teeninduskeskuse / arstipunkti soojustamine"/>
        <s v="2019.a investeering lasteaia reovesi"/>
      </sharedItems>
    </cacheField>
    <cacheField name="2020. EA " numFmtId="0">
      <sharedItems containsSemiMixedTypes="0" containsString="0" containsNumber="1" minValue="1958.4" maxValue="470000"/>
    </cacheField>
    <cacheField name="Märkused" numFmtId="0">
      <sharedItems containsMixedTypes="1" containsNumber="1" containsInteger="1" minValue="0" maxValue="0"/>
    </cacheField>
    <cacheField name="Konto" numFmtId="0">
      <sharedItems containsSemiMixedTypes="0" containsString="0" containsNumber="1" containsInteger="1" minValue="1550" maxValue="1551"/>
    </cacheField>
    <cacheField name="Konto nimetus" numFmtId="0">
      <sharedItems/>
    </cacheField>
    <cacheField name="Tulu/kulu liik2" numFmtId="0">
      <sharedItems containsSemiMixedTypes="0" containsString="0" containsNumber="1" containsInteger="1" minValue="15" maxValue="15"/>
    </cacheField>
    <cacheField name="Konto grupp" numFmtId="0">
      <sharedItems/>
    </cacheField>
    <cacheField name="Kontode koondnimetus" numFmtId="0">
      <sharedItems/>
    </cacheField>
    <cacheField name="Kontode alanimetus" numFmtId="0">
      <sharedItems/>
    </cacheField>
    <cacheField name="Tulu/kulu liigi grupp" numFmtId="0">
      <sharedItems/>
    </cacheField>
    <cacheField name="Lisaeelarve / €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iina" refreshedDate="43854.381903472226" createdVersion="5" refreshedVersion="6" minRefreshableVersion="3" recordCount="45">
  <cacheSource type="worksheet">
    <worksheetSource name="Table6"/>
  </cacheSource>
  <cacheFields count="21">
    <cacheField name="Valdkond" numFmtId="0">
      <sharedItems/>
    </cacheField>
    <cacheField name="Tegevusala" numFmtId="0">
      <sharedItems/>
    </cacheField>
    <cacheField name="Tegevusala nimetus2" numFmtId="0">
      <sharedItems/>
    </cacheField>
    <cacheField name="Tegevusala alanimetus" numFmtId="0">
      <sharedItems/>
    </cacheField>
    <cacheField name="Tegevusala koondnimetus" numFmtId="0">
      <sharedItems/>
    </cacheField>
    <cacheField name="Eelarve eest vastutav" numFmtId="0">
      <sharedItems/>
    </cacheField>
    <cacheField name="Tegevuse kirjeldus" numFmtId="0">
      <sharedItems containsBlank="1"/>
    </cacheField>
    <cacheField name="ühik" numFmtId="0">
      <sharedItems containsString="0" containsBlank="1" containsNumber="1" minValue="1" maxValue="221"/>
    </cacheField>
    <cacheField name="ühik2" numFmtId="0">
      <sharedItems containsBlank="1"/>
    </cacheField>
    <cacheField name="ühik3" numFmtId="0">
      <sharedItems containsString="0" containsBlank="1" containsNumber="1" minValue="1" maxValue="84.8"/>
    </cacheField>
    <cacheField name="ühik4" numFmtId="0">
      <sharedItems containsBlank="1"/>
    </cacheField>
    <cacheField name="hind" numFmtId="0">
      <sharedItems containsString="0" containsBlank="1" containsNumber="1" minValue="0.75" maxValue="5238779"/>
    </cacheField>
    <cacheField name="2020. EA " numFmtId="4">
      <sharedItems containsSemiMixedTypes="0" containsString="0" containsNumber="1" minValue="0" maxValue="5657881.3200000003"/>
    </cacheField>
    <cacheField name="Märkused" numFmtId="0">
      <sharedItems containsBlank="1"/>
    </cacheField>
    <cacheField name="Konto" numFmtId="0">
      <sharedItems containsSemiMixedTypes="0" containsString="0" containsNumber="1" containsInteger="1" minValue="320" maxValue="38254"/>
    </cacheField>
    <cacheField name="Konto nimetus" numFmtId="0">
      <sharedItems/>
    </cacheField>
    <cacheField name="Tulu/kulu liik2" numFmtId="0">
      <sharedItems containsSemiMixedTypes="0" containsString="0" containsNumber="1" containsInteger="1" minValue="32" maxValue="38254"/>
    </cacheField>
    <cacheField name="Konto grupp" numFmtId="0">
      <sharedItems count="6">
        <s v="32"/>
        <s v="30"/>
        <s v="38"/>
        <s v="35"/>
        <s v="20"/>
        <s v="" u="1"/>
      </sharedItems>
    </cacheField>
    <cacheField name="Kontode koondnimetus" numFmtId="0">
      <sharedItems count="7">
        <s v="Tulud kaupade ja teenuste müügist"/>
        <s v="Maksutulud"/>
        <s v="Muud tegevustulud"/>
        <s v="Muud saadud toetused tegevuskuludeks"/>
        <s v="Põhivara soetuseks saadav sihtfinantseerimine (+)"/>
        <s v="Saadavad toetused tegevuskuludeks" u="1"/>
        <e v="#N/A" u="1"/>
      </sharedItems>
    </cacheField>
    <cacheField name="Kontode alanimetus" numFmtId="0">
      <sharedItems count="10">
        <s v="Tulud kaupade ja teenuste müügist"/>
        <s v="Füüsilise isiku tulumaks"/>
        <s v="Kohaliku tähtsusega maardlate kaevandamisõiguse tasu"/>
        <s v="Laekumine vee erikasutusest"/>
        <s v="Saastetasud ja keskkonnale tekitatud kahju hüvitis"/>
        <s v="Mittesihtotstarbelised toetused"/>
        <s v="Põhivara soetuseks saadav sihtfinantseerimine (+)"/>
        <s v="Maamaks" u="1"/>
        <s v="Muud saadud toetused tegevuskuludeks" u="1"/>
        <e v="#N/A" u="1"/>
      </sharedItems>
    </cacheField>
    <cacheField name="Tulu/kulu liigi grup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iina" refreshedDate="43854.466667129629" createdVersion="6" refreshedVersion="6" minRefreshableVersion="3" recordCount="1230">
  <cacheSource type="worksheet">
    <worksheetSource ref="A1:Q1231" sheet="Põhitegevuskulud"/>
  </cacheSource>
  <cacheFields count="17">
    <cacheField name="Valdkond" numFmtId="0">
      <sharedItems count="10">
        <s v="01"/>
        <s v="02"/>
        <s v="03"/>
        <s v="04"/>
        <s v="05"/>
        <s v="06"/>
        <s v="07"/>
        <s v="08"/>
        <s v="09"/>
        <s v="10"/>
      </sharedItems>
    </cacheField>
    <cacheField name="Tegevusala" numFmtId="0">
      <sharedItems count="99">
        <s v="01111           "/>
        <s v="01112           "/>
        <s v="01114           "/>
        <s v="01800           "/>
        <s v="02500           "/>
        <s v="03200           "/>
        <s v="04510           "/>
        <s v="04600           "/>
        <s v="04900           "/>
        <s v="05100           "/>
        <s v="05600           "/>
        <s v="06400           "/>
        <s v="0660501         "/>
        <s v="0660511"/>
        <s v="0660510"/>
        <s v="0660507         "/>
        <s v="0660508         "/>
        <s v="0660509         "/>
        <s v="07600           "/>
        <s v="0810201         "/>
        <s v="0810202         "/>
        <s v="0810203         "/>
        <s v="0810204         "/>
        <s v="0810205         "/>
        <s v="0810207         "/>
        <s v="0810208"/>
        <s v="0810701         "/>
        <s v="0810703         "/>
        <s v="0810704"/>
        <s v="0810705"/>
        <s v="0810903         "/>
        <s v="0810904         "/>
        <s v="0810905         "/>
        <s v="0810907         "/>
        <s v="0810908         "/>
        <s v="0820101         "/>
        <s v="0820102         "/>
        <s v="0820103         "/>
        <s v="0820104         "/>
        <s v="0820105         "/>
        <s v="0820106         "/>
        <s v="0820201         "/>
        <s v="0820202         "/>
        <s v="0820203         "/>
        <s v="0820205         "/>
        <s v="0820206         "/>
        <s v="0820207         "/>
        <s v="0820301"/>
        <s v="08300           "/>
        <s v="08600           "/>
        <s v="0911001         "/>
        <s v="0911002         "/>
        <s v="0911003         "/>
        <s v="0911004         "/>
        <s v="0911005         "/>
        <s v="0911006         "/>
        <s v="0911007         "/>
        <s v="0911008         "/>
        <s v="0921208"/>
        <s v="0921203         "/>
        <s v="0921204         "/>
        <s v="0921205         "/>
        <s v="0921206         "/>
        <s v="0921207         "/>
        <s v="0921302         "/>
        <s v="09510           "/>
        <s v="09600           "/>
        <s v="0960201         "/>
        <s v="0980002         "/>
        <s v="0980003         "/>
        <s v="0980004"/>
        <s v="10110"/>
        <s v="10120           "/>
        <s v="1012101         "/>
        <s v="1012102         "/>
        <s v="1012103         "/>
        <s v="1012104         "/>
        <s v="1012105         "/>
        <s v="101212          "/>
        <s v="1020001         "/>
        <s v="1020002         "/>
        <s v="1020003         "/>
        <s v="1020004         "/>
        <s v="1020101         "/>
        <s v="1020102         "/>
        <s v="1020103         "/>
        <s v="1040001         "/>
        <s v="1040002         "/>
        <s v="1040202         "/>
        <s v="1040203         "/>
        <s v="1040204         "/>
        <s v="1040205         "/>
        <s v="1040207         "/>
        <s v="1040208         "/>
        <s v="10500           "/>
        <s v="10600           "/>
        <s v="10701           "/>
        <s v="10702           "/>
        <s v="10900           "/>
      </sharedItems>
    </cacheField>
    <cacheField name="Tegevusala nimetus2" numFmtId="0">
      <sharedItems count="94">
        <s v=" Valla- ja linnavolikogu"/>
        <s v=" Valla- ja linnavalitsus"/>
        <s v=" Kohaliku omavalitsuse üksuse reservfond"/>
        <s v=" Üldiseloomuga ülekanded valitsussektoris"/>
        <s v=" Muu riigikaitse"/>
        <s v=" Päästeteenused"/>
        <s v="Maanteetransport"/>
        <s v=" Side"/>
        <s v=" Muu majandus (sh majanduse haldus)"/>
        <s v=" Jäätmekäitlus"/>
        <s v="Muu keskkonnakaitse (sh keskkonnakaitse haldus)"/>
        <s v="Tänavavalgustus"/>
        <s v="Laekvere teeninduspiirkond"/>
        <s v="Ulvi, Vinni-Pajusti teeninduspiirkond"/>
        <s v="Roela, Tudu, Viru-Jaagupi teeninduspiirkond"/>
        <s v=" Saunad"/>
        <s v=" Kalmistud"/>
        <s v=" Hulkuvad loomad"/>
        <s v=" Muu tervishoid, sh tervishoiu haldamine"/>
        <s v=" Vinni Spordikompleks"/>
        <s v=" Muuga Spordihoone"/>
        <s v=" Staadion"/>
        <s v=" Toetused sportlastele"/>
        <s v=" Üritused"/>
        <s v=" Tervise edendamine"/>
        <s v=" Spordiseltside- ja klubide toetused MTÜ"/>
        <s v=" Noorsootöö haldus"/>
        <s v=" Projektide kaasfinantseerimine"/>
        <s v=" Lastelaagrid"/>
        <s v=" Vinni Valla Noored MTÜ"/>
        <s v=" Valla üritused"/>
        <s v=" Toetused MTÜ-le"/>
        <s v=" Kergliiklusteed"/>
        <s v=" Vilde kirjanduspreemia"/>
        <s v="Kultuuri projektide kaasfinantseerimised"/>
        <s v="Vinni-Pajusti Rahvaraamatukogu"/>
        <s v="Viru-Jaagupi Rahvaraamatukogu"/>
        <s v="Roela Rahvaraamatukogu"/>
        <s v="Tudu Rahvaraamatukogu"/>
        <s v="Ulvi Raamatukogu"/>
        <s v="Laekvere Raamatukogu"/>
        <s v=" Kadila Seltsimaja"/>
        <s v=" Pajusti klubi"/>
        <s v=" Roela Rahvamaja"/>
        <s v="Laekvere Rahvamaja"/>
        <s v="Venevere Seltsimaja"/>
        <s v="Ulvi Klubi"/>
        <s v="Vinni Vallamuuseum"/>
        <s v=" Ringhäälingu- ja kirjastamisteenused"/>
        <s v=" Muu vaba aeg, kultuur, religioon, sh haldus"/>
        <s v=" Vinni Lasteaed"/>
        <s v=" Pajusti Lasteaed"/>
        <s v=" Kulina Lasteaed"/>
        <s v=" Tudu Lasteaed"/>
        <s v=" Ulvi Lasteaed"/>
        <s v=" Laekvere Lasteaed"/>
        <s v=" Roela Lasteaed"/>
        <s v=" Kohatasud"/>
        <s v="Muuga-Laekvere Kool"/>
        <s v=" Roela kool"/>
        <s v=" Tudu kool"/>
        <s v=" Vinni-Pajusti Gümnaasium"/>
        <s v=" Põlula kool"/>
        <s v=" Noorte huviharidus ja huvitegevus"/>
        <s v=" Koolitransport"/>
        <s v=" Roela Õpilaskodu"/>
        <s v=" Haldus"/>
        <s v=" Halduse tagatavad kulud"/>
        <s v=" Haigete sotsiaalne kaitse"/>
        <s v=" Puuetega inimeste sotsiaalhoolekandeasutused"/>
        <s v=" Ravitoetused puuetega inimestele"/>
        <s v=" transport"/>
        <s v=" Hooldajad"/>
        <s v=" Muud"/>
        <s v=" Erivajadustega inimeste tugiteenus"/>
        <s v=" Hooldajatoetused"/>
        <s v=" Tammiku Kodu"/>
        <s v=" Ulvi Kodu"/>
        <s v=" Muud asutused"/>
        <s v=" Vinni päevakeskus"/>
        <s v=" Eakate toetused"/>
        <s v=" Juubeli toetused"/>
        <s v=" Vinni Perekodu"/>
        <s v=" Matusetoetus"/>
        <s v=" Ühekordsed toetused"/>
        <s v=" Ravitoetused perekondadele, lastele"/>
        <s v=" Sünnitoetused"/>
        <s v=" Tugiisikud (perekondade ja laste)"/>
        <s v=" Muud toetused"/>
        <s v=" Töötute sotsiaalne kaitse"/>
        <s v=" Eluasemeteenused sotsiaalsetele riskirühmadele"/>
        <s v=" Riiklik toimetulekutoetus"/>
        <s v=" Muu sotsiaalsete riskirühmade kaitse"/>
        <s v=" Muu sotsiaalne kaitse, sh sotsiaalse kaitse haldus"/>
      </sharedItems>
    </cacheField>
    <cacheField name="Tegevusala alanimetus" numFmtId="0">
      <sharedItems/>
    </cacheField>
    <cacheField name="Tegevusala koondnimetus" numFmtId="0">
      <sharedItems/>
    </cacheField>
    <cacheField name="Eelarve eest vastutav" numFmtId="0">
      <sharedItems/>
    </cacheField>
    <cacheField name="Tegevuse kirjeldus" numFmtId="0">
      <sharedItems/>
    </cacheField>
    <cacheField name="2020. EA " numFmtId="0">
      <sharedItems containsSemiMixedTypes="0" containsString="0" containsNumber="1" minValue="-21410.4399999999" maxValue="486305"/>
    </cacheField>
    <cacheField name="Märkused" numFmtId="0">
      <sharedItems containsMixedTypes="1" containsNumber="1" containsInteger="1" minValue="0" maxValue="5273878"/>
    </cacheField>
    <cacheField name="Konto" numFmtId="0">
      <sharedItems containsSemiMixedTypes="0" containsString="0" containsNumber="1" containsInteger="1" minValue="601" maxValue="413899" count="34">
        <n v="5500"/>
        <n v="5540"/>
        <n v="5504"/>
        <n v="5513"/>
        <n v="5511"/>
        <n v="5514"/>
        <n v="4528"/>
        <n v="5503"/>
        <n v="5515"/>
        <n v="5522"/>
        <n v="5523"/>
        <n v="5502"/>
        <n v="5532"/>
        <n v="608"/>
        <n v="5525"/>
        <n v="45008"/>
        <n v="5512"/>
        <n v="601"/>
        <n v="4500"/>
        <n v="5521"/>
        <n v="5524"/>
        <n v="4134"/>
        <n v="41337"/>
        <n v="41339"/>
        <n v="41332"/>
        <n v="4137"/>
        <n v="5526"/>
        <n v="41380"/>
        <n v="413899"/>
        <n v="41389"/>
        <n v="41309"/>
        <n v="41300"/>
        <n v="41329"/>
        <n v="4131"/>
      </sharedItems>
    </cacheField>
    <cacheField name="Konto nimetus" numFmtId="0">
      <sharedItems/>
    </cacheField>
    <cacheField name="Tulu/kulu liik2" numFmtId="0">
      <sharedItems containsSemiMixedTypes="0" containsString="0" containsNumber="1" containsInteger="1" minValue="55" maxValue="4500"/>
    </cacheField>
    <cacheField name="Konto grupp" numFmtId="0">
      <sharedItems/>
    </cacheField>
    <cacheField name="Kontode koondnimetus" numFmtId="0">
      <sharedItems count="2">
        <s v="Muud tegevuskulud"/>
        <s v="Antavad toetused tegevuskuludeks"/>
      </sharedItems>
    </cacheField>
    <cacheField name="Kontode alanimetus" numFmtId="0">
      <sharedItems count="5">
        <s v="Majandamiskulud"/>
        <s v="Mittesihtotstarbelised toetused"/>
        <s v="Muud kulud"/>
        <s v="Sihtotstarbelised toetused tegevuskuludeks"/>
        <s v="Sotsiaalabitoetused ja muud toetused füüsilistele isikutele"/>
      </sharedItems>
    </cacheField>
    <cacheField name="Tulu/kulu liigi grupp" numFmtId="0">
      <sharedItems/>
    </cacheField>
    <cacheField name="Lisaeelarve / €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Tiina" refreshedDate="43854.473390046296" createdVersion="5" refreshedVersion="6" minRefreshableVersion="3" recordCount="1287">
  <cacheSource type="worksheet">
    <worksheetSource name="Table2"/>
  </cacheSource>
  <cacheFields count="17">
    <cacheField name="Valdkond" numFmtId="0">
      <sharedItems count="11">
        <s v="01"/>
        <s v="09"/>
        <s v="02"/>
        <s v="03"/>
        <s v="04"/>
        <s v="05"/>
        <s v="06"/>
        <s v="07"/>
        <s v="08"/>
        <s v="10"/>
        <s v="" u="1"/>
      </sharedItems>
    </cacheField>
    <cacheField name="Tegevusala" numFmtId="0">
      <sharedItems count="112">
        <s v="01111           "/>
        <s v="01112           "/>
        <s v="0980003         "/>
        <s v="01114           "/>
        <s v="01700           "/>
        <s v="01800           "/>
        <s v="02500           "/>
        <s v="03200           "/>
        <s v="04510           "/>
        <s v="04600           "/>
        <s v="04900           "/>
        <s v="05100           "/>
        <s v="05600           "/>
        <s v="06300           "/>
        <s v="06400           "/>
        <s v="0660501         "/>
        <s v="0660511"/>
        <s v="0660510"/>
        <s v="0660507         "/>
        <s v="0660508         "/>
        <s v="0660509         "/>
        <s v="07600           "/>
        <s v="0810201         "/>
        <s v="0810202         "/>
        <s v="0810203         "/>
        <s v="0810204         "/>
        <s v="0810205         "/>
        <s v="0810207         "/>
        <s v="0810208"/>
        <s v="0810701         "/>
        <s v="0810703         "/>
        <s v="0810704"/>
        <s v="0810705"/>
        <s v="0810903         "/>
        <s v="0810904         "/>
        <s v="0810905         "/>
        <s v="0810907         "/>
        <s v="0810908         "/>
        <s v="0820101         "/>
        <s v="0820102         "/>
        <s v="0820103         "/>
        <s v="0820104         "/>
        <s v="0820105         "/>
        <s v="0820106         "/>
        <s v="0820201         "/>
        <s v="0820202         "/>
        <s v="0820203         "/>
        <s v="0820205         "/>
        <s v="0820206         "/>
        <s v="0820207         "/>
        <s v="0820301"/>
        <s v="08300           "/>
        <s v="08600           "/>
        <s v="0911001         "/>
        <s v="0911002         "/>
        <s v="0911003         "/>
        <s v="0911004         "/>
        <s v="0911005         "/>
        <s v="0911006         "/>
        <s v="0911007         "/>
        <s v="0911008         "/>
        <s v="0921208"/>
        <s v="0921203         "/>
        <s v="0921204         "/>
        <s v="0921205         "/>
        <s v="0921206         "/>
        <s v="0921207         "/>
        <s v="0921302         "/>
        <s v="09510           "/>
        <s v="09600           "/>
        <s v="0960201         "/>
        <s v="0980002         "/>
        <s v="0980004"/>
        <s v="10110"/>
        <s v="10120           "/>
        <s v="1012101         "/>
        <s v="1012102         "/>
        <s v="1012103         "/>
        <s v="1012104         "/>
        <s v="1012105         "/>
        <s v="101212          "/>
        <s v="1020001         "/>
        <s v="1020002         "/>
        <s v="1020003         "/>
        <s v="1020004         "/>
        <s v="1020101         "/>
        <s v="1020102         "/>
        <s v="1020103         "/>
        <s v="1040001         "/>
        <s v="1040002         "/>
        <s v="1040202         "/>
        <s v="1040203         "/>
        <s v="1040204         "/>
        <s v="1040205         "/>
        <s v="1040207         "/>
        <s v="1040208         "/>
        <s v="10500           "/>
        <s v="10600           "/>
        <s v="10701           "/>
        <s v="10702           "/>
        <s v="10900           "/>
        <s v="0820107         " u="1"/>
        <s v="0820108         " u="1"/>
        <s v="1012106         " u="1"/>
        <s v="0660502         " u="1"/>
        <s v="0660503         " u="1"/>
        <s v="0660504         " u="1"/>
        <s v="0660505         " u="1"/>
        <s v="0660506         " u="1"/>
        <s v="0921201         " u="1"/>
        <s v="0921202         " u="1"/>
        <s v="1020104" u="1"/>
      </sharedItems>
    </cacheField>
    <cacheField name="Tegevusala nimetus2" numFmtId="0">
      <sharedItems count="131">
        <s v=" Valla- ja linnavolikogu"/>
        <s v=" Valla- ja linnavalitsus"/>
        <s v=" Haldus"/>
        <s v=" Kohaliku omavalitsuse üksuse reservfond"/>
        <s v=" Valitsussektori võla teenindamine"/>
        <s v=" Üldiseloomuga ülekanded valitsussektoris"/>
        <s v=" Muu riigikaitse"/>
        <s v=" Päästeteenused"/>
        <s v="Maanteetransport"/>
        <s v=" Side"/>
        <s v=" Muu majandus (sh majanduse haldus)"/>
        <s v=" Jäätmekäitlus"/>
        <s v="Muu keskkonnakaitse (sh keskkonnakaitse haldus)"/>
        <s v="Veevarustus"/>
        <s v="Tänavavalgustus"/>
        <s v="Laekvere teeninduspiirkond"/>
        <s v="Ulvi, Vinni-Pajusti teeninduspiirkond"/>
        <s v="Roela, Tudu, Viru-Jaagupi teeninduspiirkond"/>
        <s v=" Saunad"/>
        <s v=" Kalmistud"/>
        <s v=" Hulkuvad loomad"/>
        <s v=" Muu tervishoid, sh tervishoiu haldamine"/>
        <s v=" Vinni Spordikompleks"/>
        <s v=" Muuga Spordihoone"/>
        <s v=" Staadion"/>
        <s v=" Toetused sportlastele"/>
        <s v=" Üritused"/>
        <s v=" Tervise edendamine"/>
        <s v=" Spordiseltside- ja klubide toetused MTÜ"/>
        <s v=" Noorsootöö haldus"/>
        <s v=" Projektide kaasfinantseerimine"/>
        <s v=" Lastelaagrid"/>
        <s v=" Vinni Valla Noored MTÜ"/>
        <s v=" Valla üritused"/>
        <s v=" Toetused MTÜ-le"/>
        <s v=" Kergliiklusteed"/>
        <s v=" Vilde kirjanduspreemia"/>
        <s v="Kultuuri projektide kaasfinantseerimised"/>
        <s v="Vinni-Pajusti Rahvaraamatukogu"/>
        <s v="Viru-Jaagupi Rahvaraamatukogu"/>
        <s v="Roela Rahvaraamatukogu"/>
        <s v="Tudu Rahvaraamatukogu"/>
        <s v="Ulvi Raamatukogu"/>
        <s v="Laekvere Raamatukogu"/>
        <s v=" Kadila Seltsimaja"/>
        <s v=" Pajusti klubi"/>
        <s v=" Roela Rahvamaja"/>
        <s v="Laekvere Rahvamaja"/>
        <s v="Venevere Seltsimaja"/>
        <s v="Ulvi Klubi"/>
        <s v="Vinni Vallamuuseum"/>
        <s v=" Ringhäälingu- ja kirjastamisteenused"/>
        <s v=" Muu vaba aeg, kultuur, religioon, sh haldus"/>
        <s v=" Vinni Lasteaed"/>
        <s v=" Pajusti Lasteaed"/>
        <s v=" Kulina Lasteaed"/>
        <s v=" Tudu Lasteaed"/>
        <s v=" Ulvi Lasteaed"/>
        <s v=" Laekvere Lasteaed"/>
        <s v=" Roela Lasteaed"/>
        <s v=" Kohatasud"/>
        <s v="Muuga-Laekvere Kool"/>
        <s v=" Roela kool"/>
        <s v=" Tudu kool"/>
        <s v=" Vinni-Pajusti Gümnaasium"/>
        <s v=" Põlula kool"/>
        <s v=" Noorte huviharidus ja huvitegevus"/>
        <s v=" Koolitransport"/>
        <s v=" Roela Õpilaskodu"/>
        <s v=" Halduse tagatavad kulud"/>
        <s v=" Haigete sotsiaalne kaitse"/>
        <s v=" Puuetega inimeste sotsiaalhoolekandeasutused"/>
        <s v=" Ravitoetused puuetega inimestele"/>
        <s v=" transport"/>
        <s v=" Hooldajad"/>
        <s v=" Muud"/>
        <s v=" Erivajadustega inimeste tugiteenus"/>
        <s v=" Hooldajatoetused"/>
        <s v=" Tammiku Kodu"/>
        <s v=" Ulvi Kodu"/>
        <s v=" Muud asutused"/>
        <s v=" Vinni päevakeskus"/>
        <s v=" Eakate toetused"/>
        <s v=" Juubeli toetused"/>
        <s v=" Vinni Perekodu"/>
        <s v=" Matusetoetus"/>
        <s v=" Ühekordsed toetused"/>
        <s v=" Ravitoetused perekondadele, lastele"/>
        <s v=" Sünnitoetused"/>
        <s v=" Tugiisikud (perekondade ja laste)"/>
        <s v=" Muud toetused"/>
        <s v=" Töötute sotsiaalne kaitse"/>
        <s v=" Eluasemeteenused sotsiaalsetele riskirühmadele"/>
        <s v=" Riiklik toimetulekutoetus"/>
        <s v=" Muu sotsiaalsete riskirühmade kaitse"/>
        <s v=" Muu sotsiaalne kaitse, sh sotsiaalse kaitse haldus"/>
        <s v=" Halduse tagatavad koolitused õpetajatele" u="1"/>
        <s v=" Tugiisikud puuetega inimestele" u="1"/>
        <s v=" Muu keskkonnakaitse (sh keskkonnakaitse haldus)" u="1"/>
        <s v=" Tudu halduspiirkond" u="1"/>
        <s v=" Rägavere halduspiirkond" u="1"/>
        <s v=" Venevere Seltsimaja" u="1"/>
        <s v=" Laekvere Raamatukogu" u="1"/>
        <s v=" Vinni pajusti Gümnaasium" u="1"/>
        <s v=" Viru-Jaagupi Raamatukogu" u="1"/>
        <s v=" Muuga Laekvere kool-Muuga õppehoone" u="1"/>
        <s v=" Tudu Raamatukogu" u="1"/>
        <s v=" Täiendav ravimitoetus" u="1"/>
        <s v=" Muuga-Laekvere Kool" u="1"/>
        <s v="Laekvere halduspiirkond" u="1"/>
        <s v=" Roela halduspiirkond" u="1"/>
        <s v=" Ulvi Klubi" u="1"/>
        <s v=" Laekvere Rahva Maja" u="1"/>
        <s v=" Muuga-laekvere kool-Laekvere õppehoone" u="1"/>
        <s v=" Laekvere halduspiirkond" u="1"/>
        <s v=" Muuga Raamatukogu" u="1"/>
        <s v=" Roela Raamatukogu" u="1"/>
        <s v=" Vinni Raamatukogu" u="1"/>
        <e v="#N/A" u="1"/>
        <s v=" Tänavavalgustus" u="1"/>
        <s v=" Venevere Raamatukogu" u="1"/>
        <s v=" Laekvere Rahvamaja" u="1"/>
        <s v=" Ulvi Hooldekodu" u="1"/>
        <s v=" Ulvi Raamatukogu" u="1"/>
        <s v=" Muuga Laekvere Põhikool-Muuga õppehoone" u="1"/>
        <s v=" Muu haridus, sh hariduse haldus" u="1"/>
        <s v="Roela, Tudu, Viru-Jaagupi teeninduskeskus" u="1"/>
        <s v=" Muuga-laekvere Põhikool-Laekvere õppehoone" u="1"/>
        <s v=" Viru Jaagupi halduspiirkond" u="1"/>
        <s v=" Vinni-Pajusti halduspiirkond" u="1"/>
        <s v=" Maanteetransport" u="1"/>
      </sharedItems>
    </cacheField>
    <cacheField name="Tegevusala alanimetus" numFmtId="0">
      <sharedItems containsMixedTypes="1" containsNumber="1" containsInteger="1" minValue="0" maxValue="0" count="44">
        <s v="Valla- ja linnavolikogu"/>
        <s v="Valla- ja linnavalitsus"/>
        <s v="Muu haridus, sh hariduse haldus"/>
        <s v="Kohaliku omavalitsuse üksuse reservfond"/>
        <s v="Valitsussektori võla teenindamine"/>
        <s v="Üldiseloomuga ülekanded valitsussektoris"/>
        <s v="Muu riigikaitse"/>
        <s v="Päästeteenused"/>
        <s v="Maanteetransport"/>
        <s v="Side"/>
        <s v="Muu majandus (sh majanduse haldus)"/>
        <s v="Jäätmekäitlus"/>
        <s v="Muu keskkonnakaitse (sh keskkonnakaitse haldus)"/>
        <s v="Veevarustus"/>
        <s v="Tänavavalgustus"/>
        <s v="Muu elamu- ja kommunaalmajanduse tegevus"/>
        <s v="Muu tervishoid, sh tervishoiu haldamine"/>
        <s v="Sport"/>
        <s v="Noorsootöö ja noortekeskused"/>
        <s v="Vaba aja üritused"/>
        <s v="Raamatukogud"/>
        <s v="Rahvakultuur"/>
        <s v="Muuseumid"/>
        <s v="Ringhäälingu- ja kirjastamisteenused"/>
        <s v="Muu vaba aeg, kultuur, religioon, sh haldus"/>
        <s v="Alusharidus"/>
        <s v="Põhihariduse otsekulud"/>
        <s v="Üldkeskhariduse otsekulud"/>
        <s v="Noorte huviharidus ja huvitegevus"/>
        <s v="Koolitransport"/>
        <s v="Öömaja"/>
        <s v="Haigete sotsiaalne kaitse"/>
        <s v="Puuetega inimeste sotsiaalhoolekandeasutused"/>
        <s v="Muu puuetega inimeste sotsiaalne kaitse"/>
        <s v="Eakate sotsiaalhoolekande asutused"/>
        <s v="Muu eakate sotsiaalne kaitse"/>
        <s v="Laste ja noorte sotsiaalhoolekande asutused"/>
        <s v="Muu perekondade ja laste sotsiaalne kaitse"/>
        <s v="Töötute sotsiaalne kaitse"/>
        <s v="Eluasemeteenused sotsiaalsetele riskirühmadele"/>
        <s v="Riiklik toimetulekutoetus"/>
        <s v="Muu sotsiaalsete riskirühmade kaitse"/>
        <s v="Muu sotsiaalne kaitse, sh sotsiaalse kaitse haldus"/>
        <n v="0" u="1"/>
      </sharedItems>
    </cacheField>
    <cacheField name="Tegevusala koondnimetus" numFmtId="0">
      <sharedItems/>
    </cacheField>
    <cacheField name="Eelarve eest vastutav" numFmtId="0">
      <sharedItems/>
    </cacheField>
    <cacheField name="Tegevuse kirjeldus" numFmtId="0">
      <sharedItems/>
    </cacheField>
    <cacheField name="2020. EA " numFmtId="4">
      <sharedItems containsString="0" containsBlank="1" containsNumber="1" minValue="-2085000" maxValue="516524.05"/>
    </cacheField>
    <cacheField name="Märkused" numFmtId="0">
      <sharedItems containsBlank="1" containsMixedTypes="1" containsNumber="1" containsInteger="1" minValue="5273878" maxValue="5273878"/>
    </cacheField>
    <cacheField name="Konto" numFmtId="0">
      <sharedItems containsSemiMixedTypes="0" containsString="0" containsNumber="1" containsInteger="1" minValue="352" maxValue="413899" count="51">
        <n v="5500"/>
        <n v="5540"/>
        <n v="5504"/>
        <n v="5513"/>
        <n v="5511"/>
        <n v="5514"/>
        <n v="4528"/>
        <n v="5503"/>
        <n v="5515"/>
        <n v="5522"/>
        <n v="5523"/>
        <n v="3030"/>
        <n v="1551"/>
        <n v="5502"/>
        <n v="35200"/>
        <n v="35201"/>
        <n v="5532"/>
        <n v="608"/>
        <n v="208168"/>
        <n v="6501"/>
        <n v="655"/>
        <n v="25852"/>
        <n v="5525"/>
        <n v="45008"/>
        <n v="5512"/>
        <n v="45028"/>
        <n v="601"/>
        <n v="1550"/>
        <n v="4500"/>
        <n v="5521"/>
        <n v="5524"/>
        <n v="32202"/>
        <n v="4134"/>
        <n v="41337"/>
        <n v="41339"/>
        <n v="41332"/>
        <n v="4137"/>
        <n v="5526"/>
        <n v="41380"/>
        <n v="3224"/>
        <n v="413899"/>
        <n v="41389"/>
        <n v="41309"/>
        <n v="41300"/>
        <n v="41329"/>
        <n v="4131"/>
        <n v="352" u="1"/>
        <n v="500" u="1"/>
        <n v="1564" u="1"/>
        <n v="506" u="1"/>
        <n v="20385" u="1"/>
      </sharedItems>
    </cacheField>
    <cacheField name="Konto nimetus" numFmtId="0">
      <sharedItems/>
    </cacheField>
    <cacheField name="Tulu/kulu liik2" numFmtId="0">
      <sharedItems containsSemiMixedTypes="0" containsString="0" containsNumber="1" containsInteger="1" minValue="15" maxValue="35201"/>
    </cacheField>
    <cacheField name="Konto grupp" numFmtId="0">
      <sharedItems count="13">
        <s v="55"/>
        <s v="45"/>
        <s v="30"/>
        <s v="15"/>
        <s v="35"/>
        <s v="60"/>
        <s v="20"/>
        <s v="65"/>
        <s v="25"/>
        <s v="32"/>
        <s v="41"/>
        <s v="" u="1"/>
        <s v="50" u="1"/>
      </sharedItems>
    </cacheField>
    <cacheField name="Kontode koondnimetus" numFmtId="0">
      <sharedItems count="17">
        <s v="Muud tegevuskulud"/>
        <s v="Antavad toetused tegevuskuludeks"/>
        <s v="Maksutulud"/>
        <s v="Põhivara soetus (-)"/>
        <s v="Saadavad toetused tegevuskuludeks"/>
        <s v="Kohustuste tasumine (-)"/>
        <s v="Finantskulud (-)"/>
        <s v="Finantstulud (+)"/>
        <s v="Kohustuste võtmine (+)"/>
        <s v="Põhivara soetuseks antav sihtfinantseerimine (-)"/>
        <s v="Tulud kaupade ja teenuste müügist"/>
        <s v="Põhivara soetuseks saadav sihtfinantseerimine (+)" u="1"/>
        <s v="Mittesihtotstarbelised toetused" u="1"/>
        <s v="Põhivara soetamiseks antav sihtfinantseerimine (-)" u="1"/>
        <s v="Põhivara soetamiseks saadav sihtfinantseerimine (+)" u="1"/>
        <s v="Muud saadud toetused tegevuskuludeks" u="1"/>
        <e v="#N/A" u="1"/>
      </sharedItems>
    </cacheField>
    <cacheField name="Kontode alanimetus" numFmtId="0">
      <sharedItems containsMixedTypes="1" containsNumber="1" containsInteger="1" minValue="0" maxValue="0" count="16">
        <s v="Majandamiskulud"/>
        <s v="Mittesihtotstarbelised toetused"/>
        <s v="Maamaks"/>
        <s v="Põhivara soetus (-)"/>
        <s v="Tasandusfond"/>
        <s v="Toetusfond"/>
        <s v="Muud kulud"/>
        <s v="Kohustuste tasumine (-)"/>
        <s v="Finantskulud (-)"/>
        <s v="Finantstulud (+)"/>
        <s v="Kohustuste võtmine (+)"/>
        <s v="Sihtotstarbelised toetused tegevuskuludeks"/>
        <s v="Põhivara soetuseks antav sihtfinantseerimine (-)"/>
        <s v="Tulud kaupade ja teenuste müügist"/>
        <s v="Sotsiaalabitoetused ja muud toetused füüsilistele isikutele"/>
        <n v="0" u="1"/>
      </sharedItems>
    </cacheField>
    <cacheField name="Tulu/kulu liigi grupp" numFmtId="0">
      <sharedItems count="5">
        <s v="Põhitegevuse kulu"/>
        <s v="Põhitegevuse tulu"/>
        <s v="Investeerimistegevus"/>
        <s v="Finantseerimistegevus"/>
        <e v="#N/A" u="1"/>
      </sharedItems>
    </cacheField>
    <cacheField name="Lisaeelarve / €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Tiina" refreshedDate="43859.371922222221" createdVersion="5" refreshedVersion="6" minRefreshableVersion="3" recordCount="415">
  <cacheSource type="worksheet">
    <worksheetSource name="Table1"/>
  </cacheSource>
  <cacheFields count="18">
    <cacheField name="Valdkond" numFmtId="0">
      <sharedItems count="7">
        <s v="08"/>
        <s v="09"/>
        <s v="10"/>
        <s v="01"/>
        <s v="04"/>
        <s v="06"/>
        <s v="03"/>
      </sharedItems>
    </cacheField>
    <cacheField name="Tegevusala" numFmtId="0">
      <sharedItems count="68">
        <s v="0820103         "/>
        <s v="0921203         "/>
        <s v="0911007         "/>
        <s v="1020004         "/>
        <s v="01112           "/>
        <s v="0810202         "/>
        <s v="0820106         "/>
        <s v="0810203         "/>
        <s v="1020101         "/>
        <s v="10900           "/>
        <s v="0810704"/>
        <s v="0810701         "/>
        <s v="01600           "/>
        <s v="09600           "/>
        <s v="01111           "/>
        <s v="04900           "/>
        <s v="0660501         "/>
        <s v="0660511"/>
        <s v="0660510"/>
        <s v="0660507         "/>
        <s v="0660508         "/>
        <s v="0820101         "/>
        <s v="0820102         "/>
        <s v="0820105         "/>
        <s v="0820205         "/>
        <s v="0820207         "/>
        <s v="0911001         "/>
        <s v="0911002         "/>
        <s v="0911003         "/>
        <s v="0911005         "/>
        <s v="0921205         "/>
        <s v="0921207         "/>
        <s v="0980003         "/>
        <s v="09510           "/>
        <s v="0820206         "/>
        <s v="1020001         "/>
        <s v="1020002         "/>
        <s v="0820104         "/>
        <s v="1040001         "/>
        <s v="0921204         "/>
        <s v="0911004         "/>
        <s v="0820203         "/>
        <s v="03200           "/>
        <s v="04600           "/>
        <s v="08600           "/>
        <s v="0820201         "/>
        <s v="0820204         "/>
        <s v="0820202         "/>
        <s v="0960201         "/>
        <s v="0911006         "/>
        <s v="0921208"/>
        <s v="0820301"/>
        <s v="0921301         "/>
        <s v="0980004"/>
        <s v="0810907         "/>
        <s v="10120           "/>
        <s v="1012106         "/>
        <s v="101212          "/>
        <s v="1040002         "/>
        <s v="1040207         "/>
        <s v="09800           " u="1"/>
        <s v="0921201         " u="1"/>
        <s v="0921202         " u="1"/>
        <s v="0660502         " u="1"/>
        <s v="0660503         " u="1"/>
        <s v="0660504         " u="1"/>
        <s v="0660505         " u="1"/>
        <s v="0660506         " u="1"/>
      </sharedItems>
    </cacheField>
    <cacheField name="Tegevusala nimetus2" numFmtId="0">
      <sharedItems count="93">
        <s v="Roela Rahvaraamatukogu"/>
        <s v=" Roela kool"/>
        <s v=" Roela Lasteaed"/>
        <s v=" Vinni päevakeskus"/>
        <s v=" Valla- ja linnavalitsus"/>
        <s v=" Muuga Spordihoone"/>
        <s v="Laekvere Raamatukogu"/>
        <s v=" Staadion"/>
        <s v=" Hooldajad"/>
        <s v=" Muu sotsiaalne kaitse, sh sotsiaalse kaitse haldus"/>
        <s v=" Lastelaagrid"/>
        <s v=" Noorsootöö haldus"/>
        <s v=" Muud üldised valitsussektori teenused"/>
        <s v=" Koolitransport"/>
        <s v=" Valla- ja linnavolikogu"/>
        <s v=" Muu majandus (sh majanduse haldus)"/>
        <s v="Laekvere teeninduspiirkond"/>
        <s v="Ulvi, Vinni-Pajusti teeninduspiirkond"/>
        <s v="Roela, Tudu, Viru-Jaagupi teeninduspiirkond"/>
        <s v=" Saunad"/>
        <s v=" Kalmistud"/>
        <s v="Vinni-Pajusti Rahvaraamatukogu"/>
        <s v="Viru-Jaagupi Rahvaraamatukogu"/>
        <s v="Ulvi Raamatukogu"/>
        <s v="Laekvere Rahvamaja"/>
        <s v="Ulvi Klubi"/>
        <s v=" Vinni Lasteaed"/>
        <s v=" Pajusti Lasteaed"/>
        <s v=" Kulina Lasteaed"/>
        <s v=" Ulvi Lasteaed"/>
        <s v=" Vinni-Pajusti Gümnaasium"/>
        <s v=" Põlula kool"/>
        <s v=" Haldus"/>
        <s v=" Noorte huviharidus ja huvitegevus"/>
        <s v="Venevere Seltsimaja"/>
        <s v=" Tammiku Kodu"/>
        <s v=" Ulvi Kodu"/>
        <s v="Tudu Rahvaraamatukogu"/>
        <s v=" Vinni Perekodu"/>
        <s v=" Tudu kool"/>
        <s v=" Tudu Lasteaed"/>
        <s v=" Roela Rahvamaja"/>
        <s v=" Päästeteenused"/>
        <s v=" Side"/>
        <s v=" Muu vaba aeg, kultuur, religioon, sh haldus"/>
        <s v=" Kadila Seltsimaja"/>
        <s v="Tudu Rahvamaja"/>
        <s v=" Pajusti klubi"/>
        <s v=" Roela Õpilaskodu"/>
        <s v=" Laekvere Lasteaed"/>
        <s v="Muuga-Laekvere Kool"/>
        <s v="Vinni Vallamuuseum"/>
        <s v=" Halduse tagatavad kulud"/>
        <s v=" Vilde kirjanduspreemia"/>
        <s v=" Puuetega inimeste sotsiaalhoolekandeasutused"/>
        <s v=" Tugiisikud puuetega inimestele"/>
        <s v=" Hooldajatoetused"/>
        <s v=" Muud asutused"/>
        <s v=" Tugiisikud (perekondade ja laste)"/>
        <s v=" Muuga-Laekvere põhikool - Muuga õppehoone" u="1"/>
        <s v=" Ulvi Raamatukogu" u="1"/>
        <s v=" Vinni-Pajusti halduspiirkond" u="1"/>
        <s v=" Laekvere halduspiirkond" u="1"/>
        <s v=" Muuga Laekvere kool-Muuga õppehoone" u="1"/>
        <s v=" Muuga-Laekvere põhikool - Laekvere õppehoone" u="1"/>
        <s v=" Tudu Raamatukogu" u="1"/>
        <s v=" Laekvere Rahva Maja" u="1"/>
        <s v=" Muuga-Laekvere Kool" u="1"/>
        <s v=" Rägavere halduspiirkond" u="1"/>
        <s v=" Viru Jaagupi halduspiirkond" u="1"/>
        <s v=" Muu haridus, sh hariduse haldus" u="1"/>
        <s v=" Vinni Raamatukogu" u="1"/>
        <s v=" Venevere Seltsimaja" u="1"/>
        <s v=" Tudu halduspiirkond" u="1"/>
        <s v=" Roela Raamatukogu" u="1"/>
        <s v=" Tudu Rahvamaja" u="1"/>
        <s v=" Vinni pajusti Gümnaasium" u="1"/>
        <s v=" Muuga-laekvere Põhikool-Laekvere õppehoone" u="1"/>
        <s v=" Laekvere Rahvamaja" u="1"/>
        <s v="Laekvere halduspiirkond" u="1"/>
        <s v=" Viru-Jaagupi Raamatukogu" u="1"/>
        <s v="Rägavere halduspiirkond" u="1"/>
        <s v=" Laekvere Raamatukogu" u="1"/>
        <s v="Roela halduspiirkond" u="1"/>
        <s v="Tudu halduspiirkond" u="1"/>
        <s v=" Ulvi Klubi" u="1"/>
        <s v=" Muuga-laekvere kool-Laekvere õppehoone" u="1"/>
        <s v="Viru-Jaagupi halduspiirkond" u="1"/>
        <s v=" Roela halduspiirkond" u="1"/>
        <s v="Vinni-Pajusti halduspiirkond" u="1"/>
        <s v=" Muuga Laekvere Põhikool-Muuga õppehoone" u="1"/>
        <s v="Roela, Tudu, Viru-Jaagupi teeninduskeskus" u="1"/>
        <s v=" Ulvi Hooldekodu" u="1"/>
      </sharedItems>
    </cacheField>
    <cacheField name="Tegevusala alanimetus" numFmtId="0">
      <sharedItems count="32">
        <s v="Raamatukogud"/>
        <s v="Põhihariduse otsekulud"/>
        <s v="Alusharidus"/>
        <s v="Eakate sotsiaalhoolekande asutused"/>
        <s v="Valla- ja linnavalitsus"/>
        <s v="Sport"/>
        <s v="Muu eakate sotsiaalne kaitse"/>
        <s v="Muu sotsiaalne kaitse, sh sotsiaalse kaitse haldus"/>
        <s v="Noorsootöö ja noortekeskused"/>
        <s v="Muud üldised valitsussektori teenused"/>
        <s v="Koolitransport"/>
        <s v="Valla- ja linnavolikogu"/>
        <s v="Muu majandus (sh majanduse haldus)"/>
        <s v="Muu elamu- ja kommunaalmajanduse tegevus"/>
        <s v="Rahvakultuur"/>
        <s v="Muu haridus, sh hariduse haldus"/>
        <s v="Noorte huviharidus ja huvitegevus"/>
        <s v="Laste ja noorte sotsiaalhoolekande asutused"/>
        <s v="Päästeteenused"/>
        <s v="Side"/>
        <s v="Muu vaba aeg, kultuur, religioon, sh haldus"/>
        <s v="Öömaja"/>
        <s v="Muuseumid"/>
        <s v="Üldkeskhariduse otsekulud"/>
        <s v="Vaba aja üritused"/>
        <s v="Puuetega inimeste sotsiaalhoolekandeasutused"/>
        <s v="Muu puuetega inimeste sotsiaalne kaitse"/>
        <s v="Muu perekondade ja laste sotsiaalne kaitse"/>
        <s v="Haridus" u="1"/>
        <s v="Muud elamu- ja kommunaalmajanduse tegevus" u="1"/>
        <s v="Laste ja noorte sotsiaalhoolekandeasutused" u="1"/>
        <s v="Eakate sotsiaalhoolekandeasutused" u="1"/>
      </sharedItems>
    </cacheField>
    <cacheField name="Tegevusala koondnimetus" numFmtId="0">
      <sharedItems count="7">
        <s v="Vabaaeg, kultuur ja religioon"/>
        <s v="Haridus"/>
        <s v="Sotsiaalne kaitse"/>
        <s v="Üldised valitsussektori teenused"/>
        <s v="Majandus"/>
        <s v="Elamu- ja kommunaalmajandus"/>
        <s v="Avalik kord ja julgeolek"/>
      </sharedItems>
    </cacheField>
    <cacheField name="Eelarve eest vastutav" numFmtId="0">
      <sharedItems/>
    </cacheField>
    <cacheField name="Ametikoha, koosseisukoha nimetus" numFmtId="0">
      <sharedItems/>
    </cacheField>
    <cacheField name="Koosseisu- kohtade arv aastas/ tunnid aastas" numFmtId="0">
      <sharedItems containsString="0" containsBlank="1" containsNumber="1" minValue="0" maxValue="990"/>
    </cacheField>
    <cacheField name="ühik" numFmtId="0">
      <sharedItems containsBlank="1"/>
    </cacheField>
    <cacheField name="Palgamäär" numFmtId="0">
      <sharedItems containsString="0" containsBlank="1" containsNumber="1" minValue="3.21" maxValue="470852.02"/>
    </cacheField>
    <cacheField name="Töötasu/kuus" numFmtId="0">
      <sharedItems containsSemiMixedTypes="0" containsString="0" containsNumber="1" minValue="0" maxValue="470852.02"/>
    </cacheField>
    <cacheField name="Ühik2" numFmtId="0">
      <sharedItems containsString="0" containsBlank="1" containsNumber="1" minValue="1" maxValue="56"/>
    </cacheField>
    <cacheField name="Lisatasu/ aastas/kuus" numFmtId="0">
      <sharedItems containsString="0" containsBlank="1" containsNumber="1" containsInteger="1" minValue="117" maxValue="7842"/>
    </cacheField>
    <cacheField name="2020. EA " numFmtId="4">
      <sharedItems containsSemiMixedTypes="0" containsString="0" containsNumber="1" minValue="0" maxValue="470852.02"/>
    </cacheField>
    <cacheField name="Maksud" numFmtId="4">
      <sharedItems containsSemiMixedTypes="0" containsString="0" containsNumber="1" minValue="0" maxValue="159147.98276000001"/>
    </cacheField>
    <cacheField name="Märkused" numFmtId="0">
      <sharedItems containsBlank="1"/>
    </cacheField>
    <cacheField name="Personalikulud" numFmtId="0" formula="'2020. EA '+Maksud" databaseField="0"/>
    <cacheField name="2020. EA" numFmtId="0" formula="'2020. EA '+Maksud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0"/>
    <s v="01112           "/>
    <x v="0"/>
    <s v="Valla- ja linnavalitsus"/>
    <s v="Üldised valitsussektori teenused"/>
    <s v="Ehitusnõunik"/>
    <x v="0"/>
    <n v="10000"/>
    <n v="0"/>
    <n v="1551"/>
    <s v="Rajatiste ja hoonete soetamine ja renoveerimine"/>
    <n v="15"/>
    <s v="15"/>
    <s v="Põhivara soetus (-)"/>
    <s v="Põhivara soetus (-)"/>
    <s v="Investeerimistegevus"/>
    <n v="0"/>
  </r>
  <r>
    <x v="0"/>
    <s v="01112           "/>
    <x v="0"/>
    <s v="Valla- ja linnavalitsus"/>
    <s v="Üldised valitsussektori teenused"/>
    <s v="Ehitusnõunik"/>
    <x v="1"/>
    <n v="25000"/>
    <n v="0"/>
    <n v="1551"/>
    <s v="Rajatiste ja hoonete soetamine ja renoveerimine"/>
    <n v="15"/>
    <s v="15"/>
    <s v="Põhivara soetus (-)"/>
    <s v="Põhivara soetus (-)"/>
    <s v="Investeerimistegevus"/>
    <n v="0"/>
  </r>
  <r>
    <x v="0"/>
    <s v="01112           "/>
    <x v="0"/>
    <s v="Valla- ja linnavalitsus"/>
    <s v="Üldised valitsussektori teenused"/>
    <s v="Vallavalitsus"/>
    <x v="2"/>
    <n v="30000"/>
    <n v="0"/>
    <n v="1551"/>
    <s v="Rajatiste ja hoonete soetamine ja renoveerimine"/>
    <n v="15"/>
    <s v="15"/>
    <s v="Põhivara soetus (-)"/>
    <s v="Põhivara soetus (-)"/>
    <s v="Investeerimistegevus"/>
    <n v="0"/>
  </r>
  <r>
    <x v="0"/>
    <s v="01114           "/>
    <x v="1"/>
    <s v="Kohaliku omavalitsuse üksuse reservfond"/>
    <s v="Üldised valitsussektori teenused"/>
    <s v="Vallavanem"/>
    <x v="3"/>
    <n v="25000"/>
    <n v="0"/>
    <n v="1551"/>
    <s v="Rajatiste ja hoonete soetamine ja renoveerimine"/>
    <n v="15"/>
    <s v="15"/>
    <s v="Põhivara soetus (-)"/>
    <s v="Põhivara soetus (-)"/>
    <s v="Investeerimistegevus"/>
    <n v="0"/>
  </r>
  <r>
    <x v="1"/>
    <s v="04510           "/>
    <x v="2"/>
    <s v="Maanteetransport"/>
    <s v="Majandus"/>
    <s v="Teede- ja ühistranspordinõunik"/>
    <x v="4"/>
    <n v="10000"/>
    <n v="0"/>
    <n v="1551"/>
    <s v="Rajatiste ja hoonete soetamine ja renoveerimine"/>
    <n v="15"/>
    <s v="15"/>
    <s v="Põhivara soetus (-)"/>
    <s v="Põhivara soetus (-)"/>
    <s v="Investeerimistegevus"/>
    <n v="0"/>
  </r>
  <r>
    <x v="2"/>
    <s v="06300           "/>
    <x v="3"/>
    <s v="Veevarustus"/>
    <s v="Elamu- ja kommunaalmajandus"/>
    <s v="Ehitusnõunik"/>
    <x v="5"/>
    <n v="68000"/>
    <n v="0"/>
    <n v="1551"/>
    <s v="Rajatiste ja hoonete soetamine ja renoveerimine"/>
    <n v="15"/>
    <s v="15"/>
    <s v="Põhivara soetus (-)"/>
    <s v="Põhivara soetus (-)"/>
    <s v="Investeerimistegevus"/>
    <n v="0"/>
  </r>
  <r>
    <x v="2"/>
    <s v="06300           "/>
    <x v="3"/>
    <s v="Veevarustus"/>
    <s v="Elamu- ja kommunaalmajandus"/>
    <s v="Arendusnõunik"/>
    <x v="6"/>
    <n v="200000"/>
    <n v="0"/>
    <n v="1551"/>
    <s v="Rajatiste ja hoonete soetamine ja renoveerimine"/>
    <n v="15"/>
    <s v="15"/>
    <s v="Põhivara soetus (-)"/>
    <s v="Põhivara soetus (-)"/>
    <s v="Investeerimistegevus"/>
    <n v="0"/>
  </r>
  <r>
    <x v="2"/>
    <s v="06400           "/>
    <x v="4"/>
    <s v="Tänavavalgustus"/>
    <s v="Elamu- ja kommunaalmajandus"/>
    <s v="Ehitusnõunik"/>
    <x v="7"/>
    <n v="230000"/>
    <n v="0"/>
    <n v="1551"/>
    <s v="Rajatiste ja hoonete soetamine ja renoveerimine"/>
    <n v="15"/>
    <s v="15"/>
    <s v="Põhivara soetus (-)"/>
    <s v="Põhivara soetus (-)"/>
    <s v="Investeerimistegevus"/>
    <n v="0"/>
  </r>
  <r>
    <x v="2"/>
    <s v="06400           "/>
    <x v="4"/>
    <s v="Tänavavalgustus"/>
    <s v="Elamu- ja kommunaalmajandus"/>
    <s v="Ehitusnõunik"/>
    <x v="7"/>
    <n v="470000"/>
    <s v="Ühtekuuluvusfond"/>
    <n v="1551"/>
    <s v="Rajatiste ja hoonete soetamine ja renoveerimine"/>
    <n v="15"/>
    <s v="15"/>
    <s v="Põhivara soetus (-)"/>
    <s v="Põhivara soetus (-)"/>
    <s v="Investeerimistegevus"/>
    <n v="0"/>
  </r>
  <r>
    <x v="2"/>
    <s v="0660501         "/>
    <x v="5"/>
    <s v="Muu elamu- ja kommunaalmajanduse tegevus"/>
    <s v="Elamu- ja kommunaalmajandus"/>
    <s v="Laekvere piirkond"/>
    <x v="8"/>
    <n v="5000"/>
    <s v="maa soetus"/>
    <n v="1550"/>
    <s v="Maa soetamine"/>
    <n v="15"/>
    <s v="15"/>
    <s v="Põhivara soetus (-)"/>
    <s v="Põhivara soetus (-)"/>
    <s v="Investeerimistegevus"/>
    <n v="0"/>
  </r>
  <r>
    <x v="3"/>
    <s v="0810905         "/>
    <x v="6"/>
    <s v="Vaba aja üritused"/>
    <s v="Vabaaeg, kultuur ja religioon"/>
    <s v="Ehitusnõunik"/>
    <x v="9"/>
    <n v="25000"/>
    <n v="0"/>
    <n v="1551"/>
    <s v="Rajatiste ja hoonete soetamine ja renoveerimine"/>
    <n v="15"/>
    <s v="15"/>
    <s v="Põhivara soetus (-)"/>
    <s v="Põhivara soetus (-)"/>
    <s v="Investeerimistegevus"/>
    <n v="0"/>
  </r>
  <r>
    <x v="3"/>
    <s v="0810905         "/>
    <x v="6"/>
    <s v="Vaba aja üritused"/>
    <s v="Vabaaeg, kultuur ja religioon"/>
    <s v="Ehitusnõunik"/>
    <x v="10"/>
    <n v="250000"/>
    <n v="0"/>
    <n v="1551"/>
    <s v="Rajatiste ja hoonete soetamine ja renoveerimine"/>
    <n v="15"/>
    <s v="15"/>
    <s v="Põhivara soetus (-)"/>
    <s v="Põhivara soetus (-)"/>
    <s v="Investeerimistegevus"/>
    <n v="0"/>
  </r>
  <r>
    <x v="3"/>
    <s v="0820102         "/>
    <x v="7"/>
    <s v="Raamatukogud"/>
    <s v="Vabaaeg, kultuur ja religioon"/>
    <s v="Ehitusnõunik"/>
    <x v="11"/>
    <n v="130000"/>
    <n v="0"/>
    <n v="1551"/>
    <s v="Rajatiste ja hoonete soetamine ja renoveerimine"/>
    <n v="15"/>
    <s v="15"/>
    <s v="Põhivara soetus (-)"/>
    <s v="Põhivara soetus (-)"/>
    <s v="Investeerimistegevus"/>
    <n v="0"/>
  </r>
  <r>
    <x v="3"/>
    <s v="0820202         "/>
    <x v="8"/>
    <s v="Rahvakultuur"/>
    <s v="Vabaaeg, kultuur ja religioon"/>
    <s v="Ehitusnõunik"/>
    <x v="12"/>
    <n v="40000"/>
    <n v="0"/>
    <n v="1551"/>
    <s v="Rajatiste ja hoonete soetamine ja renoveerimine"/>
    <n v="15"/>
    <s v="15"/>
    <s v="Põhivara soetus (-)"/>
    <s v="Põhivara soetus (-)"/>
    <s v="Investeerimistegevus"/>
    <n v="0"/>
  </r>
  <r>
    <x v="3"/>
    <s v="0820205         "/>
    <x v="9"/>
    <s v="Rahvakultuur"/>
    <s v="Vabaaeg, kultuur ja religioon"/>
    <s v="Ehitusnõunik"/>
    <x v="13"/>
    <n v="64820"/>
    <n v="0"/>
    <n v="1551"/>
    <s v="Rajatiste ja hoonete soetamine ja renoveerimine"/>
    <n v="15"/>
    <s v="15"/>
    <s v="Põhivara soetus (-)"/>
    <s v="Põhivara soetus (-)"/>
    <s v="Investeerimistegevus"/>
    <n v="0"/>
  </r>
  <r>
    <x v="3"/>
    <s v="0820205         "/>
    <x v="9"/>
    <s v="Rahvakultuur"/>
    <s v="Vabaaeg, kultuur ja religioon"/>
    <s v="Ehitusnõunik"/>
    <x v="14"/>
    <n v="32000"/>
    <n v="0"/>
    <n v="1551"/>
    <s v="Rajatiste ja hoonete soetamine ja renoveerimine"/>
    <n v="15"/>
    <s v="15"/>
    <s v="Põhivara soetus (-)"/>
    <s v="Põhivara soetus (-)"/>
    <s v="Investeerimistegevus"/>
    <n v="0"/>
  </r>
  <r>
    <x v="3"/>
    <s v="0820205         "/>
    <x v="9"/>
    <s v="Rahvakultuur"/>
    <s v="Vabaaeg, kultuur ja religioon"/>
    <s v="Ehitusnõunik"/>
    <x v="13"/>
    <n v="20000"/>
    <s v="PRIA toetus"/>
    <n v="1551"/>
    <s v="Rajatiste ja hoonete soetamine ja renoveerimine"/>
    <n v="15"/>
    <s v="15"/>
    <s v="Põhivara soetus (-)"/>
    <s v="Põhivara soetus (-)"/>
    <s v="Investeerimistegevus"/>
    <n v="0"/>
  </r>
  <r>
    <x v="3"/>
    <s v="08600           "/>
    <x v="10"/>
    <s v="Muu vaba aeg, kultuur, religioon, sh haldus"/>
    <s v="Vabaaeg, kultuur ja religioon"/>
    <s v="Arendusnõunik"/>
    <x v="15"/>
    <n v="20000"/>
    <n v="0"/>
    <n v="1551"/>
    <s v="Rajatiste ja hoonete soetamine ja renoveerimine"/>
    <n v="15"/>
    <s v="15"/>
    <s v="Põhivara soetus (-)"/>
    <s v="Põhivara soetus (-)"/>
    <s v="Investeerimistegevus"/>
    <n v="0"/>
  </r>
  <r>
    <x v="4"/>
    <s v="0911002         "/>
    <x v="11"/>
    <s v="Alusharidus"/>
    <s v="Haridus"/>
    <s v="Ehitusnõunik"/>
    <x v="16"/>
    <n v="80000"/>
    <n v="0"/>
    <n v="1551"/>
    <s v="Rajatiste ja hoonete soetamine ja renoveerimine"/>
    <n v="15"/>
    <s v="15"/>
    <s v="Põhivara soetus (-)"/>
    <s v="Põhivara soetus (-)"/>
    <s v="Investeerimistegevus"/>
    <n v="0"/>
  </r>
  <r>
    <x v="4"/>
    <s v="0921208"/>
    <x v="12"/>
    <s v="Põhihariduse otsekulud"/>
    <s v="Haridus"/>
    <s v="Ehitusnõunik"/>
    <x v="17"/>
    <n v="290000"/>
    <n v="0"/>
    <n v="1551"/>
    <s v="Rajatiste ja hoonete soetamine ja renoveerimine"/>
    <n v="15"/>
    <s v="15"/>
    <s v="Põhivara soetus (-)"/>
    <s v="Põhivara soetus (-)"/>
    <s v="Investeerimistegevus"/>
    <n v="0"/>
  </r>
  <r>
    <x v="4"/>
    <s v="0921203         "/>
    <x v="13"/>
    <s v="Põhihariduse otsekulud"/>
    <s v="Haridus"/>
    <s v="Ehitusnõunik"/>
    <x v="18"/>
    <n v="95000"/>
    <n v="0"/>
    <n v="1551"/>
    <s v="Rajatiste ja hoonete soetamine ja renoveerimine"/>
    <n v="15"/>
    <s v="15"/>
    <s v="Põhivara soetus (-)"/>
    <s v="Põhivara soetus (-)"/>
    <s v="Investeerimistegevus"/>
    <n v="0"/>
  </r>
  <r>
    <x v="4"/>
    <s v="0921204         "/>
    <x v="14"/>
    <s v="Põhihariduse otsekulud"/>
    <s v="Haridus"/>
    <s v="Ehitusnõunik"/>
    <x v="19"/>
    <n v="51000"/>
    <n v="0"/>
    <n v="1551"/>
    <s v="Rajatiste ja hoonete soetamine ja renoveerimine"/>
    <n v="15"/>
    <s v="15"/>
    <s v="Põhivara soetus (-)"/>
    <s v="Põhivara soetus (-)"/>
    <s v="Investeerimistegevus"/>
    <n v="0"/>
  </r>
  <r>
    <x v="4"/>
    <s v="0921205         "/>
    <x v="15"/>
    <s v="Põhihariduse otsekulud"/>
    <s v="Haridus"/>
    <s v="Vinni-Pajusti Gümnaasium"/>
    <x v="20"/>
    <n v="60000"/>
    <n v="0"/>
    <n v="1551"/>
    <s v="Rajatiste ja hoonete soetamine ja renoveerimine"/>
    <n v="15"/>
    <s v="15"/>
    <s v="Põhivara soetus (-)"/>
    <s v="Põhivara soetus (-)"/>
    <s v="Investeerimistegevus"/>
    <n v="0"/>
  </r>
  <r>
    <x v="4"/>
    <s v="09510           "/>
    <x v="16"/>
    <s v="Noorte huviharidus ja huvitegevus"/>
    <s v="Haridus"/>
    <s v="Vallavalitsus"/>
    <x v="21"/>
    <n v="10000"/>
    <n v="0"/>
    <n v="1551"/>
    <s v="Rajatiste ja hoonete soetamine ja renoveerimine"/>
    <n v="15"/>
    <s v="15"/>
    <s v="Põhivara soetus (-)"/>
    <s v="Põhivara soetus (-)"/>
    <s v="Investeerimistegevus"/>
    <n v="0"/>
  </r>
  <r>
    <x v="5"/>
    <s v="1020002         "/>
    <x v="17"/>
    <s v="Eakate sotsiaalhoolekande asutused"/>
    <s v="Sotsiaalne kaitse"/>
    <s v="Arendusnõunik"/>
    <x v="22"/>
    <n v="400000"/>
    <n v="0"/>
    <n v="1551"/>
    <s v="Rajatiste ja hoonete soetamine ja renoveerimine"/>
    <n v="15"/>
    <s v="15"/>
    <s v="Põhivara soetus (-)"/>
    <s v="Põhivara soetus (-)"/>
    <s v="Investeerimistegevus"/>
    <n v="0"/>
  </r>
  <r>
    <x v="5"/>
    <s v="10702           "/>
    <x v="18"/>
    <s v="Muu sotsiaalsete riskirühmade kaitse"/>
    <s v="Sotsiaalne kaitse"/>
    <s v="Arendusnõunik"/>
    <x v="23"/>
    <n v="5000"/>
    <n v="0"/>
    <n v="1551"/>
    <s v="Rajatiste ja hoonete soetamine ja renoveerimine"/>
    <n v="15"/>
    <s v="15"/>
    <s v="Põhivara soetus (-)"/>
    <s v="Põhivara soetus (-)"/>
    <s v="Investeerimistegevus"/>
    <n v="0"/>
  </r>
  <r>
    <x v="4"/>
    <s v="0911003         "/>
    <x v="19"/>
    <s v="Alusharidus"/>
    <s v="Haridus"/>
    <s v="Kulina lasteaed"/>
    <x v="24"/>
    <n v="1958.4"/>
    <s v="järelvalve"/>
    <n v="1551"/>
    <s v="Rajatiste ja hoonete soetamine ja renoveerimine"/>
    <n v="15"/>
    <s v="15"/>
    <s v="Põhivara soetus (-)"/>
    <s v="Põhivara soetus (-)"/>
    <s v="Investeerimistegevus"/>
    <n v="0"/>
  </r>
  <r>
    <x v="4"/>
    <s v="0911003         "/>
    <x v="19"/>
    <s v="Alusharidus"/>
    <s v="Haridus"/>
    <s v="Kulina lasteaed"/>
    <x v="24"/>
    <n v="13248"/>
    <s v="investeering"/>
    <n v="1551"/>
    <s v="Rajatiste ja hoonete soetamine ja renoveerimine"/>
    <n v="15"/>
    <s v="15"/>
    <s v="Põhivara soetus (-)"/>
    <s v="Põhivara soetus (-)"/>
    <s v="Investeerimistegevus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5">
  <r>
    <s v="09"/>
    <s v="0911005         "/>
    <s v=" Ulvi Lasteaed"/>
    <s v="Alusharidus"/>
    <s v="Haridus"/>
    <s v="Ulvi Lasteaed"/>
    <s v="Sõimelapsed"/>
    <n v="20.8"/>
    <s v="last"/>
    <n v="11.5"/>
    <s v="kuu"/>
    <n v="20"/>
    <n v="4784"/>
    <s v="kohatasu"/>
    <n v="32201"/>
    <s v="Lasteiatasu - õppekulu"/>
    <n v="32"/>
    <x v="0"/>
    <x v="0"/>
    <x v="0"/>
    <s v="Põhitegevuse tulu"/>
  </r>
  <r>
    <s v="09"/>
    <s v="0911005         "/>
    <s v=" Ulvi Lasteaed"/>
    <s v="Alusharidus"/>
    <s v="Haridus"/>
    <s v="Ulvi Lasteaed"/>
    <s v="Eelkoolilapsed"/>
    <n v="3.2"/>
    <s v="last"/>
    <n v="11.5"/>
    <s v="kuu"/>
    <n v="20"/>
    <n v="736.00000000000011"/>
    <s v="kohatasu"/>
    <n v="32201"/>
    <s v="Lasteiatasu - õppekulu"/>
    <n v="32"/>
    <x v="0"/>
    <x v="0"/>
    <x v="0"/>
    <s v="Põhitegevuse tulu"/>
  </r>
  <r>
    <s v="09"/>
    <s v="0911005         "/>
    <s v=" Ulvi Lasteaed"/>
    <s v="Alusharidus"/>
    <s v="Haridus"/>
    <s v="Ulvi Lasteaed"/>
    <s v="Toidupäev"/>
    <n v="221"/>
    <s v="toidukorda"/>
    <n v="24"/>
    <m/>
    <n v="1"/>
    <n v="5304"/>
    <s v="maha arvatud laste arvust -20% puudumised"/>
    <n v="32206"/>
    <s v="Lasteaia toiduraha"/>
    <n v="32"/>
    <x v="0"/>
    <x v="0"/>
    <x v="0"/>
    <s v="Põhitegevuse tulu"/>
  </r>
  <r>
    <s v="09"/>
    <s v="0911001         "/>
    <s v=" Vinni Lasteaed"/>
    <s v="Alusharidus"/>
    <s v="Haridus"/>
    <s v="Vinni Lasteaed"/>
    <s v="Sõimelapsed"/>
    <n v="20.8"/>
    <s v="last"/>
    <n v="10.5"/>
    <s v="kuu"/>
    <n v="20"/>
    <n v="4368"/>
    <s v="kohatasu"/>
    <n v="32201"/>
    <s v="Lasteiatasu - õppekulu"/>
    <n v="32"/>
    <x v="0"/>
    <x v="0"/>
    <x v="0"/>
    <s v="Põhitegevuse tulu"/>
  </r>
  <r>
    <s v="09"/>
    <s v="0911001         "/>
    <s v=" Vinni Lasteaed"/>
    <s v="Alusharidus"/>
    <s v="Haridus"/>
    <s v="Vinni Lasteaed"/>
    <s v="Koolieelikud"/>
    <n v="64"/>
    <s v="last"/>
    <n v="10.5"/>
    <s v="kuu"/>
    <n v="20"/>
    <n v="13440"/>
    <s v="kohatasu"/>
    <n v="32201"/>
    <s v="Lasteiatasu - õppekulu"/>
    <n v="32"/>
    <x v="0"/>
    <x v="0"/>
    <x v="0"/>
    <s v="Põhitegevuse tulu"/>
  </r>
  <r>
    <s v="09"/>
    <s v="0911001         "/>
    <s v=" Vinni Lasteaed"/>
    <s v="Alusharidus"/>
    <s v="Haridus"/>
    <s v="Vinni Lasteaed"/>
    <s v="Toidupäev"/>
    <n v="221"/>
    <s v="toidukorda"/>
    <n v="84.8"/>
    <s v="last"/>
    <n v="0.95"/>
    <n v="17803.759999999998"/>
    <s v="maha arvatud laste arvust -20% puudumised"/>
    <n v="32206"/>
    <s v="Lasteaia toiduraha"/>
    <n v="32"/>
    <x v="0"/>
    <x v="0"/>
    <x v="0"/>
    <s v="Põhitegevuse tulu"/>
  </r>
  <r>
    <s v="09"/>
    <s v="0911002         "/>
    <s v=" Pajusti Lasteaed"/>
    <s v="Alusharidus"/>
    <s v="Haridus"/>
    <s v="Pajusti Lasteaed"/>
    <s v="Sõimelapsed"/>
    <n v="8.8000000000000007"/>
    <s v="last"/>
    <n v="11"/>
    <s v="kuu"/>
    <n v="20"/>
    <n v="1936.0000000000002"/>
    <s v="kohatasu"/>
    <n v="32201"/>
    <s v="Lasteiatasu - õppekulu"/>
    <n v="32"/>
    <x v="0"/>
    <x v="0"/>
    <x v="0"/>
    <s v="Põhitegevuse tulu"/>
  </r>
  <r>
    <s v="09"/>
    <s v="0911002         "/>
    <s v=" Pajusti Lasteaed"/>
    <s v="Alusharidus"/>
    <s v="Haridus"/>
    <s v="Pajusti Lasteaed"/>
    <s v="Eelkoolilapsed"/>
    <n v="26.4"/>
    <s v="last"/>
    <n v="11"/>
    <s v="kuu"/>
    <n v="20"/>
    <n v="5808"/>
    <s v="kohatasu"/>
    <n v="32201"/>
    <s v="Lasteiatasu - õppekulu"/>
    <n v="32"/>
    <x v="0"/>
    <x v="0"/>
    <x v="0"/>
    <s v="Põhitegevuse tulu"/>
  </r>
  <r>
    <s v="09"/>
    <s v="0911002         "/>
    <s v=" Pajusti Lasteaed"/>
    <s v="Alusharidus"/>
    <s v="Haridus"/>
    <s v="Pajusti Lasteaed"/>
    <s v="Toidupäev"/>
    <n v="221"/>
    <s v="toidukorda"/>
    <n v="35.200000000000003"/>
    <s v="last"/>
    <n v="0.8"/>
    <n v="6223.3600000000006"/>
    <s v="maha arvatud laste arvust -20% puudumised"/>
    <n v="32206"/>
    <s v="Lasteaia toiduraha"/>
    <n v="32"/>
    <x v="0"/>
    <x v="0"/>
    <x v="0"/>
    <s v="Põhitegevuse tulu"/>
  </r>
  <r>
    <s v="09"/>
    <s v="0911003         "/>
    <s v=" Kulina Lasteaed"/>
    <s v="Alusharidus"/>
    <s v="Haridus"/>
    <s v="Kulina Lasteaed"/>
    <s v="Sõimelapsed"/>
    <n v="13.6"/>
    <s v="last"/>
    <n v="10.5"/>
    <s v="kuu"/>
    <n v="20"/>
    <n v="2855.9999999999995"/>
    <s v="kohatasu"/>
    <n v="32201"/>
    <s v="Lasteiatasu - õppekulu"/>
    <n v="32"/>
    <x v="0"/>
    <x v="0"/>
    <x v="0"/>
    <s v="Põhitegevuse tulu"/>
  </r>
  <r>
    <s v="09"/>
    <s v="0911003         "/>
    <s v=" Kulina Lasteaed"/>
    <s v="Alusharidus"/>
    <s v="Haridus"/>
    <s v="Kulina Lasteaed"/>
    <s v="Toidupäev"/>
    <n v="221"/>
    <s v="toidukorda"/>
    <n v="28"/>
    <s v="last"/>
    <n v="0.75"/>
    <n v="4641"/>
    <s v="maha arvatud laste arvust -20% puudumised"/>
    <n v="32206"/>
    <s v="Lasteaia toiduraha"/>
    <n v="32"/>
    <x v="0"/>
    <x v="0"/>
    <x v="0"/>
    <s v="Põhitegevuse tulu"/>
  </r>
  <r>
    <s v="09"/>
    <s v="0911003         "/>
    <s v=" Kulina Lasteaed"/>
    <s v="Alusharidus"/>
    <s v="Haridus"/>
    <s v="Kulina Lasteaed"/>
    <s v="Eelkoolilapsed"/>
    <n v="14.4"/>
    <s v="last"/>
    <n v="10.5"/>
    <s v="kuu"/>
    <n v="20"/>
    <n v="3024.0000000000005"/>
    <s v="kohatasu"/>
    <n v="32201"/>
    <s v="Lasteiatasu - õppekulu"/>
    <n v="32"/>
    <x v="0"/>
    <x v="0"/>
    <x v="0"/>
    <s v="Põhitegevuse tulu"/>
  </r>
  <r>
    <s v="09"/>
    <s v="0911004         "/>
    <s v=" Tudu Lasteaed"/>
    <s v="Alusharidus"/>
    <s v="Haridus"/>
    <s v="Tudu Lasteaed"/>
    <m/>
    <n v="14.4"/>
    <s v="last"/>
    <n v="10.5"/>
    <s v="aasta"/>
    <n v="20"/>
    <n v="3024.0000000000005"/>
    <s v="kohatasu"/>
    <n v="32201"/>
    <s v="Lasteiatasu - õppekulu"/>
    <n v="32"/>
    <x v="0"/>
    <x v="0"/>
    <x v="0"/>
    <s v="Põhitegevuse tulu"/>
  </r>
  <r>
    <s v="09"/>
    <s v="0911006         "/>
    <s v=" Laekvere Lasteaed"/>
    <s v="Alusharidus"/>
    <s v="Haridus"/>
    <s v="Tudu Lasteaed"/>
    <s v="Toidupäev"/>
    <n v="221"/>
    <s v="toidukorda"/>
    <n v="14.4"/>
    <s v="last"/>
    <n v="1.28"/>
    <n v="4073.4720000000002"/>
    <s v="maha arvatud laste arvust -20% puudumised"/>
    <n v="32206"/>
    <s v="Lasteaia toiduraha"/>
    <n v="32"/>
    <x v="0"/>
    <x v="0"/>
    <x v="0"/>
    <s v="Põhitegevuse tulu"/>
  </r>
  <r>
    <s v="09"/>
    <s v="0911006         "/>
    <s v=" Laekvere Lasteaed"/>
    <s v="Alusharidus"/>
    <s v="Haridus"/>
    <s v="Laekvere Lasteaed"/>
    <m/>
    <n v="41.6"/>
    <s v="last"/>
    <n v="10.5"/>
    <s v="kuu"/>
    <n v="20"/>
    <n v="8736"/>
    <s v="kohatasu"/>
    <n v="32201"/>
    <s v="Lasteiatasu - õppekulu"/>
    <n v="32"/>
    <x v="0"/>
    <x v="0"/>
    <x v="0"/>
    <s v="Põhitegevuse tulu"/>
  </r>
  <r>
    <s v="09"/>
    <s v="0911006         "/>
    <s v=" Laekvere Lasteaed"/>
    <s v="Alusharidus"/>
    <s v="Haridus"/>
    <s v="Laekvere Lasteaed"/>
    <s v="Toidupäev"/>
    <n v="221"/>
    <s v="toidukorda"/>
    <n v="41.6"/>
    <s v="last"/>
    <n v="0.85"/>
    <n v="7814.56"/>
    <s v="maha arvatud laste arvust -20% puudumised"/>
    <n v="32206"/>
    <s v="Lasteaia toiduraha"/>
    <n v="32"/>
    <x v="0"/>
    <x v="0"/>
    <x v="0"/>
    <s v="Põhitegevuse tulu"/>
  </r>
  <r>
    <s v="09"/>
    <s v="0911007         "/>
    <s v=" Roela Lasteaed"/>
    <s v="Alusharidus"/>
    <s v="Haridus"/>
    <s v="Roela Lasteaed"/>
    <s v="Sõimelapsed"/>
    <n v="32.4"/>
    <m/>
    <n v="12"/>
    <s v="kuu"/>
    <n v="20"/>
    <n v="7775.9999999999991"/>
    <s v="kohatasu, maha arvestatud -10% puudumisi"/>
    <n v="32201"/>
    <s v="Lasteiatasu - õppekulu"/>
    <n v="32"/>
    <x v="0"/>
    <x v="0"/>
    <x v="0"/>
    <s v="Põhitegevuse tulu"/>
  </r>
  <r>
    <s v="09"/>
    <s v="0911007         "/>
    <s v=" Roela Lasteaed"/>
    <s v="Alusharidus"/>
    <s v="Haridus"/>
    <s v="Roela Lasteaed"/>
    <s v="Toidupäev"/>
    <n v="221"/>
    <s v="toidukorda"/>
    <n v="28.8"/>
    <s v="last"/>
    <n v="0.8"/>
    <n v="5091.84"/>
    <s v="maha arvatud laste arvust -20% puudumised"/>
    <n v="32206"/>
    <s v="Lasteaia toiduraha"/>
    <n v="32"/>
    <x v="0"/>
    <x v="0"/>
    <x v="0"/>
    <s v="Põhitegevuse tulu"/>
  </r>
  <r>
    <s v="01"/>
    <s v="01112           "/>
    <s v=" Valla- ja linnavalitsus"/>
    <s v="Valla- ja linnavalitsus"/>
    <s v="Üldised valitsussektori teenused"/>
    <s v="Finantsosakond"/>
    <s v="Füüsilise isiku tulumaks"/>
    <n v="1"/>
    <s v="aasta"/>
    <n v="1.08"/>
    <m/>
    <n v="5238779"/>
    <n v="5657881.3200000003"/>
    <m/>
    <n v="3000"/>
    <s v="Füüsilise isiku tulumaks"/>
    <n v="3000"/>
    <x v="1"/>
    <x v="1"/>
    <x v="1"/>
    <s v="Põhitegevuse tulu"/>
  </r>
  <r>
    <s v="10"/>
    <s v="1020001         "/>
    <s v=" Tammiku Kodu"/>
    <s v="Eakate sotsiaalhoolekande asutused"/>
    <s v="Sotsiaalne kaitse"/>
    <s v="Tammiku kodu"/>
    <s v="kohatasu"/>
    <n v="24"/>
    <s v="hooldatavat"/>
    <n v="12"/>
    <s v="kuud"/>
    <n v="605"/>
    <n v="174240"/>
    <m/>
    <n v="3224"/>
    <s v="Tulud sotsiaalabi teenustest"/>
    <n v="32"/>
    <x v="0"/>
    <x v="0"/>
    <x v="0"/>
    <s v="Põhitegevuse tulu"/>
  </r>
  <r>
    <s v="10"/>
    <s v="1020002         "/>
    <s v=" Ulvi Kodu"/>
    <s v="Eakate sotsiaalhoolekande asutused"/>
    <s v="Sotsiaalne kaitse"/>
    <s v="Ulvi kodu"/>
    <s v="kohatasu"/>
    <n v="30"/>
    <s v="hooldatavat"/>
    <n v="12"/>
    <s v="kuud"/>
    <n v="630"/>
    <n v="226800"/>
    <m/>
    <n v="3224"/>
    <s v="Tulud sotsiaalabi teenustest"/>
    <n v="32"/>
    <x v="0"/>
    <x v="0"/>
    <x v="0"/>
    <s v="Põhitegevuse tulu"/>
  </r>
  <r>
    <s v="01"/>
    <s v="01112           "/>
    <s v=" Valla- ja linnavalitsus"/>
    <s v="Valla- ja linnavalitsus"/>
    <s v="Üldised valitsussektori teenused"/>
    <s v="Vallavalitsus"/>
    <s v="Maavarad"/>
    <n v="1"/>
    <s v="aasta"/>
    <n v="1"/>
    <m/>
    <n v="87300"/>
    <n v="87300"/>
    <m/>
    <n v="38251"/>
    <s v="Kohaliku tähtsusega maardlate kaevandamisõiguse tasu"/>
    <n v="38251"/>
    <x v="2"/>
    <x v="2"/>
    <x v="2"/>
    <s v="Põhitegevuse tulu"/>
  </r>
  <r>
    <s v="01"/>
    <s v="01112           "/>
    <s v=" Valla- ja linnavalitsus"/>
    <s v="Valla- ja linnavalitsus"/>
    <s v="Üldised valitsussektori teenused"/>
    <s v="Vallavalitsus"/>
    <s v="Vee erikasutustasud"/>
    <n v="1"/>
    <s v="aasta"/>
    <n v="1"/>
    <m/>
    <n v="13300"/>
    <n v="13300"/>
    <m/>
    <n v="38254"/>
    <s v="Tasu vee erikasutusest"/>
    <n v="38254"/>
    <x v="2"/>
    <x v="2"/>
    <x v="3"/>
    <s v="Põhitegevuse tulu"/>
  </r>
  <r>
    <s v="01"/>
    <s v="01112           "/>
    <s v=" Valla- ja linnavalitsus"/>
    <s v="Valla- ja linnavalitsus"/>
    <s v="Üldised valitsussektori teenused"/>
    <s v="Vallavalitsus"/>
    <s v="Saastetasud"/>
    <m/>
    <m/>
    <m/>
    <m/>
    <m/>
    <n v="0"/>
    <m/>
    <n v="3882"/>
    <s v="Saastetasud"/>
    <n v="3882"/>
    <x v="2"/>
    <x v="2"/>
    <x v="4"/>
    <s v="Põhitegevuse tulu"/>
  </r>
  <r>
    <s v="01"/>
    <s v="01112           "/>
    <s v=" Valla- ja linnavalitsus"/>
    <s v="Valla- ja linnavalitsus"/>
    <s v="Üldised valitsussektori teenused"/>
    <s v="Vallavalitsus"/>
    <s v="Riigilõivud"/>
    <n v="12"/>
    <s v="kuud"/>
    <n v="15"/>
    <s v="in"/>
    <n v="30"/>
    <n v="5400"/>
    <m/>
    <n v="320"/>
    <s v="Riigilõivud"/>
    <n v="32"/>
    <x v="0"/>
    <x v="0"/>
    <x v="0"/>
    <s v="Põhitegevuse tulu"/>
  </r>
  <r>
    <s v="03"/>
    <s v="03200           "/>
    <s v=" Päästeteenused"/>
    <s v="Päästeteenused"/>
    <s v="Avalik kord ja julgeolek"/>
    <s v="Noorsoo- ja spordinõunik"/>
    <s v="Vabatahtliku tegevuse püsitasu"/>
    <n v="4"/>
    <s v="kvartal"/>
    <n v="1"/>
    <m/>
    <n v="900"/>
    <n v="3600"/>
    <m/>
    <n v="3227"/>
    <s v="Laekumised korrakaitseasutuste majandustegevusest"/>
    <n v="32"/>
    <x v="0"/>
    <x v="0"/>
    <x v="0"/>
    <s v="Põhitegevuse tulu"/>
  </r>
  <r>
    <s v="03"/>
    <s v="03200           "/>
    <s v=" Päästeteenused"/>
    <s v="Päästeteenused"/>
    <s v="Avalik kord ja julgeolek"/>
    <s v="Noorsoo- ja spordinõunik"/>
    <s v="Valmisoleku tasud"/>
    <n v="4"/>
    <s v="kvartal"/>
    <n v="1"/>
    <s v="aasta"/>
    <n v="290"/>
    <n v="1160"/>
    <m/>
    <n v="3227"/>
    <s v="Laekumised korrakaitseasutuste majandustegevusest"/>
    <n v="32"/>
    <x v="0"/>
    <x v="0"/>
    <x v="0"/>
    <s v="Põhitegevuse tulu"/>
  </r>
  <r>
    <s v="03"/>
    <s v="03200           "/>
    <s v=" Päästeteenused"/>
    <s v="Päästeteenused"/>
    <s v="Avalik kord ja julgeolek"/>
    <s v="Noorsoo- ja spordinõunik"/>
    <s v="Tehnika püsitasu"/>
    <n v="4"/>
    <s v="kvartal"/>
    <n v="1"/>
    <m/>
    <n v="225"/>
    <n v="900"/>
    <m/>
    <n v="3227"/>
    <s v="Laekumised korrakaitseasutuste majandustegevusest"/>
    <n v="32"/>
    <x v="0"/>
    <x v="0"/>
    <x v="0"/>
    <s v="Põhitegevuse tulu"/>
  </r>
  <r>
    <s v="01"/>
    <s v="01112           "/>
    <s v=" Valla- ja linnavalitsus"/>
    <s v="Valla- ja linnavalitsus"/>
    <s v="Üldised valitsussektori teenused"/>
    <s v="Vallavalitsus"/>
    <s v="Kommunaalteenused"/>
    <n v="12"/>
    <s v="kuud"/>
    <n v="7"/>
    <s v="in"/>
    <n v="24"/>
    <n v="2016"/>
    <s v="vesi"/>
    <n v="3225"/>
    <s v="Laekumised elamu- ja kommunaalasutuste majandustegevusest"/>
    <n v="32"/>
    <x v="0"/>
    <x v="0"/>
    <x v="0"/>
    <s v="Põhitegevuse tulu"/>
  </r>
  <r>
    <s v="06"/>
    <s v="0660507         "/>
    <s v=" Saunad"/>
    <s v="Muu elamu- ja kommunaalmajanduse tegevus"/>
    <s v="Elamu- ja kommunaalmajandus"/>
    <s v="Viru-Jaagupi piirkond"/>
    <s v="Saunateenuste tulu"/>
    <n v="12"/>
    <s v="kuud"/>
    <n v="1"/>
    <m/>
    <n v="300"/>
    <n v="3600"/>
    <m/>
    <n v="3232"/>
    <s v="Laekumised muude majandusküsimustega tegelevate asutustega"/>
    <n v="32"/>
    <x v="0"/>
    <x v="0"/>
    <x v="0"/>
    <s v="Põhitegevuse tulu"/>
  </r>
  <r>
    <s v="01"/>
    <s v="01112           "/>
    <s v=" Valla- ja linnavalitsus"/>
    <s v="Valla- ja linnavalitsus"/>
    <s v="Üldised valitsussektori teenused"/>
    <s v="Vallavalitsus"/>
    <s v="Korterite üüritulu"/>
    <n v="12"/>
    <s v="kuud"/>
    <n v="1"/>
    <m/>
    <n v="3500"/>
    <n v="42000"/>
    <m/>
    <n v="3233"/>
    <s v="Üüri- ja renditulud"/>
    <n v="32"/>
    <x v="0"/>
    <x v="0"/>
    <x v="0"/>
    <s v="Põhitegevuse tulu"/>
  </r>
  <r>
    <s v="01"/>
    <s v="01112           "/>
    <s v=" Valla- ja linnavalitsus"/>
    <s v="Valla- ja linnavalitsus"/>
    <s v="Üldised valitsussektori teenused"/>
    <s v="Vallavalitsus"/>
    <s v="Korterite elekter"/>
    <n v="12"/>
    <s v="kuud"/>
    <n v="1"/>
    <m/>
    <n v="800"/>
    <n v="9600"/>
    <m/>
    <n v="3233"/>
    <s v="Üüri- ja renditulud"/>
    <n v="32"/>
    <x v="0"/>
    <x v="0"/>
    <x v="0"/>
    <s v="Põhitegevuse tulu"/>
  </r>
  <r>
    <s v="01"/>
    <s v="01112           "/>
    <s v=" Valla- ja linnavalitsus"/>
    <s v="Valla- ja linnavalitsus"/>
    <s v="Üldised valitsussektori teenused"/>
    <s v="Vallavalitsus"/>
    <s v="Korterite vesi"/>
    <n v="12"/>
    <s v="kuud"/>
    <n v="1"/>
    <m/>
    <n v="500"/>
    <n v="6000"/>
    <m/>
    <n v="3233"/>
    <s v="Üüri- ja renditulud"/>
    <n v="32"/>
    <x v="0"/>
    <x v="0"/>
    <x v="0"/>
    <s v="Põhitegevuse tulu"/>
  </r>
  <r>
    <s v="01"/>
    <s v="01112           "/>
    <s v=" Valla- ja linnavalitsus"/>
    <s v="Valla- ja linnavalitsus"/>
    <s v="Üldised valitsussektori teenused"/>
    <s v="Vallavalitsus"/>
    <s v="Korterite prügivedu"/>
    <n v="12"/>
    <s v="kuud"/>
    <n v="1"/>
    <m/>
    <n v="110"/>
    <n v="1320"/>
    <m/>
    <n v="3233"/>
    <s v="Üüri- ja renditulud"/>
    <n v="32"/>
    <x v="0"/>
    <x v="0"/>
    <x v="0"/>
    <s v="Põhitegevuse tulu"/>
  </r>
  <r>
    <s v="01"/>
    <s v="01112           "/>
    <s v=" Valla- ja linnavalitsus"/>
    <s v="Valla- ja linnavalitsus"/>
    <s v="Üldised valitsussektori teenused"/>
    <s v="Vallavalitsus"/>
    <s v="Korterite keskküte"/>
    <n v="12"/>
    <s v="kuud"/>
    <n v="1"/>
    <m/>
    <n v="930"/>
    <n v="11160"/>
    <m/>
    <n v="3233"/>
    <s v="Üüri- ja renditulud"/>
    <n v="32"/>
    <x v="0"/>
    <x v="0"/>
    <x v="0"/>
    <s v="Põhitegevuse tulu"/>
  </r>
  <r>
    <s v="01"/>
    <s v="01112           "/>
    <s v=" Valla- ja linnavalitsus"/>
    <s v="Valla- ja linnavalitsus"/>
    <s v="Üldised valitsussektori teenused"/>
    <s v="Vallavalitsus"/>
    <s v="Korterite digiteenus (elisa)"/>
    <n v="12"/>
    <s v="kuud"/>
    <n v="1"/>
    <m/>
    <n v="47.93"/>
    <n v="575.16"/>
    <m/>
    <n v="3233"/>
    <s v="Üüri- ja renditulud"/>
    <n v="32"/>
    <x v="0"/>
    <x v="0"/>
    <x v="0"/>
    <s v="Põhitegevuse tulu"/>
  </r>
  <r>
    <s v="01"/>
    <s v="01112           "/>
    <s v=" Valla- ja linnavalitsus"/>
    <s v="Valla- ja linnavalitsus"/>
    <s v="Üldised valitsussektori teenused"/>
    <s v="Sotsiaalosakond"/>
    <s v="Koduteenuse osutamine"/>
    <n v="12"/>
    <s v="kuud"/>
    <n v="1"/>
    <m/>
    <n v="520"/>
    <n v="6240"/>
    <m/>
    <n v="3224"/>
    <s v="Tulud sotsiaalabi teenustest"/>
    <n v="32"/>
    <x v="0"/>
    <x v="0"/>
    <x v="0"/>
    <s v="Põhitegevuse tulu"/>
  </r>
  <r>
    <s v="01"/>
    <s v="01112           "/>
    <s v=" Valla- ja linnavalitsus"/>
    <s v="Valla- ja linnavalitsus"/>
    <s v="Üldised valitsussektori teenused"/>
    <s v="Vallavalitsus"/>
    <s v="Muuga-Laekvere koolile eraldatud katuseraha  Inventari soetamine"/>
    <n v="1"/>
    <s v="aasta"/>
    <n v="1"/>
    <m/>
    <n v="5000"/>
    <n v="5000"/>
    <m/>
    <n v="3520"/>
    <s v="Valitsussektorisisesed toetused"/>
    <n v="352"/>
    <x v="3"/>
    <x v="3"/>
    <x v="5"/>
    <s v="Põhitegevuse tulu"/>
  </r>
  <r>
    <s v="01"/>
    <s v="01112           "/>
    <s v=" Valla- ja linnavalitsus"/>
    <s v="Valla- ja linnavalitsus"/>
    <s v="Üldised valitsussektori teenused"/>
    <s v="Vallavalitsus"/>
    <s v="Laekvere Põhikooli dušši- ja riietusruumide ehitamine"/>
    <n v="1"/>
    <s v="aasta"/>
    <n v="1"/>
    <m/>
    <n v="6000"/>
    <n v="6000"/>
    <m/>
    <n v="3520"/>
    <s v="Valitsussektorisisesed toetused"/>
    <n v="352"/>
    <x v="3"/>
    <x v="3"/>
    <x v="5"/>
    <s v="Põhitegevuse tulu"/>
  </r>
  <r>
    <s v="09"/>
    <s v="0960201         "/>
    <s v=" Roela Õpilaskodu"/>
    <s v="Öömaja"/>
    <s v="Haridus"/>
    <s v="Haridusnõunik"/>
    <s v="Rahandusmin. Õpilaskodu toetus"/>
    <n v="11"/>
    <s v="in"/>
    <n v="1.3045450000000001"/>
    <m/>
    <n v="2000"/>
    <n v="28699.989999999998"/>
    <s v="Arvestus: 11in*2000€/aasta=22 000; Vähendus 2019.a eest -2666,67"/>
    <n v="352"/>
    <s v="Mittesihtotstarbelised toetused"/>
    <n v="352"/>
    <x v="3"/>
    <x v="3"/>
    <x v="5"/>
    <s v="Põhitegevuse tulu"/>
  </r>
  <r>
    <s v="09"/>
    <s v="0911004         "/>
    <s v=" Tudu Lasteaed"/>
    <s v="Alusharidus"/>
    <s v="Haridus"/>
    <s v="Vallavalitsus"/>
    <s v="PRIA koolipiima toetus"/>
    <n v="12"/>
    <s v="kuud"/>
    <n v="1"/>
    <s v="aasta"/>
    <n v="1833.34"/>
    <n v="22000.079999999998"/>
    <m/>
    <n v="3500"/>
    <s v="Sihtotstarbelised toetused jooksvateks kuludeks"/>
    <n v="352"/>
    <x v="3"/>
    <x v="3"/>
    <x v="5"/>
    <s v="Põhitegevuse tulu"/>
  </r>
  <r>
    <s v="04"/>
    <s v="04900           "/>
    <s v=" Muu majandus (sh majanduse haldus)"/>
    <s v="Muu majandus (sh majanduse haldus)"/>
    <s v="Majandus"/>
    <s v="Arendusnõunik"/>
    <s v="Hajaasustuseprogrammiga "/>
    <n v="1"/>
    <m/>
    <n v="1"/>
    <m/>
    <n v="35000"/>
    <n v="35000"/>
    <m/>
    <n v="20385"/>
    <s v="Põhivara soetuseks saadav sihtfinantseerimine"/>
    <n v="3502"/>
    <x v="4"/>
    <x v="4"/>
    <x v="6"/>
    <s v="Investeerimistegevus"/>
  </r>
  <r>
    <s v="06"/>
    <s v="06400           "/>
    <s v="Tänavavalgustus"/>
    <s v="Tänavavalgustus"/>
    <s v="Elamu- ja kommunaalmajandus"/>
    <s v="Ehitusnõunik"/>
    <s v="Ühtekuuluvusfond"/>
    <n v="1"/>
    <m/>
    <n v="1"/>
    <m/>
    <n v="470000"/>
    <n v="470000"/>
    <m/>
    <n v="20385"/>
    <s v="Põhivara soetuseks saadav sihtfinantseerimine"/>
    <n v="3502"/>
    <x v="4"/>
    <x v="4"/>
    <x v="6"/>
    <s v="Investeerimistegevus"/>
  </r>
  <r>
    <s v="08"/>
    <s v="0820205         "/>
    <s v="Laekvere Rahvamaja"/>
    <s v="Rahvakultuur"/>
    <s v="Vabaaeg, kultuur ja religioon"/>
    <s v="Ehitusnõunik"/>
    <s v="Laekvere Rahvamaja keldrisse lasketiiru rajamine"/>
    <n v="1"/>
    <m/>
    <n v="1"/>
    <m/>
    <n v="20000"/>
    <n v="20000"/>
    <m/>
    <n v="20385"/>
    <s v="Põhivara soetuseks saadav sihtfinantseerimine"/>
    <n v="3502"/>
    <x v="4"/>
    <x v="4"/>
    <x v="6"/>
    <s v="Investeerimistegevus"/>
  </r>
  <r>
    <s v="10"/>
    <s v="1020002         "/>
    <s v=" Ulvi Kodu"/>
    <s v="Eakate sotsiaalhoolekande asutused"/>
    <s v="Sotsiaalne kaitse"/>
    <s v="Arendusnõunik"/>
    <s v="Ulvi Kodu rekonstrueerimine"/>
    <n v="1"/>
    <m/>
    <n v="1"/>
    <m/>
    <n v="200000"/>
    <n v="200000"/>
    <m/>
    <n v="20385"/>
    <s v="Põhivara soetuseks saadav sihtfinantseerimine"/>
    <n v="3502"/>
    <x v="4"/>
    <x v="4"/>
    <x v="6"/>
    <s v="Investeerimistegevus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30">
  <r>
    <x v="0"/>
    <x v="0"/>
    <x v="0"/>
    <s v="Valla- ja linnavolikogu"/>
    <s v="Üldised valitsussektori teenused"/>
    <s v="Volikogu esimees"/>
    <s v="külaliste vastuvõtt"/>
    <n v="100"/>
    <n v="0"/>
    <x v="0"/>
    <s v="Administreerimiskulud"/>
    <n v="55"/>
    <s v="55"/>
    <x v="0"/>
    <x v="0"/>
    <s v="Põhitegevuse kulu"/>
    <n v="0"/>
  </r>
  <r>
    <x v="0"/>
    <x v="0"/>
    <x v="0"/>
    <s v="Valla- ja linnavolikogu"/>
    <s v="Üldised valitsussektori teenused"/>
    <s v="Volikogu esimees"/>
    <s v="postikulu"/>
    <n v="50"/>
    <n v="0"/>
    <x v="0"/>
    <s v="Administreerimiskulud"/>
    <n v="55"/>
    <s v="55"/>
    <x v="0"/>
    <x v="0"/>
    <s v="Põhitegevuse kulu"/>
    <n v="0"/>
  </r>
  <r>
    <x v="0"/>
    <x v="0"/>
    <x v="0"/>
    <s v="Valla- ja linnavolikogu"/>
    <s v="Üldised valitsussektori teenused"/>
    <s v="Volikogu esimees"/>
    <s v="tellitud transport"/>
    <n v="500"/>
    <n v="0"/>
    <x v="1"/>
    <s v="Mitmesugused majanduskulud"/>
    <n v="55"/>
    <s v="55"/>
    <x v="0"/>
    <x v="0"/>
    <s v="Põhitegevuse kulu"/>
    <n v="0"/>
  </r>
  <r>
    <x v="0"/>
    <x v="0"/>
    <x v="0"/>
    <s v="Valla- ja linnavolikogu"/>
    <s v="Üldised valitsussektori teenused"/>
    <s v="Volikogu esimees"/>
    <s v="komisjonide töö korraldamised"/>
    <n v="1250"/>
    <n v="0"/>
    <x v="0"/>
    <s v="Administreerimiskulud"/>
    <n v="55"/>
    <s v="55"/>
    <x v="0"/>
    <x v="0"/>
    <s v="Põhitegevuse kulu"/>
    <n v="0"/>
  </r>
  <r>
    <x v="0"/>
    <x v="0"/>
    <x v="0"/>
    <s v="Valla- ja linnavolikogu"/>
    <s v="Üldised valitsussektori teenused"/>
    <s v="Volikogu esimees"/>
    <s v="Koolitused"/>
    <n v="8350"/>
    <s v="17 x 50"/>
    <x v="2"/>
    <s v="Koolituskulud"/>
    <n v="55"/>
    <s v="55"/>
    <x v="0"/>
    <x v="0"/>
    <s v="Põhitegevuse kulu"/>
    <n v="0"/>
  </r>
  <r>
    <x v="0"/>
    <x v="0"/>
    <x v="0"/>
    <s v="Valla- ja linnavolikogu"/>
    <s v="Üldised valitsussektori teenused"/>
    <s v="Volikogu esimees"/>
    <s v="Isikliku sõiduauto komp."/>
    <n v="1800"/>
    <s v="esimees 12*150"/>
    <x v="3"/>
    <s v="Sõidukite ülalpidamise kulud"/>
    <n v="55"/>
    <s v="55"/>
    <x v="0"/>
    <x v="0"/>
    <s v="Põhitegevuse kulu"/>
    <n v="0"/>
  </r>
  <r>
    <x v="0"/>
    <x v="1"/>
    <x v="1"/>
    <s v="Valla- ja linnavalitsus"/>
    <s v="Üldised valitsussektori teenused"/>
    <s v="Vallavalitsus"/>
    <s v="Vallamaja koristusteenus"/>
    <n v="9936"/>
    <s v="Tarvaprojekt"/>
    <x v="4"/>
    <s v="Kinnistute, hoonete ja ruumide majandamiskulud"/>
    <n v="55"/>
    <s v="55"/>
    <x v="0"/>
    <x v="0"/>
    <s v="Põhitegevuse kulu"/>
    <n v="0"/>
  </r>
  <r>
    <x v="0"/>
    <x v="1"/>
    <x v="1"/>
    <s v="Valla- ja linnavalitsus"/>
    <s v="Üldised valitsussektori teenused"/>
    <s v="Finantsosakond"/>
    <s v="Audiitorteenus"/>
    <n v="2000"/>
    <n v="0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Finantsosakond"/>
    <s v="Trükised"/>
    <n v="0"/>
    <s v="raamatupidamisuudised jms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Finantsosakond"/>
    <s v="Omniva arvekeskus"/>
    <n v="7200"/>
    <s v="600x12 kuud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Finantsosakond"/>
    <s v="Koolitused"/>
    <n v="1500"/>
    <s v="1 inx375€"/>
    <x v="2"/>
    <s v="Koolituskulud"/>
    <n v="55"/>
    <s v="55"/>
    <x v="0"/>
    <x v="0"/>
    <s v="Põhitegevuse kulu"/>
    <n v="0"/>
  </r>
  <r>
    <x v="0"/>
    <x v="1"/>
    <x v="1"/>
    <s v="Valla- ja linnavalitsus"/>
    <s v="Üldised valitsussektori teenused"/>
    <s v="Finantsosakond"/>
    <s v="Koolituslähetuse sõidukulud"/>
    <n v="120"/>
    <n v="0"/>
    <x v="2"/>
    <s v="Koolituskulud"/>
    <n v="55"/>
    <s v="55"/>
    <x v="0"/>
    <x v="0"/>
    <s v="Põhitegevuse kulu"/>
    <n v="0"/>
  </r>
  <r>
    <x v="0"/>
    <x v="1"/>
    <x v="1"/>
    <s v="Valla- ja linnavalitsus"/>
    <s v="Üldised valitsussektori teenused"/>
    <s v="Finantsosakond"/>
    <s v="Isikliku sõiduauto komp."/>
    <n v="0"/>
    <n v="0"/>
    <x v="3"/>
    <s v="Sõidukite ülalpidamise kulud"/>
    <n v="55"/>
    <s v="55"/>
    <x v="0"/>
    <x v="0"/>
    <s v="Põhitegevuse kulu"/>
    <n v="0"/>
  </r>
  <r>
    <x v="0"/>
    <x v="1"/>
    <x v="1"/>
    <s v="Valla- ja linnavalitsus"/>
    <s v="Üldised valitsussektori teenused"/>
    <s v="Finantsosakond"/>
    <s v="Pmen hooldus"/>
    <n v="2880"/>
    <s v="240x12 kuud"/>
    <x v="5"/>
    <s v="Info- ja kommunikatsioonitehnoliigised kulud"/>
    <n v="55"/>
    <s v="55"/>
    <x v="0"/>
    <x v="0"/>
    <s v="Põhitegevuse kulu"/>
    <n v="0"/>
  </r>
  <r>
    <x v="0"/>
    <x v="1"/>
    <x v="1"/>
    <s v="Valla- ja linnavalitsus"/>
    <s v="Üldised valitsussektori teenused"/>
    <s v="Finantsosakond"/>
    <s v="Raamatupidajate kogu liikmemaks"/>
    <n v="120"/>
    <n v="0"/>
    <x v="6"/>
    <s v="Liikmemaksud"/>
    <n v="452"/>
    <s v="45"/>
    <x v="1"/>
    <x v="1"/>
    <s v="Põhitegevuse kulu"/>
    <n v="0"/>
  </r>
  <r>
    <x v="0"/>
    <x v="1"/>
    <x v="1"/>
    <s v="Valla- ja linnavalitsus"/>
    <s v="Üldised valitsussektori teenused"/>
    <s v="Finantsosakond"/>
    <s v="Maksumaksjate liidu liikmemaks"/>
    <n v="90"/>
    <n v="0"/>
    <x v="6"/>
    <s v="Liikmemaksud"/>
    <n v="452"/>
    <s v="45"/>
    <x v="1"/>
    <x v="1"/>
    <s v="Põhitegevuse kulu"/>
    <n v="0"/>
  </r>
  <r>
    <x v="0"/>
    <x v="1"/>
    <x v="1"/>
    <s v="Valla- ja linnavalitsus"/>
    <s v="Üldised valitsussektori teenused"/>
    <s v="Vallavanem"/>
    <s v="Valitsuse liikmete koolituskulud"/>
    <n v="1000"/>
    <n v="0"/>
    <x v="2"/>
    <s v="Koolituskulud"/>
    <n v="55"/>
    <s v="55"/>
    <x v="0"/>
    <x v="0"/>
    <s v="Põhitegevuse kulu"/>
    <n v="0"/>
  </r>
  <r>
    <x v="0"/>
    <x v="1"/>
    <x v="1"/>
    <s v="Valla- ja linnavalitsus"/>
    <s v="Üldised valitsussektori teenused"/>
    <s v="Finantsosakond"/>
    <s v="Pangateenustasud"/>
    <n v="660"/>
    <s v="Swedbank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Finantsosakond"/>
    <s v="Pangateenustasud"/>
    <n v="480"/>
    <n v="0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Arhivaalide hävitamise teenus"/>
    <n v="500"/>
    <n v="0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Arhiivi tarvikud"/>
    <n v="500"/>
    <n v="0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Kontoritarbed"/>
    <n v="1680"/>
    <n v="0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Postikulud"/>
    <n v="960"/>
    <n v="0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Koopiapaber"/>
    <n v="1500"/>
    <n v="0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Paljunduskulud"/>
    <n v="1440"/>
    <n v="0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Kalendrid"/>
    <n v="600"/>
    <n v="0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Kalendermärkmikud"/>
    <n v="420"/>
    <n v="0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Meened (prillilapp, tassid, pastakad)"/>
    <n v="5000"/>
    <n v="0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Lilled sünnipäevalistele jne"/>
    <n v="2520"/>
    <n v="0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Lauatelefonid"/>
    <n v="3480"/>
    <n v="0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Esinduskulud (kohv)"/>
    <n v="540"/>
    <n v="0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Esindus - ja vastuvõtu kulud"/>
    <n v="5500"/>
    <n v="0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Kuulutused"/>
    <n v="1000"/>
    <s v="kaastunde avaldused jms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Visiitkaardid"/>
    <n v="60"/>
    <n v="0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R.Võrno lähetused"/>
    <n v="1500"/>
    <n v="0"/>
    <x v="7"/>
    <s v="Lähetu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Koolitustel osalemine"/>
    <n v="5000"/>
    <s v="Mart, Vaive, Kersti, Tuuli, Inga, Kätlin"/>
    <x v="2"/>
    <s v="Koolitu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Vallavalitsuse koosseisu hõlmavad üldised koolitused"/>
    <n v="2500"/>
    <n v="0"/>
    <x v="2"/>
    <s v="Koolitus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Valla meeskonna koolitused"/>
    <n v="12000"/>
    <n v="0"/>
    <x v="2"/>
    <s v="Koolitu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Mastilipud"/>
    <n v="4800"/>
    <n v="0"/>
    <x v="4"/>
    <s v="Kinnistute, hoonete ja ruumide majandamis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Saku Läte"/>
    <n v="1440"/>
    <n v="0"/>
    <x v="4"/>
    <s v="Kinnistute, hoonete ja ruumide majandamis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Vallamaja elekter"/>
    <n v="4800"/>
    <n v="0"/>
    <x v="4"/>
    <s v="Kinnistute, hoonete ja ruumide majandamis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Vallamaja vesi"/>
    <n v="1800"/>
    <n v="0"/>
    <x v="4"/>
    <s v="Kinnistute, hoonete ja ruumide majandamis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Vallamaja keskküte"/>
    <n v="20700"/>
    <n v="0"/>
    <x v="4"/>
    <s v="Kinnistute, hoonete ja ruumide majandamis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Prügikonteineri rent"/>
    <n v="300"/>
    <n v="0"/>
    <x v="4"/>
    <s v="Kinnistute, hoonete ja ruumide majandamis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Jäätmekäitlus"/>
    <n v="840"/>
    <n v="0"/>
    <x v="4"/>
    <s v="Kinnistute, hoonete ja ruumide majandamis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Hoone kindlustus"/>
    <n v="260"/>
    <n v="0"/>
    <x v="4"/>
    <s v="Kinnistute, hoonete ja ruumide majandamis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Muud kinnistu ja hoonetega seotud kulud"/>
    <n v="15000"/>
    <n v="0"/>
    <x v="4"/>
    <s v="Kinnistute, hoonete ja ruumide majandami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Isikliku sõiduauto komp."/>
    <n v="704"/>
    <s v="juhiabi"/>
    <x v="3"/>
    <s v="Sõidukite ülalpidamise 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Isikliku sõiduauto komp."/>
    <n v="704"/>
    <s v="vallasekretär"/>
    <x v="3"/>
    <s v="Sõidukite ülalpidamise 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Isikliku sõiduauto komp."/>
    <n v="1650"/>
    <s v="abivallavanem"/>
    <x v="3"/>
    <s v="Sõidukite ülalpidamise 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Vallavanema auto liising"/>
    <n v="5227.2000000000007"/>
    <n v="0"/>
    <x v="3"/>
    <s v="Sõidukite ülalpidamise 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Vallavanema auto kindlustus"/>
    <n v="650"/>
    <n v="0"/>
    <x v="3"/>
    <s v="Sõidukite ülalpidamise 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Vallavanema auto kütus"/>
    <n v="4800"/>
    <n v="0"/>
    <x v="3"/>
    <s v="Sõidukite ülalpidamise 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Vallavanema auto remont ja hooldus"/>
    <n v="1500"/>
    <n v="0"/>
    <x v="3"/>
    <s v="Sõidukite ülalpidamise 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Amphora dokumendihaldustarkvara kuutasud"/>
    <n v="4395.2"/>
    <s v="kuutasu 280,02+km; 2020 hinnatõus 9%"/>
    <x v="5"/>
    <s v="Info- ja kommunikatsioonitehnoliigised 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Amphora arendamine"/>
    <n v="1500"/>
    <n v="0"/>
    <x v="5"/>
    <s v="Info- ja kommunikatsioonitehnoliigised 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Kohvimasina rent"/>
    <n v="660"/>
    <n v="0"/>
    <x v="8"/>
    <s v="Inventari kulud, v.a infotehnoloogia ja kaitseotstarbelised 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Muud inventari vajadused"/>
    <n v="1500"/>
    <n v="0"/>
    <x v="8"/>
    <s v="Inventari kulud, v.a infotehnoloogia ja kaitseotstarbelised 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Töötervishoiuarsti teenused, gripivaktsiin, esmaabi vahendid"/>
    <n v="3500"/>
    <n v="0"/>
    <x v="9"/>
    <s v="Meditsiinikulud ja hügieenitarbe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Prillide kompensatsioon"/>
    <n v="1000"/>
    <s v="10 in."/>
    <x v="9"/>
    <s v="Meditsiinikulud ja hügieenitarbe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Raamatud (meene isa-ema, vanaema-vanaisa)"/>
    <n v="200"/>
    <n v="0"/>
    <x v="10"/>
    <s v="Teavikud ja kunstieseme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Kalade ülalpidamine"/>
    <n v="300"/>
    <n v="0"/>
    <x v="0"/>
    <s v="Administreerimiskulu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Spordikulude hüvitamine"/>
    <n v="11200"/>
    <s v="28 in x 400€"/>
    <x v="1"/>
    <s v="Mitmesugused majanduskulud"/>
    <n v="55"/>
    <s v="55"/>
    <x v="0"/>
    <x v="0"/>
    <s v="Põhitegevuse kulu"/>
    <n v="0"/>
  </r>
  <r>
    <x v="0"/>
    <x v="1"/>
    <x v="1"/>
    <s v="Valla- ja linnavalitsus"/>
    <s v="Üldised valitsussektori teenused"/>
    <s v="Arendusnõunik"/>
    <s v="Valla üldplaneeringu koostamine"/>
    <n v="54000"/>
    <n v="0"/>
    <x v="11"/>
    <s v="Uurimis- ja arendustööd"/>
    <n v="55"/>
    <s v="55"/>
    <x v="0"/>
    <x v="0"/>
    <s v="Põhitegevuse kulu"/>
    <n v="0"/>
  </r>
  <r>
    <x v="0"/>
    <x v="1"/>
    <x v="1"/>
    <s v="Valla- ja linnavalitsus"/>
    <s v="Üldised valitsussektori teenused"/>
    <s v="Kantselei"/>
    <s v="Fliisid jms"/>
    <n v="1500"/>
    <n v="0"/>
    <x v="12"/>
    <s v="Eri- ja vormiriietus"/>
    <n v="55"/>
    <s v="55"/>
    <x v="0"/>
    <x v="0"/>
    <s v="Põhitegevuse kulu"/>
    <n v="0"/>
  </r>
  <r>
    <x v="0"/>
    <x v="1"/>
    <x v="1"/>
    <s v="Valla- ja linnavalitsus"/>
    <s v="Üldised valitsussektori teenused"/>
    <s v="Finantsosakond"/>
    <s v="Eelarve rakenduse Veera Liitumis- ja juurutusprotsess"/>
    <n v="4188"/>
    <n v="0"/>
    <x v="5"/>
    <s v="Info- ja kommunikatsioonitehnoliigised kulud"/>
    <n v="55"/>
    <s v="55"/>
    <x v="0"/>
    <x v="0"/>
    <s v="Põhitegevuse kulu"/>
    <n v="0"/>
  </r>
  <r>
    <x v="0"/>
    <x v="1"/>
    <x v="1"/>
    <s v="Valla- ja linnavalitsus"/>
    <s v="Üldised valitsussektori teenused"/>
    <s v="Finantsosakond"/>
    <s v="Eelarve rakenduse Veera kuutasu"/>
    <n v="3732"/>
    <n v="0"/>
    <x v="5"/>
    <s v="Info- ja kommunikatsioonitehnoliigised kulud"/>
    <n v="55"/>
    <s v="55"/>
    <x v="0"/>
    <x v="0"/>
    <s v="Põhitegevuse kulu"/>
    <n v="0"/>
  </r>
  <r>
    <x v="0"/>
    <x v="1"/>
    <x v="1"/>
    <s v="Valla- ja linnavalitsus"/>
    <s v="Üldised valitsussektori teenused"/>
    <s v="Vallavanem"/>
    <s v="Muud ettenägematud kulud"/>
    <n v="35000"/>
    <s v="Rauno"/>
    <x v="1"/>
    <s v="Mitmesugused majanduskulud"/>
    <n v="55"/>
    <s v="55"/>
    <x v="0"/>
    <x v="0"/>
    <s v="Põhitegevuse kulu"/>
    <n v="0"/>
  </r>
  <r>
    <x v="0"/>
    <x v="2"/>
    <x v="2"/>
    <s v="Kohaliku omavalitsuse üksuse reservfond"/>
    <s v="Üldised valitsussektori teenused"/>
    <s v="Vallavalitsus"/>
    <s v="Reservfond"/>
    <n v="59235.382709999998"/>
    <s v="Põhitegevustuludest 1%"/>
    <x v="13"/>
    <s v="Muud tegevuskulud"/>
    <n v="60"/>
    <s v="60"/>
    <x v="0"/>
    <x v="2"/>
    <s v="Põhitegevuse kulu"/>
    <n v="0"/>
  </r>
  <r>
    <x v="0"/>
    <x v="3"/>
    <x v="3"/>
    <s v="Üldiseloomuga ülekanded valitsussektoris"/>
    <s v="Üldised valitsussektori teenused"/>
    <s v="Vallavalitsus"/>
    <s v="Eesti Linnade ja Valdade Liidu 2020.a. liikmemaks"/>
    <n v="5828"/>
    <n v="0"/>
    <x v="6"/>
    <s v="Liikmemaksud"/>
    <n v="452"/>
    <s v="45"/>
    <x v="1"/>
    <x v="1"/>
    <s v="Põhitegevuse kulu"/>
    <n v="0"/>
  </r>
  <r>
    <x v="0"/>
    <x v="3"/>
    <x v="3"/>
    <s v="Üldiseloomuga ülekanded valitsussektoris"/>
    <s v="Üldised valitsussektori teenused"/>
    <s v="Teede- ja ühistranspordinõunik"/>
    <s v="Liikmemaks Põhja- Eesti Ühistranspordikeskus MTÜ-le"/>
    <n v="4474"/>
    <n v="0"/>
    <x v="6"/>
    <s v="Liikmemaksud"/>
    <n v="452"/>
    <s v="45"/>
    <x v="1"/>
    <x v="1"/>
    <s v="Põhitegevuse kulu"/>
    <n v="0"/>
  </r>
  <r>
    <x v="0"/>
    <x v="3"/>
    <x v="3"/>
    <s v="Üldiseloomuga ülekanded valitsussektoris"/>
    <s v="Üldised valitsussektori teenused"/>
    <s v="Vallavalitsus"/>
    <s v="Paik MTÜ liikmemaks"/>
    <n v="1500"/>
    <n v="0"/>
    <x v="6"/>
    <s v="Liikmemaksud"/>
    <n v="452"/>
    <s v="45"/>
    <x v="1"/>
    <x v="1"/>
    <s v="Põhitegevuse kulu"/>
    <n v="0"/>
  </r>
  <r>
    <x v="0"/>
    <x v="3"/>
    <x v="3"/>
    <s v="Üldiseloomuga ülekanded valitsussektoris"/>
    <s v="Üldised valitsussektori teenused"/>
    <s v="Vallavalitsus"/>
    <s v="Virumaa Koostöökogu MTÜ liikmemaks"/>
    <n v="432"/>
    <s v="2019.a +2%"/>
    <x v="6"/>
    <s v="Liikmemaksud"/>
    <n v="452"/>
    <s v="45"/>
    <x v="1"/>
    <x v="1"/>
    <s v="Põhitegevuse kulu"/>
    <n v="0"/>
  </r>
  <r>
    <x v="0"/>
    <x v="3"/>
    <x v="3"/>
    <s v="Üldiseloomuga ülekanded valitsussektoris"/>
    <s v="Üldised valitsussektori teenused"/>
    <s v="Vallavalitsus"/>
    <s v="VIROL omaosalus projektis &quot;Piirkondlike algatuste tugiprogramm 2020-2023&quot;"/>
    <n v="2066"/>
    <s v="2020-2023 kogumaksumus 8264€"/>
    <x v="6"/>
    <s v="Liikmemaksud"/>
    <n v="452"/>
    <s v="45"/>
    <x v="1"/>
    <x v="1"/>
    <s v="Põhitegevuse kulu"/>
    <n v="0"/>
  </r>
  <r>
    <x v="0"/>
    <x v="3"/>
    <x v="3"/>
    <s v="Üldiseloomuga ülekanded valitsussektoris"/>
    <s v="Üldised valitsussektori teenused"/>
    <s v="Vallavalitsus"/>
    <s v="VIROL liikmemaks 2020"/>
    <n v="14248"/>
    <n v="0"/>
    <x v="6"/>
    <s v="Liikmemaksud"/>
    <n v="452"/>
    <s v="45"/>
    <x v="1"/>
    <x v="1"/>
    <s v="Põhitegevuse kulu"/>
    <n v="0"/>
  </r>
  <r>
    <x v="1"/>
    <x v="4"/>
    <x v="4"/>
    <s v="Muu riigikaitse"/>
    <s v="Riigikaitse"/>
    <s v="Vallavalitsus"/>
    <s v="Noorkotkad"/>
    <n v="1000"/>
    <n v="0"/>
    <x v="14"/>
    <s v="Kommunikatsiooni-, kultuuri- ja vaba aja sisustamise kulud"/>
    <n v="55"/>
    <s v="55"/>
    <x v="0"/>
    <x v="0"/>
    <s v="Põhitegevuse kulu"/>
    <n v="0"/>
  </r>
  <r>
    <x v="2"/>
    <x v="5"/>
    <x v="5"/>
    <s v="Päästeteenused"/>
    <s v="Avalik kord ja julgeolek"/>
    <s v="Vallavanem"/>
    <s v="Roela Tuletõrjeselts MTÜ toetus"/>
    <n v="15250"/>
    <n v="0"/>
    <x v="15"/>
    <s v="Sihtotstarbelised eraldised muudele residentidele"/>
    <n v="4500"/>
    <s v="45"/>
    <x v="1"/>
    <x v="3"/>
    <s v="Põhitegevuse kulu"/>
    <n v="0"/>
  </r>
  <r>
    <x v="2"/>
    <x v="5"/>
    <x v="5"/>
    <s v="Päästeteenused"/>
    <s v="Avalik kord ja julgeolek"/>
    <s v="Noorsoo- ja spordinõunik"/>
    <s v="Elekter"/>
    <n v="900"/>
    <n v="0"/>
    <x v="4"/>
    <s v="Kinnistute, hoonete ja ruumide majandamiskulud"/>
    <n v="55"/>
    <s v="55"/>
    <x v="0"/>
    <x v="0"/>
    <s v="Põhitegevuse kulu"/>
    <n v="0"/>
  </r>
  <r>
    <x v="2"/>
    <x v="5"/>
    <x v="5"/>
    <s v="Päästeteenused"/>
    <s v="Avalik kord ja julgeolek"/>
    <s v="Noorsoo- ja spordinõunik"/>
    <s v="Sõidukite remont, hooldus jms"/>
    <n v="700"/>
    <n v="0"/>
    <x v="3"/>
    <s v="Sõidukite ülalpidamise kulud"/>
    <n v="55"/>
    <s v="55"/>
    <x v="0"/>
    <x v="0"/>
    <s v="Põhitegevuse kulu"/>
    <n v="0"/>
  </r>
  <r>
    <x v="3"/>
    <x v="6"/>
    <x v="6"/>
    <s v="Maanteetransport"/>
    <s v="Majandus"/>
    <s v="Teede- ja ühistranspordinõunik"/>
    <s v="Teede korrashoiu kulud"/>
    <n v="486305"/>
    <s v="Toetusfond"/>
    <x v="16"/>
    <s v="Rajatiste majandamiskulud"/>
    <n v="55"/>
    <s v="55"/>
    <x v="0"/>
    <x v="0"/>
    <s v="Põhitegevuse kulu"/>
    <n v="0"/>
  </r>
  <r>
    <x v="3"/>
    <x v="6"/>
    <x v="6"/>
    <s v="Maanteetransport"/>
    <s v="Majandus"/>
    <s v="Teede- ja ühistranspordinõunik"/>
    <s v="Uute musta katte lõikude rajamine"/>
    <n v="0"/>
    <s v="Kruusakattaga teedele uute tolmuvabade lõikude rajamine"/>
    <x v="16"/>
    <s v="Rajatiste majandamiskulud"/>
    <n v="55"/>
    <s v="55"/>
    <x v="0"/>
    <x v="0"/>
    <s v="Põhitegevuse kulu"/>
    <n v="0"/>
  </r>
  <r>
    <x v="3"/>
    <x v="7"/>
    <x v="7"/>
    <s v="Side"/>
    <s v="Majandus"/>
    <s v="IT spetsialist"/>
    <s v=" X-tee turvaserveri v6  majutus"/>
    <n v="835.19999999999993"/>
    <s v="AS Andmevara"/>
    <x v="5"/>
    <s v="Info- ja kommunikatsioonitehnoliigised kulud"/>
    <n v="55"/>
    <s v="55"/>
    <x v="0"/>
    <x v="0"/>
    <s v="Põhitegevuse kulu"/>
    <n v="0"/>
  </r>
  <r>
    <x v="3"/>
    <x v="7"/>
    <x v="7"/>
    <s v="Side"/>
    <s v="Majandus"/>
    <s v="IT spetsialist"/>
    <s v="Kohaliku omavalitsuse teenusportaali kasutamine"/>
    <n v="1210.8000000000002"/>
    <s v="AS Andmevara"/>
    <x v="5"/>
    <s v="Info- ja kommunikatsioonitehnoliigised kulud"/>
    <n v="55"/>
    <s v="55"/>
    <x v="0"/>
    <x v="0"/>
    <s v="Põhitegevuse kulu"/>
    <n v="0"/>
  </r>
  <r>
    <x v="3"/>
    <x v="7"/>
    <x v="7"/>
    <s v="Side"/>
    <s v="Majandus"/>
    <s v="IT spetsialist"/>
    <s v="Kodulehe majutus ja e-post"/>
    <n v="4800"/>
    <s v="Telia (e-post)"/>
    <x v="5"/>
    <s v="Info- ja kommunikatsioonitehnoliigised kulud"/>
    <n v="55"/>
    <s v="55"/>
    <x v="0"/>
    <x v="0"/>
    <s v="Põhitegevuse kulu"/>
    <n v="0"/>
  </r>
  <r>
    <x v="3"/>
    <x v="7"/>
    <x v="7"/>
    <s v="Side"/>
    <s v="Majandus"/>
    <s v="IT spetsialist"/>
    <s v="korrashoiuvahendid"/>
    <n v="100"/>
    <n v="0"/>
    <x v="4"/>
    <s v="Kinnistute, hoonete ja ruumide majandamiskulud"/>
    <n v="55"/>
    <s v="55"/>
    <x v="0"/>
    <x v="0"/>
    <s v="Põhitegevuse kulu"/>
    <n v="0"/>
  </r>
  <r>
    <x v="3"/>
    <x v="7"/>
    <x v="7"/>
    <s v="Side"/>
    <s v="Majandus"/>
    <s v="IT spetsialist"/>
    <s v="Sideteenused"/>
    <n v="240"/>
    <n v="0"/>
    <x v="0"/>
    <s v="Administreerimiskulud"/>
    <n v="55"/>
    <s v="55"/>
    <x v="0"/>
    <x v="0"/>
    <s v="Põhitegevuse kulu"/>
    <n v="0"/>
  </r>
  <r>
    <x v="3"/>
    <x v="7"/>
    <x v="7"/>
    <s v="Side"/>
    <s v="Majandus"/>
    <s v="IT spetsialist"/>
    <s v="Koolitused"/>
    <n v="592.64"/>
    <n v="0"/>
    <x v="2"/>
    <s v="Koolituskulud"/>
    <n v="55"/>
    <s v="55"/>
    <x v="0"/>
    <x v="0"/>
    <s v="Põhitegevuse kulu"/>
    <n v="0"/>
  </r>
  <r>
    <x v="3"/>
    <x v="7"/>
    <x v="7"/>
    <s v="Side"/>
    <s v="Majandus"/>
    <s v="IT spetsialist"/>
    <s v="Isikliku sõiduauto komp."/>
    <n v="3685"/>
    <n v="0"/>
    <x v="3"/>
    <s v="Sõidukite ülalpidamise kulud"/>
    <n v="55"/>
    <s v="55"/>
    <x v="0"/>
    <x v="0"/>
    <s v="Põhitegevuse kulu"/>
    <n v="0"/>
  </r>
  <r>
    <x v="3"/>
    <x v="7"/>
    <x v="7"/>
    <s v="Side"/>
    <s v="Majandus"/>
    <s v="IT spetsialist"/>
    <s v="Valvekaamerate vahetus"/>
    <n v="5000"/>
    <n v="0"/>
    <x v="8"/>
    <s v="Inventari kulud, v.a infotehnoloogia ja kaitseotstarbelised kulud"/>
    <n v="55"/>
    <s v="55"/>
    <x v="0"/>
    <x v="0"/>
    <s v="Põhitegevuse kulu"/>
    <n v="0"/>
  </r>
  <r>
    <x v="3"/>
    <x v="7"/>
    <x v="7"/>
    <s v="Side"/>
    <s v="Majandus"/>
    <s v="IT spetsialist"/>
    <s v="7 arvutit"/>
    <n v="5000"/>
    <n v="0"/>
    <x v="5"/>
    <s v="Info- ja kommunikatsioonitehnoliigised kulud"/>
    <n v="55"/>
    <s v="55"/>
    <x v="0"/>
    <x v="0"/>
    <s v="Põhitegevuse kulu"/>
    <n v="0"/>
  </r>
  <r>
    <x v="3"/>
    <x v="7"/>
    <x v="7"/>
    <s v="Side"/>
    <s v="Majandus"/>
    <s v="IT spetsialist"/>
    <s v="7 monitori"/>
    <n v="1750"/>
    <n v="0"/>
    <x v="5"/>
    <s v="Info- ja kommunikatsioonitehnoliigised kulud"/>
    <n v="55"/>
    <s v="55"/>
    <x v="0"/>
    <x v="0"/>
    <s v="Põhitegevuse kulu"/>
    <n v="0"/>
  </r>
  <r>
    <x v="3"/>
    <x v="7"/>
    <x v="7"/>
    <s v="Side"/>
    <s v="Majandus"/>
    <s v="IT spetsialist"/>
    <s v="Ruuteri ja Syslogi hooldustasu"/>
    <n v="2124"/>
    <n v="0"/>
    <x v="5"/>
    <s v="Info- ja kommunikatsioonitehnoliigised kulud"/>
    <n v="55"/>
    <s v="55"/>
    <x v="0"/>
    <x v="0"/>
    <s v="Põhitegevuse kulu"/>
    <n v="0"/>
  </r>
  <r>
    <x v="3"/>
    <x v="7"/>
    <x v="7"/>
    <s v="Side"/>
    <s v="Majandus"/>
    <s v="IT spetsialist"/>
    <s v="Esri EA aastatasu"/>
    <n v="5000"/>
    <n v="0"/>
    <x v="5"/>
    <s v="Info- ja kommunikatsioonitehnoliigised kulud"/>
    <n v="55"/>
    <s v="55"/>
    <x v="0"/>
    <x v="0"/>
    <s v="Põhitegevuse kulu"/>
    <n v="0"/>
  </r>
  <r>
    <x v="3"/>
    <x v="7"/>
    <x v="7"/>
    <s v="Side"/>
    <s v="Majandus"/>
    <s v="IT spetsialist"/>
    <s v="Virtuaalserver"/>
    <n v="149.76"/>
    <n v="0"/>
    <x v="5"/>
    <s v="Info- ja kommunikatsioonitehnoliigised kulud"/>
    <n v="55"/>
    <s v="55"/>
    <x v="0"/>
    <x v="0"/>
    <s v="Põhitegevuse kulu"/>
    <n v="0"/>
  </r>
  <r>
    <x v="3"/>
    <x v="7"/>
    <x v="7"/>
    <s v="Side"/>
    <s v="Majandus"/>
    <s v="IT spetsialist"/>
    <s v="Viirusetõrje"/>
    <n v="994.8"/>
    <n v="0"/>
    <x v="5"/>
    <s v="Info- ja kommunikatsioonitehnoliigised kulud"/>
    <n v="55"/>
    <s v="55"/>
    <x v="0"/>
    <x v="0"/>
    <s v="Põhitegevuse kulu"/>
    <n v="0"/>
  </r>
  <r>
    <x v="3"/>
    <x v="7"/>
    <x v="7"/>
    <s v="Side"/>
    <s v="Majandus"/>
    <s v="IT spetsialist"/>
    <s v="Muud mitmesugused ennustamatud kulud: 752,6 € kuus"/>
    <n v="8000"/>
    <n v="0"/>
    <x v="5"/>
    <s v="Info- ja kommunikatsioonitehnoliigised kulud"/>
    <n v="55"/>
    <s v="55"/>
    <x v="0"/>
    <x v="0"/>
    <s v="Põhitegevuse kulu"/>
    <n v="0"/>
  </r>
  <r>
    <x v="3"/>
    <x v="8"/>
    <x v="8"/>
    <s v="Muu majandus (sh majanduse haldus)"/>
    <s v="Majandus"/>
    <s v="Maanõunik"/>
    <s v="Maade mõõdistamised"/>
    <n v="1750"/>
    <n v="0"/>
    <x v="4"/>
    <s v="Kinnistute, hoonete ja ruumide majandamiskulud"/>
    <n v="55"/>
    <s v="55"/>
    <x v="0"/>
    <x v="0"/>
    <s v="Põhitegevuse kulu"/>
    <n v="0"/>
  </r>
  <r>
    <x v="3"/>
    <x v="8"/>
    <x v="8"/>
    <s v="Muu majandus (sh majanduse haldus)"/>
    <s v="Majandus"/>
    <s v="Vallavalitsus"/>
    <s v="Sideteenused"/>
    <n v="550"/>
    <n v="0"/>
    <x v="0"/>
    <s v="Administreerimiskulud"/>
    <n v="55"/>
    <s v="55"/>
    <x v="0"/>
    <x v="0"/>
    <s v="Põhitegevuse kulu"/>
    <n v="0"/>
  </r>
  <r>
    <x v="3"/>
    <x v="8"/>
    <x v="8"/>
    <s v="Muu majandus (sh majanduse haldus)"/>
    <s v="Majandus"/>
    <s v="Vallavalitsus"/>
    <s v="Isikliku sõiduauto komp."/>
    <n v="9385"/>
    <s v="Irina 150€, Aivar 335€, Gustav 150€, Erik 150€; Kätlyn 150€"/>
    <x v="3"/>
    <s v="Sõidukite ülalpidamise kulud"/>
    <n v="55"/>
    <s v="55"/>
    <x v="0"/>
    <x v="0"/>
    <s v="Põhitegevuse kulu"/>
    <n v="0"/>
  </r>
  <r>
    <x v="3"/>
    <x v="8"/>
    <x v="8"/>
    <s v="Muu majandus (sh majanduse haldus)"/>
    <s v="Majandus"/>
    <s v="Vallavalitsus"/>
    <s v="Koolitused"/>
    <n v="1600"/>
    <s v="Erik 400€; Gustav 400€; Aivar 400€; Irina 400€"/>
    <x v="2"/>
    <s v="Koolituskulud"/>
    <n v="55"/>
    <s v="55"/>
    <x v="0"/>
    <x v="0"/>
    <s v="Põhitegevuse kulu"/>
    <n v="0"/>
  </r>
  <r>
    <x v="3"/>
    <x v="8"/>
    <x v="8"/>
    <s v="Muu majandus (sh majanduse haldus)"/>
    <s v="Majandus"/>
    <s v="Vallavalitsus"/>
    <s v="Tervise- ja spordiarendamise hüvitis"/>
    <n v="1600"/>
    <n v="0"/>
    <x v="1"/>
    <s v="Mitmesugused majanduskulud"/>
    <n v="55"/>
    <s v="55"/>
    <x v="0"/>
    <x v="0"/>
    <s v="Põhitegevuse kulu"/>
    <n v="0"/>
  </r>
  <r>
    <x v="3"/>
    <x v="8"/>
    <x v="8"/>
    <s v="Muu majandus (sh majanduse haldus)"/>
    <s v="Majandus"/>
    <s v="Maanõunik"/>
    <s v="Maadega soetud notaritasud"/>
    <n v="1114.5"/>
    <n v="0"/>
    <x v="0"/>
    <s v="Administreerimiskulud"/>
    <n v="55"/>
    <s v="55"/>
    <x v="0"/>
    <x v="0"/>
    <s v="Põhitegevuse kulu"/>
    <n v="0"/>
  </r>
  <r>
    <x v="3"/>
    <x v="8"/>
    <x v="8"/>
    <s v="Muu majandus (sh majanduse haldus)"/>
    <s v="Majandus"/>
    <s v="Keskkonna- ja kommunaalnõunik"/>
    <s v="Kaunis kodu auhinnafond"/>
    <n v="1500"/>
    <n v="0"/>
    <x v="15"/>
    <s v="Sihtotstarbelised eraldised muudele residentidele"/>
    <n v="4500"/>
    <s v="45"/>
    <x v="1"/>
    <x v="3"/>
    <s v="Põhitegevuse kulu"/>
    <n v="0"/>
  </r>
  <r>
    <x v="3"/>
    <x v="8"/>
    <x v="8"/>
    <s v="Muu majandus (sh majanduse haldus)"/>
    <s v="Majandus"/>
    <s v="Keskkonna- ja kommunaalnõunik"/>
    <s v="Albumid, lilled jms"/>
    <n v="1500"/>
    <s v="Kaunis kodu"/>
    <x v="15"/>
    <s v="Sihtotstarbelised eraldised muudele residentidele"/>
    <n v="4500"/>
    <s v="45"/>
    <x v="1"/>
    <x v="3"/>
    <s v="Põhitegevuse kulu"/>
    <n v="0"/>
  </r>
  <r>
    <x v="3"/>
    <x v="8"/>
    <x v="8"/>
    <s v="Muu majandus (sh majanduse haldus)"/>
    <s v="Majandus"/>
    <s v="Teede- ja ühistranspordinõunik"/>
    <s v="Geoarhiivi moodul"/>
    <n v="446.40000000000003"/>
    <s v="GEODATA"/>
    <x v="5"/>
    <s v="Info- ja kommunikatsioonitehnoliigised kulud"/>
    <n v="55"/>
    <s v="55"/>
    <x v="0"/>
    <x v="0"/>
    <s v="Põhitegevuse kulu"/>
    <n v="0"/>
  </r>
  <r>
    <x v="3"/>
    <x v="8"/>
    <x v="8"/>
    <s v="Muu majandus (sh majanduse haldus)"/>
    <s v="Majandus"/>
    <s v="Teede- ja ühistranspordinõunik"/>
    <s v="Kohalike teede moodul"/>
    <n v="288"/>
    <s v="GEODATA"/>
    <x v="5"/>
    <s v="Info- ja kommunikatsioonitehnoliigised kulud"/>
    <n v="55"/>
    <s v="55"/>
    <x v="0"/>
    <x v="0"/>
    <s v="Põhitegevuse kulu"/>
    <n v="0"/>
  </r>
  <r>
    <x v="3"/>
    <x v="8"/>
    <x v="8"/>
    <s v="Muu majandus (sh majanduse haldus)"/>
    <s v="Majandus"/>
    <s v="Vallavalitsus"/>
    <s v="Muud ettenägematud kulud  "/>
    <n v="500"/>
    <n v="0"/>
    <x v="1"/>
    <s v="Mitmesugused majanduskulud"/>
    <n v="55"/>
    <s v="55"/>
    <x v="0"/>
    <x v="0"/>
    <s v="Põhitegevuse kulu"/>
    <n v="0"/>
  </r>
  <r>
    <x v="3"/>
    <x v="8"/>
    <x v="8"/>
    <s v="Muu majandus (sh majanduse haldus)"/>
    <s v="Majandus"/>
    <s v="Vallavalitsus"/>
    <s v="Riigilõivud "/>
    <n v="250"/>
    <n v="0"/>
    <x v="17"/>
    <s v="Maksu-, riigilõivu- ja trahvikulud"/>
    <n v="60"/>
    <s v="60"/>
    <x v="0"/>
    <x v="2"/>
    <s v="Põhitegevuse kulu"/>
    <n v="0"/>
  </r>
  <r>
    <x v="4"/>
    <x v="9"/>
    <x v="9"/>
    <s v="Jäätmekäitlus"/>
    <s v="Keskkonnakaitse"/>
    <s v="Keskkonna- ja kommunaalnõunik"/>
    <s v="Jäätmekava"/>
    <n v="2000"/>
    <n v="0"/>
    <x v="4"/>
    <s v="Kinnistute, hoonete ja ruumide majandamiskulud"/>
    <n v="55"/>
    <s v="55"/>
    <x v="0"/>
    <x v="0"/>
    <s v="Põhitegevuse kulu"/>
    <n v="0"/>
  </r>
  <r>
    <x v="4"/>
    <x v="9"/>
    <x v="9"/>
    <s v="Jäätmekäitlus"/>
    <s v="Keskkonnakaitse"/>
    <s v="Keskkonna- ja kommunaalnõunik"/>
    <s v="Jäätmevaldajate register EVALD "/>
    <n v="446.40000000000003"/>
    <n v="0"/>
    <x v="5"/>
    <s v="Info- ja kommunikatsioonitehnoliigised kulud"/>
    <n v="55"/>
    <s v="55"/>
    <x v="0"/>
    <x v="0"/>
    <s v="Põhitegevuse kulu"/>
    <n v="0"/>
  </r>
  <r>
    <x v="4"/>
    <x v="10"/>
    <x v="10"/>
    <s v="Muu keskkonnakaitse (sh keskkonnakaitse haldus)"/>
    <s v="Keskkonnakaitse"/>
    <s v="Keskkonna- ja kommunaalnõunik"/>
    <s v="a. Jäätmeringid (ohtlikud jäätmed, sh eterniit); _x000a_b. ebaseaduslikult ladestatud jäätmete koristamine KOV maadelt;_x000a_c. konteinerite tühjendus ja rent (või väljaostmine); Valdavalt püsikulu"/>
    <n v="9053.6"/>
    <n v="0"/>
    <x v="4"/>
    <s v="Kinnistute, hoonete ja ruumide majandamiskulud"/>
    <n v="55"/>
    <s v="55"/>
    <x v="0"/>
    <x v="0"/>
    <s v="Põhitegevuse kulu"/>
    <n v="0"/>
  </r>
  <r>
    <x v="4"/>
    <x v="10"/>
    <x v="10"/>
    <s v="Muu keskkonnakaitse (sh keskkonnakaitse haldus)"/>
    <s v="Keskkonnakaitse"/>
    <s v="Keskkonna- ja kommunaalnõunik"/>
    <s v="GEODATA jäätmehalduse moodul"/>
    <n v="446.40000000000003"/>
    <n v="0"/>
    <x v="5"/>
    <s v="Info- ja kommunikatsioonitehnoliigised kulud"/>
    <n v="55"/>
    <s v="55"/>
    <x v="0"/>
    <x v="0"/>
    <s v="Põhitegevuse kulu"/>
    <n v="0"/>
  </r>
  <r>
    <x v="5"/>
    <x v="11"/>
    <x v="11"/>
    <s v="Tänavavalgustus"/>
    <s v="Elamu- ja kommunaalmajandus"/>
    <s v="Ehitusnõunik"/>
    <s v="Tänavalguste elektrikulud"/>
    <n v="53000"/>
    <n v="0"/>
    <x v="16"/>
    <s v="Rajatist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Laekvere piirkonna varade kindlustus"/>
    <n v="1100"/>
    <s v="2019 eelarves ei olnud planeeritud, kuid kulu tehti, 2018 kohta info puudub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Töökoja kasutus ja ruumide rent"/>
    <n v="4500"/>
    <s v="Rendime Laekvere PM OÜ-l Kioti traktorile ja seadmetele garaazi, võtame Kioti traktorile diiselkütet, muruniidukite ja Fiat Doblo bensiini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Remondimaterjalid"/>
    <n v="10000"/>
    <s v="Valla korterid, tööliste olmeruumid, avalikud rajatised, bussiootepaviljonid jne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Vesi-ja kanalisastioon"/>
    <n v="1700"/>
    <s v="Salutaguse tee 2 ja Paasvere külamaja -Emajõe Veevärk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Veeautomaat Saku Läte"/>
    <n v="550"/>
    <s v="Salutaguse tee 2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Kohvimasina hooldus"/>
    <n v="120"/>
    <s v="Salutaguse tee 2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Porivaipade rent (Linström)"/>
    <n v="650"/>
    <s v="Salutaguse tee 2 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Keskküte"/>
    <n v="7500"/>
    <s v="Salutaguse tee 2 terve hoone 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Elekter "/>
    <n v="7400"/>
    <s v="Salutaguse tee 2 terve hoone ja Paasvere külamaja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Elektri käidukorraldus"/>
    <n v="9360"/>
    <s v="Enno Mandel Elektritööd teostabLaekvere piirkonna eletripaigaldiste käidukorraldust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Signalisatsiooni hooldus"/>
    <n v="210"/>
    <s v="Salutaguse tee 2 hoone Ennak SEL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Korrashoiu vahendid"/>
    <n v="3500"/>
    <s v="Koristustarbed,luuad, harjad wc paber ,kätepaber jne-olen arvestanud ka Laekvere sauna puhastusvahendite  kulu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Ohtlike puude raie"/>
    <n v="2100"/>
    <s v="Kokku vaja maha võtta ca 14 ohtlikku puud, arboristi teenus  vähemalt 150€ puu, lõhkuda Laekveres hakkide pesasid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Prügivedu "/>
    <n v="600"/>
    <s v="Ragn Sells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Paberikonteinerite tühjendus"/>
    <n v="670"/>
    <s v="Väätsa Prügila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Korteriühistute tasud"/>
    <n v="12000"/>
    <s v="Remondifond, tühjade valla korterite küte, kommunaalid(peab vaatama 2019 tegelikke kulusid) Kelle eelarvest lähevad sotsiaalkorterite Vassivere põik 4-5;4-18;1-1 ja 1-13 kulud?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Amplid, lilled,istikud "/>
    <n v="1300"/>
    <s v="Laekvere parki on vaja istutada uusi puid ca 10 tk 80€ suur potis istik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ELISA TV"/>
    <n v="360"/>
    <s v="Vassivere põik 1-1 ja 1-13  sotsiaalkorterite  elanike TV, mille nad vallale kinni maksavad"/>
    <x v="4"/>
    <s v="Kinnistute, hoonete ja ruumide majanda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Kontoritarbed"/>
    <n v="400"/>
    <s v="Tahmad, paber, pliiatsid jne."/>
    <x v="0"/>
    <s v="Administreeri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Telefon"/>
    <n v="1020"/>
    <n v="0"/>
    <x v="0"/>
    <s v="Administreerimi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Koolitused"/>
    <n v="350"/>
    <n v="0"/>
    <x v="2"/>
    <s v="Koolitu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Peugeo Partner"/>
    <n v="2200"/>
    <s v="kütus"/>
    <x v="3"/>
    <s v="Sõidukite ülalpidamise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Peugeo Partner"/>
    <n v="700"/>
    <s v="hooldus, rehvid"/>
    <x v="3"/>
    <s v="Sõidukite ülalpidamise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Peugeo Partner"/>
    <n v="400"/>
    <s v="kindlustus(kasko+liiklus)"/>
    <x v="3"/>
    <s v="Sõidukite ülalpidamise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Peugeo Partner"/>
    <n v="3024"/>
    <s v="liising"/>
    <x v="3"/>
    <s v="Sõidukite ülalpidamise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VW Transporter"/>
    <n v="500"/>
    <s v="hooldus, rehvid , tehnoülevaatus"/>
    <x v="3"/>
    <s v="Sõidukite ülalpidamise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VW Transporter"/>
    <n v="2100"/>
    <s v="kütus"/>
    <x v="3"/>
    <s v="Sõidukite ülalpidamise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VW Transporter"/>
    <n v="400"/>
    <s v="kindlustus(kasko+liiklus)"/>
    <x v="3"/>
    <s v="Sõidukite ülalpidamise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Fiat Doblo"/>
    <n v="100"/>
    <s v="liikluskindlustus"/>
    <x v="3"/>
    <s v="Sõidukite ülalpidamise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Fiat Doblo"/>
    <n v="500"/>
    <s v="hooldus, rehvid ,tehnoülevaatud"/>
    <x v="3"/>
    <s v="Sõidukite ülalpidamise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Nissan NV300 väikebuss"/>
    <n v="600"/>
    <s v="kindlustus(kasko+liiklus)"/>
    <x v="3"/>
    <s v="Sõidukite ülalpidamise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Nisssan NV300 väikebuss"/>
    <n v="1500"/>
    <s v="kütus ( viimasel ajal on läinud Muuga-Laekvere kooli eelarvest?"/>
    <x v="3"/>
    <s v="Sõidukite ülalpidamise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Nissan NV300  väikebuss"/>
    <n v="500"/>
    <s v="hooldus, pesu, klaasipesuvedelik jne"/>
    <x v="3"/>
    <s v="Sõidukite ülalpidamise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Seadmete ja masinate tarvikud"/>
    <n v="1700"/>
    <s v="Murutraktori rihmad,saagide osad ,ketid,niidukite terad ,kiilrihmad,õlid, filtrid."/>
    <x v="8"/>
    <s v="Inventari kulud, v.a infotehnoloogia ja kaitseotstarbelised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Hooldus"/>
    <n v="2800"/>
    <s v="Kioti traktor, murutraktor, haagised, niidukid, nende kindlustus, ülevaatused"/>
    <x v="8"/>
    <s v="Inventari kulud, v.a infotehnoloogia ja kaitseotstarbelised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Traktorile KIOTi niiduki OPTIMAL BP-185  soetamine"/>
    <n v="4000"/>
    <s v="Praegune niiduk amortiseerunud, töötab viimase piiri peal"/>
    <x v="8"/>
    <s v="Inventari kulud, v.a infotehnoloogia ja kaitseotstarbelised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Talguliste toitlustamine"/>
    <n v="100"/>
    <n v="0"/>
    <x v="14"/>
    <s v="Kommunikatsiooni-, kultuuri- ja vaba aja sisustamise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Tervisekulud"/>
    <n v="2000"/>
    <s v="5 töötajat x 400 eurot aastas"/>
    <x v="1"/>
    <s v="Mitmesugused majandu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Töötervishoiu kulud"/>
    <n v="500"/>
    <s v="5 töötajat"/>
    <x v="9"/>
    <s v="Meditsiinikulud ja hügieenitarbe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Tööriided ja töökindad"/>
    <n v="500"/>
    <s v="5 töötajat"/>
    <x v="8"/>
    <s v="Inventari kulud, v.a infotehnoloogia ja kaitseotstarbelised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Prillid"/>
    <n v="200"/>
    <s v="2 töötajat"/>
    <x v="9"/>
    <s v="Meditsiinikulud ja hügieenitarbe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Teeme ära talgud "/>
    <n v="400"/>
    <n v="0"/>
    <x v="14"/>
    <s v="Kommunikatsiooni-, kultuuri- ja vaba aja sisustamise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Transport"/>
    <n v="6000"/>
    <s v="M.K.Reis-x teenindatav reedene Venevere-Paasvere-Vassivere poe liin,surnuaaipühal ja jõululaupäeval buss Simuna surnuaiale(FIE Teet Põldoja)"/>
    <x v="1"/>
    <s v="Mitmesugused majandus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Internetiühendus"/>
    <n v="3050"/>
    <s v="Kõigi Laekvere alevikus valla kuuluvate  hoonete internetiühendus jookseb läbi Salutaguse tee 2 teeninduskeskuse, kust toimub hargnemine"/>
    <x v="5"/>
    <s v="Info- ja kommunikatsioonitehnoliigised kulud"/>
    <n v="55"/>
    <s v="55"/>
    <x v="0"/>
    <x v="0"/>
    <s v="Põhitegevuse kulu"/>
    <n v="0"/>
  </r>
  <r>
    <x v="5"/>
    <x v="12"/>
    <x v="12"/>
    <s v="Muu elamu- ja kommunaalmajanduse tegevus"/>
    <s v="Elamu- ja kommunaalmajandus"/>
    <s v="Laekvere piirkond"/>
    <s v="Riistvara soetamine"/>
    <n v="300"/>
    <s v="Ruuter jne."/>
    <x v="5"/>
    <s v="Info- ja kommunikatsioonitehnoliigised 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Rägavere piirkonna varade kindlustus"/>
    <n v="814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Remondimaterjalid"/>
    <n v="10600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Vesi-ja kanalisastioon"/>
    <n v="350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Veeautomaat Saku Läte"/>
    <n v="110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Korrashoiu vahendid"/>
    <n v="200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Ohtlike puude raie, niitmis teenus jm"/>
    <n v="500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Prügivedu "/>
    <n v="150"/>
    <s v=" Lääne-Viru Jäätmekeskus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Korteriühistute tasud"/>
    <n v="540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Amplid, lilled,istikud "/>
    <n v="200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Valveteenus"/>
    <n v="116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Katla hooldus, korstnapühkija"/>
    <n v="300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Pelleti ost"/>
    <n v="4000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Valve- ja tuletõrje signalisatsiooni hooldus"/>
    <n v="570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Elekter"/>
    <n v="3000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Kontoritarbed"/>
    <n v="300"/>
    <s v="Tahmad, paber, pliiatsid jne."/>
    <x v="0"/>
    <s v="Administreeri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Telefon"/>
    <n v="26.4"/>
    <s v="mobiiltelefon 5783 3232"/>
    <x v="0"/>
    <s v="Administreeri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Koolitused"/>
    <n v="200"/>
    <n v="0"/>
    <x v="2"/>
    <s v="Koolitu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Väikebussi kütus"/>
    <n v="3500"/>
    <s v="kütus"/>
    <x v="3"/>
    <s v="Sõidukite ülalpidamise 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Väikebuss"/>
    <n v="8000"/>
    <s v="liising, kasko, liiklus, tarvikud"/>
    <x v="3"/>
    <s v="Sõidukite ülalpidamise 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Isikliku sõiduauto komp."/>
    <n v="3300"/>
    <n v="0"/>
    <x v="3"/>
    <s v="Sõidukite ülalpidamise 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Seadmete ja masinate tarvikud"/>
    <n v="900"/>
    <s v="Murutraktori rihmad,saagide osad ,ketid,niidukite terad ,kiilrihmad,õlid, filtrid hooldus"/>
    <x v="8"/>
    <s v="Inventari kulud, v.a infotehnoloogia ja kaitseotstarbelised 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Murutraktori, trimmerite kütus"/>
    <n v="2000"/>
    <n v="0"/>
    <x v="8"/>
    <s v="Inventari kulud, v.a infotehnoloogia ja kaitseotstarbelised 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Rägavere piirkond"/>
    <s v="Internetiühendus"/>
    <n v="381.6"/>
    <s v="Andigo OÜ internet, kaks lautelefoni"/>
    <x v="5"/>
    <s v="Info- ja kommunikatsioonitehnoliigised 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Roela piirkond"/>
    <s v="Heakorratööd"/>
    <n v="12950"/>
    <s v="Fixsum Service-muruniitmine,Vaarmets,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Roela piirkond"/>
    <s v="Prügiveod piirkonna"/>
    <n v="150"/>
    <n v="0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Roela piirkond"/>
    <s v="Heakorravahendid"/>
    <n v="2000"/>
    <s v="kütus, õli, jõhv trimmerile,luuad, rehad,labidad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Roela piirkond"/>
    <s v="Istikud, suvelilled"/>
    <n v="500"/>
    <n v="0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Roela piirkond"/>
    <s v="Elekter"/>
    <n v="3000"/>
    <s v="Korterid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Roela piirkond"/>
    <s v="Vesi- ja kanalisatsioon"/>
    <n v="600"/>
    <s v="Korterid (roela soojus)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Roela piirkond"/>
    <s v="Prügivedu"/>
    <n v="160"/>
    <s v="Korter (Aida)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Roela piirkond"/>
    <s v="Prügivedu (konteineri rent)"/>
    <n v="155"/>
    <s v="Korter (Aida)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Roela piirkond"/>
    <s v="Korstnapühkija"/>
    <n v="250"/>
    <s v="Korter (Aida)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Roela piirkond"/>
    <s v="KÜ kommunaalmaksed"/>
    <n v="13500"/>
    <n v="0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Roela piirkond"/>
    <s v="Kõnnitee truup"/>
    <n v="5000"/>
    <n v="0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Roela piirkond"/>
    <s v="Teadete tahvlid"/>
    <n v="4800"/>
    <n v="0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Tudu piirkond"/>
    <s v="Elekter"/>
    <n v="2500"/>
    <s v="Korterid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Tudu piirkond"/>
    <s v="Korstnapühkimisteenus"/>
    <n v="400"/>
    <s v="Korterid, katlamaja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Tudu piirkond"/>
    <s v="Prügivedu"/>
    <n v="1200"/>
    <s v="Korterid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Tudu piirkond"/>
    <s v="Niitmine"/>
    <n v="14300"/>
    <s v="FIE Salin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Tudu piirkond"/>
    <s v="Niitmine "/>
    <n v="6500"/>
    <s v="Ehitme OÜ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Tudu piirkond"/>
    <s v="Rahvamaja küttepuud"/>
    <n v="3600"/>
    <n v="0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Tudu piirkond"/>
    <s v="Istikud, suvelilled"/>
    <n v="300"/>
    <n v="0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Tudu piirkond"/>
    <s v="Heakorravahendid"/>
    <n v="1500"/>
    <s v="rehad, labidad, küte, õli, kindad, jne 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Tudu piirkond"/>
    <s v="Trimmer"/>
    <n v="500"/>
    <n v="0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Tudu piirkond"/>
    <s v="Telia"/>
    <n v="580"/>
    <n v="0"/>
    <x v="5"/>
    <s v="Info- ja kommunikatsioonitehnoliigised 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Prügivedu"/>
    <n v="235"/>
    <s v="Kesk 15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Konteineri rent"/>
    <n v="92.4"/>
    <s v="Kesk 15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Vesi- ja kanalisatsioon"/>
    <n v="1400"/>
    <s v="Kesk 15, Koolimaja, saun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Prügivedu"/>
    <n v="84"/>
    <s v="Kooli tee 7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Prügivedu"/>
    <n v="350"/>
    <s v="Piirkonna prügi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Koolimaja küttepuud"/>
    <n v="3600"/>
    <n v="0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Heakorratööd"/>
    <n v="3000"/>
    <n v="0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Elekter"/>
    <n v="18000"/>
    <n v="0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Korrashoiuvahendid"/>
    <n v="1000"/>
    <s v="luuad, rehad, puh.vahendid, paber jne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Valvekulud"/>
    <n v="84"/>
    <n v="0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Korrashoiuvahendite rendid, õlid"/>
    <n v="1500"/>
    <s v="töövahendite hooldus, tarvikud, küte, õli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Remondifond"/>
    <n v="314.32"/>
    <s v="Kesk 21 + niitmine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Tuletõrje süsteem (Telia kuutasu)"/>
    <n v="14.399999999999999"/>
    <s v="Kooli tee 7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Tuletõrje süsteemi hooldus"/>
    <n v="384"/>
    <s v="Kooli tee 7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Istikud, ohtlikud puud"/>
    <n v="1500"/>
    <n v="0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Teadete tahvlid"/>
    <n v="3200"/>
    <s v="2tk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Korstnapühkija"/>
    <n v="300"/>
    <n v="0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Pingid"/>
    <n v="6000"/>
    <n v="0"/>
    <x v="4"/>
    <s v="Kinnistute, hoonete ja ruumide majanda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Telefon, internet"/>
    <n v="300"/>
    <n v="0"/>
    <x v="0"/>
    <s v="Administreerimi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Isikliku sõiduauto komp."/>
    <n v="3300"/>
    <s v="12 kuud*300"/>
    <x v="3"/>
    <s v="Sõidukite ülalpidamise 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Haagise kindlustus"/>
    <n v="30"/>
    <n v="0"/>
    <x v="3"/>
    <s v="Sõidukite ülalpidamise 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Haagise pisiremondid"/>
    <n v="250"/>
    <n v="0"/>
    <x v="3"/>
    <s v="Sõidukite ülalpidamise 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Haagise rehvid"/>
    <n v="160"/>
    <n v="0"/>
    <x v="3"/>
    <s v="Sõidukite ülalpidamise 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PEUGEOT PARTNER 648BLS kütus"/>
    <n v="3600"/>
    <n v="0"/>
    <x v="3"/>
    <s v="Sõidukite ülalpidamise 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PEUGEOT PARTNER 648BLS kindlustus"/>
    <n v="70"/>
    <n v="0"/>
    <x v="3"/>
    <s v="Sõidukite ülalpidamise 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PEUGEOT PARTNER 648BLS rehvid"/>
    <n v="400"/>
    <n v="0"/>
    <x v="3"/>
    <s v="Sõidukite ülalpidamise 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PEUGEOT PARTNER 648BLS pisiremondid, ülevaatused"/>
    <n v="800"/>
    <n v="0"/>
    <x v="3"/>
    <s v="Sõidukite ülalpidamise 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tervise ja spordi edendamine"/>
    <n v="400"/>
    <n v="0"/>
    <x v="1"/>
    <s v="Mitmesugused majanduskulud"/>
    <n v="55"/>
    <s v="55"/>
    <x v="0"/>
    <x v="0"/>
    <s v="Põhitegevuse kulu"/>
    <n v="0"/>
  </r>
  <r>
    <x v="5"/>
    <x v="14"/>
    <x v="14"/>
    <s v="Muu elamu- ja kommunaalmajanduse tegevus"/>
    <s v="Elamu- ja kommunaalmajandus"/>
    <s v="Viru-Jaagupi piirkond"/>
    <s v="Katuse vahetus"/>
    <n v="7000"/>
    <s v="Kesk 15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Korterite kommunaalmaksed"/>
    <n v="21000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valvekaameratega seotud kulud"/>
    <n v="192"/>
    <s v="Telia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Suuremad niitmised"/>
    <n v="1600"/>
    <s v="Tammikus OÜ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Prügikonteinerite rent"/>
    <n v="97.199999999999989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Prügivedu, konteinerite rent"/>
    <n v="2200"/>
    <s v="Jäätmekeskus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Elektri tarbimine"/>
    <n v="9000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Heakorra tööde tarbitav kütus"/>
    <n v="4500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Muud kinnistute ja hoonetega seotud kulud"/>
    <n v="20000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Pingid"/>
    <n v="6000"/>
    <n v="0"/>
    <x v="4"/>
    <s v="Kinnistute, hoonete ja ruumid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Arendusnõunik"/>
    <s v="Vinni liiklusväljaku joonimine"/>
    <n v="2000"/>
    <n v="0"/>
    <x v="16"/>
    <s v="Rajatiste majanda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sideteenused"/>
    <n v="255.84"/>
    <n v="0"/>
    <x v="0"/>
    <s v="Administreerimis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Isikliku sõiduauto komp."/>
    <n v="650"/>
    <s v="abipolitseid"/>
    <x v="3"/>
    <s v="Sõidukite ülalpidamise 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Haagiste, sõidukite kindlustused"/>
    <n v="1670"/>
    <n v="0"/>
    <x v="3"/>
    <s v="Sõidukite ülalpidamise 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sõidupäeviku teenus"/>
    <n v="1998"/>
    <n v="0"/>
    <x v="3"/>
    <s v="Sõidukite ülalpidamise 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ülevaatus"/>
    <n v="210"/>
    <n v="0"/>
    <x v="3"/>
    <s v="Sõidukite ülalpidamise 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liising"/>
    <n v="2607.2400000000002"/>
    <s v="Silberauto"/>
    <x v="3"/>
    <s v="Sõidukite ülalpidamise 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liisingauto remont"/>
    <n v="1400"/>
    <s v="Silberauto liisingauto remont"/>
    <x v="3"/>
    <s v="Sõidukite ülalpidamise 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kütus"/>
    <n v="13000"/>
    <n v="0"/>
    <x v="3"/>
    <s v="Sõidukite ülalpidamise 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sõidukite remondi jms kulud"/>
    <n v="3000"/>
    <n v="0"/>
    <x v="3"/>
    <s v="Sõidukite ülalpidamise 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muud sõidukitega seotud kulud"/>
    <n v="4000"/>
    <n v="0"/>
    <x v="3"/>
    <s v="Sõidukite ülalpidamise kulud"/>
    <n v="55"/>
    <s v="55"/>
    <x v="0"/>
    <x v="0"/>
    <s v="Põhitegevuse kulu"/>
    <n v="0"/>
  </r>
  <r>
    <x v="5"/>
    <x v="13"/>
    <x v="13"/>
    <s v="Muu elamu- ja kommunaalmajanduse tegevus"/>
    <s v="Elamu- ja kommunaalmajandus"/>
    <s v="Vinni-Pajusti piirkond"/>
    <s v="Tööriistad"/>
    <n v="6000"/>
    <n v="0"/>
    <x v="8"/>
    <s v="Inventari kulud, v.a infotehnoloogia ja kaitseotstarbelised kulud"/>
    <n v="55"/>
    <s v="55"/>
    <x v="0"/>
    <x v="0"/>
    <s v="Põhitegevuse kulu"/>
    <n v="0"/>
  </r>
  <r>
    <x v="5"/>
    <x v="15"/>
    <x v="15"/>
    <s v="Muu elamu- ja kommunaalmajanduse tegevus"/>
    <s v="Elamu- ja kommunaalmajandus"/>
    <s v="Viru-Jaagupi piirkonna juht"/>
    <s v="Küttepuud"/>
    <n v="8600"/>
    <n v="0"/>
    <x v="4"/>
    <s v="Kinnistute, hoonete ja ruumide majandamiskulud"/>
    <n v="55"/>
    <s v="55"/>
    <x v="0"/>
    <x v="0"/>
    <s v="Põhitegevuse kulu"/>
    <n v="0"/>
  </r>
  <r>
    <x v="5"/>
    <x v="15"/>
    <x v="15"/>
    <s v="Muu elamu- ja kommunaalmajanduse tegevus"/>
    <s v="Elamu- ja kommunaalmajandus"/>
    <s v="Viru-Jaagupi piirkonna juht"/>
    <s v="Prügivedu"/>
    <n v="35"/>
    <n v="0"/>
    <x v="4"/>
    <s v="Kinnistute, hoonete ja ruumide majandamiskulud"/>
    <n v="55"/>
    <s v="55"/>
    <x v="0"/>
    <x v="0"/>
    <s v="Põhitegevuse kulu"/>
    <n v="0"/>
  </r>
  <r>
    <x v="5"/>
    <x v="15"/>
    <x v="15"/>
    <s v="Muu elamu- ja kommunaalmajanduse tegevus"/>
    <s v="Elamu- ja kommunaalmajandus"/>
    <s v="Viru-Jaagupi piirkonna juht"/>
    <s v="Vesi- ja kanalisatsioon"/>
    <n v="800"/>
    <n v="0"/>
    <x v="4"/>
    <s v="Kinnistute, hoonete ja ruumide majandamiskulud"/>
    <n v="55"/>
    <s v="55"/>
    <x v="0"/>
    <x v="0"/>
    <s v="Põhitegevuse kulu"/>
    <n v="0"/>
  </r>
  <r>
    <x v="5"/>
    <x v="15"/>
    <x v="15"/>
    <s v="Muu elamu- ja kommunaalmajanduse tegevus"/>
    <s v="Elamu- ja kommunaalmajandus"/>
    <s v="Viru-Jaagupi piirkonna juht"/>
    <s v="Elekter"/>
    <n v="1700"/>
    <n v="0"/>
    <x v="4"/>
    <s v="Kinnistute, hoonete ja ruumide majandamiskulud"/>
    <n v="55"/>
    <s v="55"/>
    <x v="0"/>
    <x v="0"/>
    <s v="Põhitegevuse kulu"/>
    <n v="0"/>
  </r>
  <r>
    <x v="5"/>
    <x v="15"/>
    <x v="15"/>
    <s v="Muu elamu- ja kommunaalmajanduse tegevus"/>
    <s v="Elamu- ja kommunaalmajandus"/>
    <s v="Viru-Jaagupi piirkonna juht"/>
    <s v="Pisiremonttööd"/>
    <n v="4500"/>
    <n v="0"/>
    <x v="4"/>
    <s v="Kinnistute, hoonete ja ruumide majandamiskulud"/>
    <n v="55"/>
    <s v="55"/>
    <x v="0"/>
    <x v="0"/>
    <s v="Põhitegevuse kulu"/>
    <n v="0"/>
  </r>
  <r>
    <x v="5"/>
    <x v="15"/>
    <x v="15"/>
    <s v="Muu elamu- ja kommunaalmajanduse tegevus"/>
    <s v="Elamu- ja kommunaalmajandus"/>
    <s v="Viru-Jaagupi piirkonna juht"/>
    <s v="Korrashoiuvahendid"/>
    <n v="600"/>
    <n v="0"/>
    <x v="4"/>
    <s v="Kinnistute, hoonete ja ruumide majandamiskulud"/>
    <n v="55"/>
    <s v="55"/>
    <x v="0"/>
    <x v="0"/>
    <s v="Põhitegevuse kulu"/>
    <n v="0"/>
  </r>
  <r>
    <x v="5"/>
    <x v="15"/>
    <x v="15"/>
    <s v="Muu elamu- ja kommunaalmajanduse tegevus"/>
    <s v="Elamu- ja kommunaalmajandus"/>
    <s v="Viru-Jaagupi piirkonna juht"/>
    <s v="Korstnapühkimisteenus"/>
    <n v="225"/>
    <n v="0"/>
    <x v="4"/>
    <s v="Kinnistute, hoonete ja ruumide majandamiskulud"/>
    <n v="55"/>
    <s v="55"/>
    <x v="0"/>
    <x v="0"/>
    <s v="Põhitegevuse kulu"/>
    <n v="0"/>
  </r>
  <r>
    <x v="5"/>
    <x v="16"/>
    <x v="16"/>
    <s v="Muu elamu- ja kommunaalmajanduse tegevus"/>
    <s v="Elamu- ja kommunaalmajandus"/>
    <s v="Viru-Jaagupi piirkonna juht"/>
    <s v="Välikäimlad"/>
    <n v="624"/>
    <s v="Viru-Jaagupi"/>
    <x v="4"/>
    <s v="Kinnistute, hoonete ja ruumide majandamiskulud"/>
    <n v="55"/>
    <s v="55"/>
    <x v="0"/>
    <x v="0"/>
    <s v="Põhitegevuse kulu"/>
    <n v="0"/>
  </r>
  <r>
    <x v="5"/>
    <x v="16"/>
    <x v="16"/>
    <s v="Muu elamu- ja kommunaalmajanduse tegevus"/>
    <s v="Elamu- ja kommunaalmajandus"/>
    <s v="Viru-Jaagupi piirkonna juht"/>
    <s v="Prügivedu"/>
    <n v="3000"/>
    <n v="0"/>
    <x v="4"/>
    <s v="Kinnistute, hoonete ja ruumide majandamiskulud"/>
    <n v="55"/>
    <s v="55"/>
    <x v="0"/>
    <x v="0"/>
    <s v="Põhitegevuse kulu"/>
    <n v="0"/>
  </r>
  <r>
    <x v="5"/>
    <x v="16"/>
    <x v="16"/>
    <s v="Muu elamu- ja kommunaalmajanduse tegevus"/>
    <s v="Elamu- ja kommunaalmajandus"/>
    <s v="Viru-Jaagupi piirkonna juht"/>
    <s v="Konteineri rent"/>
    <n v="411"/>
    <s v="Tudu 2 konteinerit (Ragn Sells, Jäätmekeskus)"/>
    <x v="4"/>
    <s v="Kinnistute, hoonete ja ruumide majandamiskulud"/>
    <n v="55"/>
    <s v="55"/>
    <x v="0"/>
    <x v="0"/>
    <s v="Põhitegevuse kulu"/>
    <n v="0"/>
  </r>
  <r>
    <x v="5"/>
    <x v="16"/>
    <x v="16"/>
    <s v="Muu elamu- ja kommunaalmajanduse tegevus"/>
    <s v="Elamu- ja kommunaalmajandus"/>
    <s v="Viru-Jaagupi piirkonna juht"/>
    <s v="Liiv"/>
    <n v="1000"/>
    <n v="0"/>
    <x v="4"/>
    <s v="Kinnistute, hoonete ja ruumide majandamiskulud"/>
    <n v="55"/>
    <s v="55"/>
    <x v="0"/>
    <x v="0"/>
    <s v="Põhitegevuse kulu"/>
    <n v="0"/>
  </r>
  <r>
    <x v="5"/>
    <x v="16"/>
    <x v="16"/>
    <s v="Muu elamu- ja kommunaalmajanduse tegevus"/>
    <s v="Elamu- ja kommunaalmajandus"/>
    <s v="Viru-Jaagupi piirkonna juht"/>
    <s v="Tõrma kalmistu haldamine"/>
    <n v="2400"/>
    <n v="0"/>
    <x v="4"/>
    <s v="Kinnistute, hoonete ja ruumide majandamiskulud"/>
    <n v="55"/>
    <s v="55"/>
    <x v="0"/>
    <x v="0"/>
    <s v="Põhitegevuse kulu"/>
    <n v="0"/>
  </r>
  <r>
    <x v="5"/>
    <x v="16"/>
    <x v="16"/>
    <s v="Muu elamu- ja kommunaalmajanduse tegevus"/>
    <s v="Elamu- ja kommunaalmajandus"/>
    <s v="Viru-Jaagupi piirkonna juht"/>
    <s v="Simuna kalmistu haldamine"/>
    <n v="2556.48"/>
    <n v="0"/>
    <x v="4"/>
    <s v="Kinnistute, hoonete ja ruumide majandamiskulud"/>
    <n v="55"/>
    <s v="55"/>
    <x v="0"/>
    <x v="0"/>
    <s v="Põhitegevuse kulu"/>
    <n v="0"/>
  </r>
  <r>
    <x v="5"/>
    <x v="16"/>
    <x v="16"/>
    <s v="Muu elamu- ja kommunaalmajanduse tegevus"/>
    <s v="Elamu- ja kommunaalmajandus"/>
    <s v="Viru-Jaagupi piirkonna juht"/>
    <s v="Heakorravahendid"/>
    <n v="500"/>
    <s v="kärud, rehad, kastekannud jms"/>
    <x v="4"/>
    <s v="Kinnistute, hoonete ja ruumide majandamiskulud"/>
    <n v="55"/>
    <s v="55"/>
    <x v="0"/>
    <x v="0"/>
    <s v="Põhitegevuse kulu"/>
    <n v="0"/>
  </r>
  <r>
    <x v="5"/>
    <x v="16"/>
    <x v="16"/>
    <s v="Muu elamu- ja kommunaalmajanduse tegevus"/>
    <s v="Elamu- ja kommunaalmajandus"/>
    <s v="Viru-Jaagupi piirkonna juht"/>
    <s v="Ohtlike puude langetus"/>
    <n v="6000"/>
    <s v="Tudu "/>
    <x v="4"/>
    <s v="Kinnistute, hoonete ja ruumide majandamiskulud"/>
    <n v="55"/>
    <s v="55"/>
    <x v="0"/>
    <x v="0"/>
    <s v="Põhitegevuse kulu"/>
    <n v="0"/>
  </r>
  <r>
    <x v="5"/>
    <x v="16"/>
    <x v="16"/>
    <s v="Muu elamu- ja kommunaalmajanduse tegevus"/>
    <s v="Elamu- ja kommunaalmajandus"/>
    <s v="Viru-Jaagupi piirkonna juht"/>
    <s v="Ohtlike puude langetus, pinnase tasandamine"/>
    <n v="6000"/>
    <s v="Viru-Jaagupi"/>
    <x v="4"/>
    <s v="Kinnistute, hoonete ja ruumide majandamiskulud"/>
    <n v="55"/>
    <s v="55"/>
    <x v="0"/>
    <x v="0"/>
    <s v="Põhitegevuse kulu"/>
    <n v="0"/>
  </r>
  <r>
    <x v="5"/>
    <x v="16"/>
    <x v="16"/>
    <s v="Muu elamu- ja kommunaalmajanduse tegevus"/>
    <s v="Elamu- ja kommunaalmajandus"/>
    <s v="Viru-Jaagupi piirkonna juht"/>
    <s v="Kütus seadmetele"/>
    <n v="500"/>
    <s v="traktor, trimmer, saag"/>
    <x v="4"/>
    <s v="Kinnistute, hoonete ja ruumide majandamiskulud"/>
    <n v="55"/>
    <s v="55"/>
    <x v="0"/>
    <x v="0"/>
    <s v="Põhitegevuse kulu"/>
    <n v="0"/>
  </r>
  <r>
    <x v="5"/>
    <x v="16"/>
    <x v="16"/>
    <s v="Muu elamu- ja kommunaalmajanduse tegevus"/>
    <s v="Elamu- ja kommunaalmajandus"/>
    <s v="Viru-Jaagupi piirkonna juht"/>
    <s v="Viru-Jaagupi kabeli põrand"/>
    <n v="2000"/>
    <n v="0"/>
    <x v="4"/>
    <s v="Kinnistute, hoonete ja ruumide majandamiskulud"/>
    <n v="55"/>
    <s v="55"/>
    <x v="0"/>
    <x v="0"/>
    <s v="Põhitegevuse kulu"/>
    <n v="0"/>
  </r>
  <r>
    <x v="5"/>
    <x v="16"/>
    <x v="16"/>
    <s v="Muu elamu- ja kommunaalmajanduse tegevus"/>
    <s v="Elamu- ja kommunaalmajandus"/>
    <s v="Viru-Jaagupi piirkonna juht"/>
    <s v="Viru-Jaagupi kalmistu kiviaed"/>
    <n v="10000"/>
    <n v="0"/>
    <x v="16"/>
    <s v="Rajatiste majandamiskulud"/>
    <n v="55"/>
    <s v="55"/>
    <x v="0"/>
    <x v="0"/>
    <s v="Põhitegevuse kulu"/>
    <n v="0"/>
  </r>
  <r>
    <x v="5"/>
    <x v="17"/>
    <x v="17"/>
    <s v="Muu elamu- ja kommunaalmajanduse tegevus"/>
    <s v="Elamu- ja kommunaalmajandus"/>
    <s v="Keskkonna- ja kommunaalnõunik"/>
    <s v="Varjupaikade MTÜ püsitasu kohalikelt + muuda tasud"/>
    <n v="9000"/>
    <n v="0"/>
    <x v="4"/>
    <s v="Kinnistute, hoonete ja ruumide majandamiskulud"/>
    <n v="55"/>
    <s v="55"/>
    <x v="0"/>
    <x v="0"/>
    <s v="Põhitegevuse kulu"/>
    <n v="0"/>
  </r>
  <r>
    <x v="5"/>
    <x v="17"/>
    <x v="17"/>
    <s v="Muu elamu- ja kommunaalmajanduse tegevus"/>
    <s v="Elamu- ja kommunaalmajandus"/>
    <s v="Keskkonna- ja kommunaalnõunik"/>
    <s v="muud hulkuvate loomadega seotud kulud"/>
    <n v="837.6"/>
    <n v="0"/>
    <x v="4"/>
    <s v="Kinnistute, hoonete ja ruumide majandamiskulud"/>
    <n v="55"/>
    <s v="55"/>
    <x v="0"/>
    <x v="0"/>
    <s v="Põhitegevuse kulu"/>
    <n v="0"/>
  </r>
  <r>
    <x v="5"/>
    <x v="17"/>
    <x v="17"/>
    <s v="Muu elamu- ja kommunaalmajanduse tegevus"/>
    <s v="Elamu- ja kommunaalmajandus"/>
    <s v="Keskkonna- ja kommunaalnõunik"/>
    <s v="Lemmikloomaregister SPIN TEK"/>
    <n v="662.40000000000009"/>
    <n v="0"/>
    <x v="5"/>
    <s v="Info- ja kommunikatsioonitehnoliigised kulud"/>
    <n v="55"/>
    <s v="55"/>
    <x v="0"/>
    <x v="0"/>
    <s v="Põhitegevuse kulu"/>
    <n v="0"/>
  </r>
  <r>
    <x v="6"/>
    <x v="18"/>
    <x v="18"/>
    <s v="Muu tervishoid, sh tervishoiu haldamine"/>
    <s v="Tervishoid"/>
    <s v="Finantsosakond"/>
    <s v="Rakvere Haigla MTÜ liikmemaks"/>
    <n v="2500"/>
    <n v="0"/>
    <x v="6"/>
    <s v="Liikmemaksud"/>
    <n v="452"/>
    <s v="45"/>
    <x v="1"/>
    <x v="1"/>
    <s v="Põhitegevuse kulu"/>
    <n v="0"/>
  </r>
  <r>
    <x v="6"/>
    <x v="18"/>
    <x v="18"/>
    <s v="Muu tervishoid, sh tervishoiu haldamine"/>
    <s v="Tervishoid"/>
    <s v="Sotsiaalosakond"/>
    <s v="Piret Mets Väike-Maarja TK (Laekvere) kohvimasin"/>
    <n v="600"/>
    <n v="0"/>
    <x v="8"/>
    <s v="Inventari kulud, v.a infotehnoloogia ja kaitseotstarbelised kulud"/>
    <n v="55"/>
    <s v="55"/>
    <x v="0"/>
    <x v="0"/>
    <s v="Põhitegevuse kulu"/>
    <n v="0"/>
  </r>
  <r>
    <x v="6"/>
    <x v="18"/>
    <x v="18"/>
    <s v="Muu tervishoid, sh tervishoiu haldamine"/>
    <s v="Tervishoid"/>
    <s v="Sotsiaalosakond"/>
    <s v="Piret Mets Väike-Maarja TK (Laekvere) Transpordikulu"/>
    <n v="2400"/>
    <n v="0"/>
    <x v="1"/>
    <s v="Mitmesugused majanduskulud"/>
    <n v="55"/>
    <s v="55"/>
    <x v="0"/>
    <x v="0"/>
    <s v="Põhitegevuse kulu"/>
    <n v="0"/>
  </r>
  <r>
    <x v="6"/>
    <x v="18"/>
    <x v="18"/>
    <s v="Muu tervishoid, sh tervishoiu haldamine"/>
    <s v="Tervishoid"/>
    <s v="Sotsiaalosakond"/>
    <s v="Vinni Tervisekeskusele helikindlad uksed"/>
    <n v="5000"/>
    <n v="0"/>
    <x v="4"/>
    <s v="Kinnistute, hoonete ja ruumide majandamiskulud"/>
    <n v="55"/>
    <s v="55"/>
    <x v="0"/>
    <x v="0"/>
    <s v="Põhitegevuse kulu"/>
    <n v="0"/>
  </r>
  <r>
    <x v="7"/>
    <x v="19"/>
    <x v="19"/>
    <s v="Sport"/>
    <s v="Vabaaeg, kultuur ja religioon"/>
    <s v="Vallavalitsus"/>
    <s v="Toetus tegevuskuludeks"/>
    <n v="120000"/>
    <s v="Vinni Spordikompl."/>
    <x v="15"/>
    <s v="Sihtotstarbelised eraldised muudele residentidele"/>
    <n v="4500"/>
    <s v="45"/>
    <x v="1"/>
    <x v="3"/>
    <s v="Põhitegevuse kulu"/>
    <n v="0"/>
  </r>
  <r>
    <x v="7"/>
    <x v="20"/>
    <x v="20"/>
    <s v="Sport"/>
    <s v="Vabaaeg, kultuur ja religioon"/>
    <s v="Muuga Spordihoone"/>
    <s v="bürootarbed"/>
    <n v="100"/>
    <n v="0"/>
    <x v="0"/>
    <s v="Administreerimiskulud"/>
    <n v="55"/>
    <s v="55"/>
    <x v="0"/>
    <x v="0"/>
    <s v="Põhitegevuse kulu"/>
    <n v="0"/>
  </r>
  <r>
    <x v="7"/>
    <x v="20"/>
    <x v="20"/>
    <s v="Sport"/>
    <s v="Vabaaeg, kultuur ja religioon"/>
    <s v="Muuga Spordihoone"/>
    <s v="tahmakasssetid, toonerid, tindikasseid"/>
    <n v="400"/>
    <n v="0"/>
    <x v="0"/>
    <s v="Administreerimiskulud"/>
    <n v="55"/>
    <s v="55"/>
    <x v="0"/>
    <x v="0"/>
    <s v="Põhitegevuse kulu"/>
    <n v="0"/>
  </r>
  <r>
    <x v="7"/>
    <x v="20"/>
    <x v="20"/>
    <s v="Sport"/>
    <s v="Vabaaeg, kultuur ja religioon"/>
    <s v="Muuga Spordihoone"/>
    <s v="Rent (Isikliku sõiduauto kulude hüvit.)"/>
    <n v="720"/>
    <n v="0"/>
    <x v="3"/>
    <s v="Sõidukite ülalpidamise kulud"/>
    <n v="55"/>
    <s v="55"/>
    <x v="0"/>
    <x v="0"/>
    <s v="Põhitegevuse kulu"/>
    <n v="0"/>
  </r>
  <r>
    <x v="7"/>
    <x v="20"/>
    <x v="20"/>
    <s v="Sport"/>
    <s v="Vabaaeg, kultuur ja religioon"/>
    <s v="Muuga Spordihoone"/>
    <s v="Telia internet, TV, lauatelefon"/>
    <n v="920"/>
    <n v="0"/>
    <x v="0"/>
    <s v="Administreerimiskulud"/>
    <n v="55"/>
    <s v="55"/>
    <x v="0"/>
    <x v="0"/>
    <s v="Põhitegevuse kulu"/>
    <n v="0"/>
  </r>
  <r>
    <x v="7"/>
    <x v="20"/>
    <x v="20"/>
    <s v="Sport"/>
    <s v="Vabaaeg, kultuur ja religioon"/>
    <s v="Muuga Spordihoone"/>
    <s v="Töötajate tervisekontroll, läbivaatus"/>
    <n v="50"/>
    <n v="0"/>
    <x v="9"/>
    <s v="Meditsiinikulud ja hügieenitarbed"/>
    <n v="55"/>
    <s v="55"/>
    <x v="0"/>
    <x v="0"/>
    <s v="Põhitegevuse kulu"/>
    <n v="0"/>
  </r>
  <r>
    <x v="7"/>
    <x v="20"/>
    <x v="20"/>
    <s v="Sport"/>
    <s v="Vabaaeg, kultuur ja religioon"/>
    <s v="Muuga Spordihoone"/>
    <s v="Ürituste korraldamise kulud"/>
    <n v="400"/>
    <n v="0"/>
    <x v="14"/>
    <s v="Kommunikatsiooni-, kultuuri- ja vaba aja sisustamise kulud"/>
    <n v="55"/>
    <s v="55"/>
    <x v="0"/>
    <x v="0"/>
    <s v="Põhitegevuse kulu"/>
    <n v="0"/>
  </r>
  <r>
    <x v="7"/>
    <x v="20"/>
    <x v="20"/>
    <s v="Sport"/>
    <s v="Vabaaeg, kultuur ja religioon"/>
    <s v="Muuga Spordihoone"/>
    <s v="osavõtutasud"/>
    <n v="200"/>
    <n v="0"/>
    <x v="14"/>
    <s v="Kommunikatsiooni-, kultuuri- ja vaba aja sisustamise kulud"/>
    <n v="55"/>
    <s v="55"/>
    <x v="0"/>
    <x v="0"/>
    <s v="Põhitegevuse kulu"/>
    <n v="0"/>
  </r>
  <r>
    <x v="7"/>
    <x v="20"/>
    <x v="20"/>
    <s v="Sport"/>
    <s v="Vabaaeg, kultuur ja religioon"/>
    <s v="Muuga Spordihoone"/>
    <s v="Spordiüritused"/>
    <n v="900"/>
    <n v="0"/>
    <x v="14"/>
    <s v="Kommunikatsiooni-, kultuuri- ja vaba aja sisustamise kulud"/>
    <n v="55"/>
    <s v="55"/>
    <x v="0"/>
    <x v="0"/>
    <s v="Põhitegevuse kulu"/>
    <n v="0"/>
  </r>
  <r>
    <x v="7"/>
    <x v="20"/>
    <x v="20"/>
    <s v="Sport"/>
    <s v="Vabaaeg, kultuur ja religioon"/>
    <s v="Muuga Spordihoone"/>
    <s v="Transpordi kasutus"/>
    <n v="400"/>
    <n v="0"/>
    <x v="14"/>
    <s v="Kommunikatsiooni-, kultuuri- ja vaba aja sisustamise kulud"/>
    <n v="55"/>
    <s v="55"/>
    <x v="0"/>
    <x v="0"/>
    <s v="Põhitegevuse kulu"/>
    <n v="0"/>
  </r>
  <r>
    <x v="7"/>
    <x v="20"/>
    <x v="20"/>
    <s v="Sport"/>
    <s v="Vabaaeg, kultuur ja religioon"/>
    <s v="Muuga Spordihoone"/>
    <s v="Elektri kulu"/>
    <n v="10000"/>
    <n v="0"/>
    <x v="4"/>
    <s v="Kinnistute, hoonete ja ruumide majandamiskulud"/>
    <n v="55"/>
    <s v="55"/>
    <x v="0"/>
    <x v="0"/>
    <s v="Põhitegevuse kulu"/>
    <n v="0"/>
  </r>
  <r>
    <x v="7"/>
    <x v="20"/>
    <x v="20"/>
    <s v="Sport"/>
    <s v="Vabaaeg, kultuur ja religioon"/>
    <s v="Muuga Spordihoone"/>
    <s v="elektrikäitlemislepingu kulu"/>
    <n v="460"/>
    <n v="0"/>
    <x v="4"/>
    <s v="Kinnistute, hoonete ja ruumide majandamiskulud"/>
    <n v="55"/>
    <s v="55"/>
    <x v="0"/>
    <x v="0"/>
    <s v="Põhitegevuse kulu"/>
    <n v="0"/>
  </r>
  <r>
    <x v="7"/>
    <x v="20"/>
    <x v="20"/>
    <s v="Sport"/>
    <s v="Vabaaeg, kultuur ja religioon"/>
    <s v="Muuga Spordihoone"/>
    <s v="korrashoiu- ja pisiremondi materjalid"/>
    <n v="700"/>
    <n v="0"/>
    <x v="4"/>
    <s v="Kinnistute, hoonete ja ruumide majandamiskulud"/>
    <n v="55"/>
    <s v="55"/>
    <x v="0"/>
    <x v="0"/>
    <s v="Põhitegevuse kulu"/>
    <n v="0"/>
  </r>
  <r>
    <x v="7"/>
    <x v="20"/>
    <x v="20"/>
    <s v="Sport"/>
    <s v="Vabaaeg, kultuur ja religioon"/>
    <s v="Muuga Spordihoone"/>
    <s v="korrashoiu- ja prügioveoteenused"/>
    <n v="210"/>
    <n v="0"/>
    <x v="4"/>
    <s v="Kinnistute, hoonete ja ruumide majandamiskulud"/>
    <n v="55"/>
    <s v="55"/>
    <x v="0"/>
    <x v="0"/>
    <s v="Põhitegevuse kulu"/>
    <n v="0"/>
  </r>
  <r>
    <x v="7"/>
    <x v="20"/>
    <x v="20"/>
    <s v="Sport"/>
    <s v="Vabaaeg, kultuur ja religioon"/>
    <s v="Muuga Spordihoone"/>
    <s v="Vesi- ja kanalisatsioon"/>
    <n v="520"/>
    <n v="0"/>
    <x v="4"/>
    <s v="Kinnistute, hoonete ja ruumide majandamiskulud"/>
    <n v="55"/>
    <s v="55"/>
    <x v="0"/>
    <x v="0"/>
    <s v="Põhitegevuse kulu"/>
    <n v="0"/>
  </r>
  <r>
    <x v="7"/>
    <x v="20"/>
    <x v="20"/>
    <s v="Sport"/>
    <s v="Vabaaeg, kultuur ja religioon"/>
    <s v="Muuga Spordihoone"/>
    <s v="remonttööd"/>
    <n v="738"/>
    <n v="0"/>
    <x v="4"/>
    <s v="Kinnistute, hoonete ja ruumide majandamiskulud"/>
    <n v="55"/>
    <s v="55"/>
    <x v="0"/>
    <x v="0"/>
    <s v="Põhitegevuse kulu"/>
    <n v="0"/>
  </r>
  <r>
    <x v="7"/>
    <x v="20"/>
    <x v="20"/>
    <s v="Sport"/>
    <s v="Vabaaeg, kultuur ja religioon"/>
    <s v="Muuga Spordihoone"/>
    <s v="ATS signalisatsioon"/>
    <n v="317"/>
    <n v="0"/>
    <x v="4"/>
    <s v="Kinnistute, hoonete ja ruumide majandamiskulud"/>
    <n v="55"/>
    <s v="55"/>
    <x v="0"/>
    <x v="0"/>
    <s v="Põhitegevuse kulu"/>
    <n v="0"/>
  </r>
  <r>
    <x v="7"/>
    <x v="20"/>
    <x v="20"/>
    <s v="Sport"/>
    <s v="Vabaaeg, kultuur ja religioon"/>
    <s v="Muuga Spordihoone"/>
    <s v="istikud"/>
    <n v="26.4"/>
    <n v="0"/>
    <x v="4"/>
    <s v="Kinnistute, hoonete ja ruumide majandamiskulud"/>
    <n v="55"/>
    <s v="55"/>
    <x v="0"/>
    <x v="0"/>
    <s v="Põhitegevuse kulu"/>
    <n v="0"/>
  </r>
  <r>
    <x v="7"/>
    <x v="20"/>
    <x v="20"/>
    <s v="Sport"/>
    <s v="Vabaaeg, kultuur ja religioon"/>
    <s v="Muuga Spordihoone"/>
    <s v="Lipud,vimplid, sümboolika"/>
    <n v="150"/>
    <n v="0"/>
    <x v="4"/>
    <s v="Kinnistute, hoonete ja ruumide majandamiskulud"/>
    <n v="55"/>
    <s v="55"/>
    <x v="0"/>
    <x v="0"/>
    <s v="Põhitegevuse kulu"/>
    <n v="0"/>
  </r>
  <r>
    <x v="7"/>
    <x v="20"/>
    <x v="20"/>
    <s v="Sport"/>
    <s v="Vabaaeg, kultuur ja religioon"/>
    <s v="Muuga Spordihoone"/>
    <s v="infotehnoloogiline riist-ja tarkvara"/>
    <n v="300"/>
    <n v="0"/>
    <x v="5"/>
    <s v="Info- ja kommunikatsioonitehnoliigised kulud"/>
    <n v="55"/>
    <s v="55"/>
    <x v="0"/>
    <x v="0"/>
    <s v="Põhitegevuse kulu"/>
    <n v="0"/>
  </r>
  <r>
    <x v="7"/>
    <x v="21"/>
    <x v="21"/>
    <s v="Sport"/>
    <s v="Vabaaeg, kultuur ja religioon"/>
    <s v="Arendusnõunik"/>
    <s v="sisseostetud teenus (kevad- ja järelhooldus)"/>
    <n v="3000"/>
    <n v="0"/>
    <x v="4"/>
    <s v="Kinnistute, hoonete ja ruumide majandamiskulud"/>
    <n v="55"/>
    <s v="55"/>
    <x v="0"/>
    <x v="0"/>
    <s v="Põhitegevuse kulu"/>
    <n v="0"/>
  </r>
  <r>
    <x v="7"/>
    <x v="21"/>
    <x v="21"/>
    <s v="Sport"/>
    <s v="Vabaaeg, kultuur ja religioon"/>
    <s v="Arendusnõunik"/>
    <s v="väetis"/>
    <n v="1500"/>
    <n v="0"/>
    <x v="4"/>
    <s v="Kinnistute, hoonete ja ruumide majandamiskulud"/>
    <n v="55"/>
    <s v="55"/>
    <x v="0"/>
    <x v="0"/>
    <s v="Põhitegevuse kulu"/>
    <n v="0"/>
  </r>
  <r>
    <x v="7"/>
    <x v="21"/>
    <x v="21"/>
    <s v="Sport"/>
    <s v="Vabaaeg, kultuur ja religioon"/>
    <s v="Arendusnõunik"/>
    <s v="kütus"/>
    <n v="300"/>
    <n v="0"/>
    <x v="4"/>
    <s v="Kinnistute, hoonete ja ruumide majandamiskulud"/>
    <n v="55"/>
    <s v="55"/>
    <x v="0"/>
    <x v="0"/>
    <s v="Põhitegevuse kulu"/>
    <n v="0"/>
  </r>
  <r>
    <x v="7"/>
    <x v="21"/>
    <x v="21"/>
    <s v="Sport"/>
    <s v="Vabaaeg, kultuur ja religioon"/>
    <s v="Arendusnõunik"/>
    <s v="töövahendid, remont"/>
    <n v="785"/>
    <n v="0"/>
    <x v="4"/>
    <s v="Kinnistute, hoonete ja ruumide majandamiskulud"/>
    <n v="55"/>
    <s v="55"/>
    <x v="0"/>
    <x v="0"/>
    <s v="Põhitegevuse kulu"/>
    <n v="0"/>
  </r>
  <r>
    <x v="7"/>
    <x v="21"/>
    <x v="21"/>
    <s v="Sport"/>
    <s v="Vabaaeg, kultuur ja religioon"/>
    <s v="Arendusnõunik"/>
    <s v="side (Telia)"/>
    <n v="15"/>
    <n v="0"/>
    <x v="4"/>
    <s v="Kinnistute, hoonete ja ruumide majandamiskulud"/>
    <n v="55"/>
    <s v="55"/>
    <x v="0"/>
    <x v="0"/>
    <s v="Põhitegevuse kulu"/>
    <n v="0"/>
  </r>
  <r>
    <x v="7"/>
    <x v="22"/>
    <x v="22"/>
    <s v="Sport"/>
    <s v="Vabaaeg, kultuur ja religioon"/>
    <s v="Noorsoo- ja spordinõunik"/>
    <s v="Toetused sportlastele, spordiüritused, kaasfinantseeringud, valla parimate sportlaste tunnustamine. (jooksvalt 2020)"/>
    <n v="8000"/>
    <n v="0"/>
    <x v="18"/>
    <s v="Sihtotstarbelised eraldised jooksvateks kuludeks"/>
    <n v="4500"/>
    <s v="45"/>
    <x v="1"/>
    <x v="3"/>
    <s v="Põhitegevuse kulu"/>
    <n v="0"/>
  </r>
  <r>
    <x v="7"/>
    <x v="23"/>
    <x v="23"/>
    <s v="Sport"/>
    <s v="Vabaaeg, kultuur ja religioon"/>
    <s v="Noorsoo- ja spordinõunik"/>
    <s v="Valla koolide ja lasteaedade  2020 aasta suusatamise-ja kergejõustikuvõistlused, spordipäevad."/>
    <n v="800"/>
    <n v="0"/>
    <x v="1"/>
    <s v="Mitmesugused majanduskulud"/>
    <n v="55"/>
    <s v="55"/>
    <x v="0"/>
    <x v="0"/>
    <s v="Põhitegevuse kulu"/>
    <n v="0"/>
  </r>
  <r>
    <x v="7"/>
    <x v="23"/>
    <x v="23"/>
    <s v="Sport"/>
    <s v="Vabaaeg, kultuur ja religioon"/>
    <s v="Noorsoo- ja spordinõunik"/>
    <s v="Valla päevadel spordivõistluste korraldamine"/>
    <n v="1000"/>
    <n v="0"/>
    <x v="1"/>
    <s v="Mitmesugused majanduskulud"/>
    <n v="55"/>
    <s v="55"/>
    <x v="0"/>
    <x v="0"/>
    <s v="Põhitegevuse kulu"/>
    <n v="0"/>
  </r>
  <r>
    <x v="7"/>
    <x v="23"/>
    <x v="23"/>
    <s v="Sport"/>
    <s v="Vabaaeg, kultuur ja religioon"/>
    <s v="Noorsoo- ja spordinõunik"/>
    <s v="Eesti 2020 aasta omavalitsuste tali-ja suvemängudel osalemine "/>
    <n v="4000"/>
    <n v="0"/>
    <x v="1"/>
    <s v="Mitmesugused majanduskulud"/>
    <n v="55"/>
    <s v="55"/>
    <x v="0"/>
    <x v="0"/>
    <s v="Põhitegevuse kulu"/>
    <n v="0"/>
  </r>
  <r>
    <x v="7"/>
    <x v="24"/>
    <x v="24"/>
    <s v="Sport"/>
    <s v="Vabaaeg, kultuur ja religioon"/>
    <s v="Noorsoo- ja spordinõunik"/>
    <s v="Vinni Spordikompleksis elanike tervise ja spordivõimaluste tagamine (lasteaiad, koolid jne.)"/>
    <n v="20000"/>
    <n v="0"/>
    <x v="1"/>
    <s v="Mitmesugused majanduskulud"/>
    <n v="55"/>
    <s v="55"/>
    <x v="0"/>
    <x v="0"/>
    <s v="Põhitegevuse kulu"/>
    <n v="0"/>
  </r>
  <r>
    <x v="7"/>
    <x v="24"/>
    <x v="24"/>
    <s v="Sport"/>
    <s v="Vabaaeg, kultuur ja religioon"/>
    <s v="Noorsoo- ja spordinõunik"/>
    <s v="Vinni Spordikompleksis elanike tervise ja spordivõimaluste tagamine (elanikkond)"/>
    <n v="29000"/>
    <n v="0"/>
    <x v="1"/>
    <s v="Mitmesugused majanduskulud"/>
    <n v="55"/>
    <s v="55"/>
    <x v="0"/>
    <x v="0"/>
    <s v="Põhitegevuse kulu"/>
    <n v="0"/>
  </r>
  <r>
    <x v="7"/>
    <x v="25"/>
    <x v="25"/>
    <s v="Sport"/>
    <s v="Vabaaeg, kultuur ja religioon"/>
    <s v="Noorsoo- ja spordinõunik"/>
    <s v="Spordiseltside, klubide, mtü-de, andekate sportlaste ja spordiürituste korraldamise toetused"/>
    <n v="26350"/>
    <n v="0"/>
    <x v="18"/>
    <s v="Sihtotstarbelised eraldised jooksvateks kuludeks"/>
    <n v="4500"/>
    <s v="45"/>
    <x v="1"/>
    <x v="3"/>
    <s v="Põhitegevuse kulu"/>
    <n v="0"/>
  </r>
  <r>
    <x v="7"/>
    <x v="26"/>
    <x v="26"/>
    <s v="Noorsootöö ja noortekeskused"/>
    <s v="Vabaaeg, kultuur ja religioon"/>
    <s v="Noorsoo- ja spordinõunik"/>
    <s v="Noorte volikogu töö korraldamine, arendamine            "/>
    <n v="2000"/>
    <n v="0"/>
    <x v="1"/>
    <s v="Mitmesugused majanduskulud"/>
    <n v="55"/>
    <s v="55"/>
    <x v="0"/>
    <x v="0"/>
    <s v="Põhitegevuse kulu"/>
    <n v="0"/>
  </r>
  <r>
    <x v="7"/>
    <x v="26"/>
    <x v="26"/>
    <s v="Noorsootöö ja noortekeskused"/>
    <s v="Vabaaeg, kultuur ja religioon"/>
    <s v="Noorsoo- ja spordinõunik"/>
    <s v="Isikliku sõiduauto komp."/>
    <n v="3685"/>
    <n v="0"/>
    <x v="3"/>
    <s v="Sõidukite ülalpidamise kulud"/>
    <n v="55"/>
    <s v="55"/>
    <x v="0"/>
    <x v="0"/>
    <s v="Põhitegevuse kulu"/>
    <n v="0"/>
  </r>
  <r>
    <x v="7"/>
    <x v="26"/>
    <x v="26"/>
    <s v="Noorsootöö ja noortekeskused"/>
    <s v="Vabaaeg, kultuur ja religioon"/>
    <s v="Noorsoo- ja spordinõunik"/>
    <s v="Sideteenused"/>
    <n v="135"/>
    <n v="0"/>
    <x v="0"/>
    <s v="Administreerimiskulud"/>
    <n v="55"/>
    <s v="55"/>
    <x v="0"/>
    <x v="0"/>
    <s v="Põhitegevuse kulu"/>
    <n v="0"/>
  </r>
  <r>
    <x v="7"/>
    <x v="26"/>
    <x v="26"/>
    <s v="Noorsootöö ja noortekeskused"/>
    <s v="Vabaaeg, kultuur ja religioon"/>
    <s v="Noorsoo- ja spordinõunik"/>
    <s v="Seminaridel osalemine"/>
    <n v="150"/>
    <n v="0"/>
    <x v="2"/>
    <s v="Koolituskulud"/>
    <n v="55"/>
    <s v="55"/>
    <x v="0"/>
    <x v="0"/>
    <s v="Põhitegevuse kulu"/>
    <n v="0"/>
  </r>
  <r>
    <x v="7"/>
    <x v="26"/>
    <x v="26"/>
    <s v="Noorsootöö ja noortekeskused"/>
    <s v="Vabaaeg, kultuur ja religioon"/>
    <s v="Noorsoo- ja spordinõunik"/>
    <s v="Lauatennise laud Tudu kooli"/>
    <n v="700"/>
    <s v="esialgu taotles vahendeid selle soetuseks Tudu Hariduse ja Spordiselts MTÜ"/>
    <x v="8"/>
    <s v="Inventari kulud, v.a infotehnoloogia ja kaitseotstarbelised kulud"/>
    <n v="55"/>
    <s v="55"/>
    <x v="0"/>
    <x v="0"/>
    <s v="Põhitegevuse kulu"/>
    <n v="0"/>
  </r>
  <r>
    <x v="7"/>
    <x v="27"/>
    <x v="27"/>
    <s v="Noorsootöö ja noortekeskused"/>
    <s v="Vabaaeg, kultuur ja religioon"/>
    <s v="Noorsoo- ja spordinõunik"/>
    <s v="Noorsoo projektide kaasfinantseerimised"/>
    <n v="4000"/>
    <n v="0"/>
    <x v="18"/>
    <s v="Sihtotstarbelised eraldised jooksvateks kuludeks"/>
    <n v="4500"/>
    <s v="45"/>
    <x v="1"/>
    <x v="3"/>
    <s v="Põhitegevuse kulu"/>
    <n v="0"/>
  </r>
  <r>
    <x v="7"/>
    <x v="28"/>
    <x v="28"/>
    <s v="Noorsootöö ja noortekeskused"/>
    <s v="Vabaaeg, kultuur ja religioon"/>
    <s v="Noorsoo- ja spordinõunik"/>
    <s v="Laste töö- ja puhkelaagri toitlustuskulud"/>
    <n v="1500"/>
    <n v="0"/>
    <x v="19"/>
    <s v="Toiduained ja toitlustusteenused"/>
    <n v="55"/>
    <s v="55"/>
    <x v="0"/>
    <x v="0"/>
    <s v="Põhitegevuse kulu"/>
    <n v="0"/>
  </r>
  <r>
    <x v="7"/>
    <x v="28"/>
    <x v="28"/>
    <s v="Noorsootöö ja noortekeskused"/>
    <s v="Vabaaeg, kultuur ja religioon"/>
    <s v="Noorsoo- ja spordinõunik"/>
    <s v="Laste töö- ja puhkelaagri elektrikulud"/>
    <n v="700"/>
    <n v="0"/>
    <x v="4"/>
    <s v="Kinnistute, hoonete ja ruumide majandamiskulud"/>
    <n v="55"/>
    <s v="55"/>
    <x v="0"/>
    <x v="0"/>
    <s v="Põhitegevuse kulu"/>
    <n v="0"/>
  </r>
  <r>
    <x v="7"/>
    <x v="29"/>
    <x v="29"/>
    <s v="Noorsootöö ja noortekeskused"/>
    <s v="Vabaaeg, kultuur ja religioon"/>
    <s v="Noorsoo- ja spordinõunik"/>
    <s v="Vinni Valla Noored MTÜ"/>
    <n v="87252"/>
    <n v="0"/>
    <x v="18"/>
    <s v="Sihtotstarbelised eraldised jooksvateks kuludeks"/>
    <n v="4500"/>
    <s v="45"/>
    <x v="1"/>
    <x v="3"/>
    <s v="Põhitegevuse kulu"/>
    <n v="0"/>
  </r>
  <r>
    <x v="7"/>
    <x v="30"/>
    <x v="30"/>
    <s v="Vaba aja üritused"/>
    <s v="Vabaaeg, kultuur ja religioon"/>
    <s v="Vallavanem"/>
    <s v="Vinni Vald 30"/>
    <n v="21000"/>
    <n v="0"/>
    <x v="14"/>
    <s v="Kommunikatsiooni-, kultuuri- ja vaba aja sisustamise kulud"/>
    <n v="55"/>
    <s v="55"/>
    <x v="0"/>
    <x v="0"/>
    <s v="Põhitegevuse kulu"/>
    <n v="0"/>
  </r>
  <r>
    <x v="7"/>
    <x v="30"/>
    <x v="30"/>
    <s v="Vaba aja üritused"/>
    <s v="Vabaaeg, kultuur ja religioon"/>
    <s v="Vallavanem"/>
    <s v="Vabariigi aastapäev"/>
    <n v="5000"/>
    <n v="0"/>
    <x v="14"/>
    <s v="Kommunikatsiooni-, kultuuri- ja vaba aja sisustamise kulud"/>
    <n v="55"/>
    <s v="55"/>
    <x v="0"/>
    <x v="0"/>
    <s v="Põhitegevuse kulu"/>
    <n v="0"/>
  </r>
  <r>
    <x v="7"/>
    <x v="30"/>
    <x v="30"/>
    <s v="Vaba aja üritused"/>
    <s v="Vabaaeg, kultuur ja religioon"/>
    <s v="Pajusti klubi"/>
    <s v="Vinni Filharmoonikud, advendikingitus"/>
    <n v="4500"/>
    <n v="0"/>
    <x v="14"/>
    <s v="Kommunikatsiooni-, kultuuri- ja vaba aja sisustamise kulud"/>
    <n v="55"/>
    <s v="55"/>
    <x v="0"/>
    <x v="0"/>
    <s v="Põhitegevuse kulu"/>
    <n v="0"/>
  </r>
  <r>
    <x v="7"/>
    <x v="30"/>
    <x v="30"/>
    <s v="Vaba aja üritused"/>
    <s v="Vabaaeg, kultuur ja religioon"/>
    <s v="Vallavanem"/>
    <s v="Töötajate juubelid"/>
    <n v="1500"/>
    <n v="0"/>
    <x v="14"/>
    <s v="Kommunikatsiooni-, kultuuri- ja vaba aja sisustamise kulud"/>
    <n v="55"/>
    <s v="55"/>
    <x v="0"/>
    <x v="0"/>
    <s v="Põhitegevuse kulu"/>
    <n v="0"/>
  </r>
  <r>
    <x v="7"/>
    <x v="31"/>
    <x v="31"/>
    <s v="Vaba aja üritused"/>
    <s v="Vabaaeg, kultuur ja religioon"/>
    <s v="Kultuurinõunik"/>
    <s v="Kultuuri MTÜ-de toetused"/>
    <n v="12360"/>
    <n v="0"/>
    <x v="15"/>
    <s v="Sihtotstarbelised eraldised muudele residentidele"/>
    <n v="4500"/>
    <s v="45"/>
    <x v="1"/>
    <x v="3"/>
    <s v="Põhitegevuse kulu"/>
    <n v="0"/>
  </r>
  <r>
    <x v="7"/>
    <x v="31"/>
    <x v="31"/>
    <s v="Vaba aja üritused"/>
    <s v="Vabaaeg, kultuur ja religioon"/>
    <s v="Kultuurinõunik"/>
    <s v="Kultuuri MTÜ-de toetuste reserv"/>
    <n v="1250"/>
    <s v="10% kultuuri MTÜ-de kogumahust"/>
    <x v="15"/>
    <s v="Sihtotstarbelised eraldised muudele residentidele"/>
    <n v="4500"/>
    <s v="45"/>
    <x v="1"/>
    <x v="3"/>
    <s v="Põhitegevuse kulu"/>
    <n v="0"/>
  </r>
  <r>
    <x v="7"/>
    <x v="32"/>
    <x v="32"/>
    <s v="Vaba aja üritused"/>
    <s v="Vabaaeg, kultuur ja religioon"/>
    <s v="Ehitusnõunik"/>
    <s v="Muud kulud"/>
    <n v="1500"/>
    <n v="0"/>
    <x v="16"/>
    <s v="Rajatiste majandamiskulud"/>
    <n v="55"/>
    <s v="55"/>
    <x v="0"/>
    <x v="0"/>
    <s v="Põhitegevuse kulu"/>
    <n v="0"/>
  </r>
  <r>
    <x v="7"/>
    <x v="32"/>
    <x v="32"/>
    <s v="Vaba aja üritused"/>
    <s v="Vabaaeg, kultuur ja religioon"/>
    <s v="Ehitusnõunik"/>
    <s v="Elekter"/>
    <n v="3000"/>
    <n v="0"/>
    <x v="16"/>
    <s v="Rajatiste majandamiskulud"/>
    <n v="55"/>
    <s v="55"/>
    <x v="0"/>
    <x v="0"/>
    <s v="Põhitegevuse kulu"/>
    <n v="0"/>
  </r>
  <r>
    <x v="7"/>
    <x v="33"/>
    <x v="33"/>
    <s v="Vaba aja üritused"/>
    <s v="Vabaaeg, kultuur ja religioon"/>
    <s v="Pajusti klubi"/>
    <s v="Raamatud, lilled, külaliste vastuvõtt jms"/>
    <n v="1000"/>
    <n v="0"/>
    <x v="0"/>
    <s v="Administreerimiskulud"/>
    <n v="55"/>
    <s v="55"/>
    <x v="0"/>
    <x v="0"/>
    <s v="Põhitegevuse kulu"/>
    <n v="0"/>
  </r>
  <r>
    <x v="7"/>
    <x v="34"/>
    <x v="34"/>
    <s v="Vaba aja üritused"/>
    <s v="Vabaaeg, kultuur ja religioon"/>
    <s v="Kultuurinõunik"/>
    <s v="Kultuuri projektide kaasfinantseerimised 2020.a"/>
    <n v="8000"/>
    <n v="0"/>
    <x v="15"/>
    <s v="Sihtotstarbelised eraldised muudele residentidele"/>
    <n v="4500"/>
    <s v="45"/>
    <x v="1"/>
    <x v="3"/>
    <s v="Põhitegevuse kulu"/>
    <n v="0"/>
  </r>
  <r>
    <x v="7"/>
    <x v="35"/>
    <x v="35"/>
    <s v="Raamatukogud"/>
    <s v="Vabaaeg, kultuur ja religioon"/>
    <s v="Vinni-Pajusti raamatukogu"/>
    <s v="Soojus"/>
    <n v="9000"/>
    <n v="0"/>
    <x v="4"/>
    <s v="Kinnistute, hoonete ja ruumide majandami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Elekter"/>
    <n v="2000"/>
    <n v="0"/>
    <x v="4"/>
    <s v="Kinnistute, hoonete ja ruumide majandami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Vesi"/>
    <n v="120"/>
    <n v="0"/>
    <x v="4"/>
    <s v="Kinnistute, hoonete ja ruumide majandami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Hooldusvahendid, tualettpaber"/>
    <n v="200"/>
    <n v="0"/>
    <x v="4"/>
    <s v="Kinnistute, hoonete ja ruumide majandami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Prügi"/>
    <n v="100"/>
    <s v="200l -rk oma, õues 600l -küla oma, meie eelarves"/>
    <x v="4"/>
    <s v="Kinnistute, hoonete ja ruumide majandami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Vaip"/>
    <n v="100"/>
    <n v="0"/>
    <x v="4"/>
    <s v="Kinnistute, hoonete ja ruumide majandami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Paber"/>
    <n v="100"/>
    <n v="0"/>
    <x v="0"/>
    <s v="Administreerimi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Raamatukile"/>
    <n v="190"/>
    <n v="0"/>
    <x v="0"/>
    <s v="Administreerimi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Raamatuetiketid"/>
    <n v="120"/>
    <n v="0"/>
    <x v="0"/>
    <s v="Administreerimi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Perioodika"/>
    <n v="2000"/>
    <n v="0"/>
    <x v="0"/>
    <s v="Administreerimi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Tooner"/>
    <n v="150"/>
    <n v="0"/>
    <x v="0"/>
    <s v="Administreerimi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Telefon+internet"/>
    <n v="800"/>
    <n v="0"/>
    <x v="0"/>
    <s v="Administreerimi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Markerid, pastakad, kleepsud, märkmepaber jmt"/>
    <n v="100"/>
    <n v="0"/>
    <x v="0"/>
    <s v="Administreerimi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Koolituskulud"/>
    <n v="500"/>
    <s v="Muud koolitused (sh Lääne-Virumaa KRK korraldatud)"/>
    <x v="2"/>
    <s v="Koolitu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Lähetuskulud"/>
    <n v="100"/>
    <s v="Laager Saaremaal; õppereis Soome Oodi raamatukokku"/>
    <x v="2"/>
    <s v="Koolitu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Tulekahju signalisatsiooni hooldus"/>
    <n v="450"/>
    <n v="0"/>
    <x v="4"/>
    <s v="Kinnistute, hoonete ja ruumide majandami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Kindlustus"/>
    <n v="125"/>
    <n v="0"/>
    <x v="4"/>
    <s v="Kinnistute, hoonete ja ruumide majandami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Valgustus, lampide vahetus"/>
    <n v="200"/>
    <n v="0"/>
    <x v="4"/>
    <s v="Kinnistute, hoonete ja ruumide majandami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Autohüvitis "/>
    <n v="400"/>
    <s v="Kadilas laenutamine iga nädal 1x + linnast raamatute toomine, majandustarvikute toomine"/>
    <x v="3"/>
    <s v="Sõidukite ülalpidamise 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Töötervishoid"/>
    <n v="200"/>
    <n v="0"/>
    <x v="9"/>
    <s v="Meditsiinikulud ja hügieenitarbe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Raamatud"/>
    <n v="7200"/>
    <n v="0"/>
    <x v="10"/>
    <s v="Teavikud ja kunstieseme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Auhinnad raamatutundides, suvises lugemisprogrammis"/>
    <n v="600"/>
    <n v="0"/>
    <x v="14"/>
    <s v="Kommunikatsiooni-, kultuuri- ja vaba aja sisustamise 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Postkast Kadilasse"/>
    <n v="50"/>
    <n v="0"/>
    <x v="8"/>
    <s v="Inventari kulud, v.a infotehnoloogia ja kaitseotstarbelised 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Ettenägematud kulud"/>
    <n v="89.91"/>
    <n v="0"/>
    <x v="1"/>
    <s v="Mitmesugused majandu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Tarkvara hooldusleping"/>
    <n v="480"/>
    <s v="Kadila + Vinni, programm Urram"/>
    <x v="5"/>
    <s v="Info- ja kommunikatsioonitehnoliigised 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Värviprinter"/>
    <n v="500"/>
    <n v="0"/>
    <x v="5"/>
    <s v="Info- ja kommunikatsioonitehnoliigised 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Lisaruumide san.remont vms renoveerimine"/>
    <n v="5000"/>
    <s v="Rauno"/>
    <x v="4"/>
    <s v="Kinnistute, hoonete ja ruumide majandamiskulud"/>
    <n v="55"/>
    <s v="55"/>
    <x v="0"/>
    <x v="0"/>
    <s v="Põhitegevuse kulu"/>
    <n v="0"/>
  </r>
  <r>
    <x v="7"/>
    <x v="35"/>
    <x v="35"/>
    <s v="Raamatukogud"/>
    <s v="Vabaaeg, kultuur ja religioon"/>
    <s v="Vinni-Pajusti raamatukogu"/>
    <s v="Tagastuskast raamatukogu välisukse juurde."/>
    <n v="300"/>
    <n v="0"/>
    <x v="8"/>
    <s v="Inventari kulud, v.a infotehnoloogia ja kaitseotstarbelised kulud"/>
    <n v="55"/>
    <s v="55"/>
    <x v="0"/>
    <x v="0"/>
    <s v="Põhitegevuse kulu"/>
    <n v="0"/>
  </r>
  <r>
    <x v="7"/>
    <x v="36"/>
    <x v="36"/>
    <s v="Raamatukogud"/>
    <s v="Vabaaeg, kultuur ja religioon"/>
    <s v="Viru-Jaagupi raamatukogu"/>
    <s v="korrashoiuvahendid(puh.vahendid,prügikotid jne), k.a.muuseumi jaoks"/>
    <n v="80"/>
    <n v="0"/>
    <x v="4"/>
    <s v="Kinnistute, hoonete ja ruumide majandamiskulud"/>
    <n v="55"/>
    <s v="55"/>
    <x v="0"/>
    <x v="0"/>
    <s v="Põhitegevuse kulu"/>
    <n v="0"/>
  </r>
  <r>
    <x v="7"/>
    <x v="36"/>
    <x v="36"/>
    <s v="Raamatukogud"/>
    <s v="Vabaaeg, kultuur ja religioon"/>
    <s v="Viru-Jaagupi raamatukogu"/>
    <s v="raamatukogu telefon, ajalehed,ajakirjad, print.tahm(ka kultuuriürituste kuulutused)"/>
    <n v="1380"/>
    <n v="0"/>
    <x v="0"/>
    <s v="Administreerimiskulud"/>
    <n v="55"/>
    <s v="55"/>
    <x v="0"/>
    <x v="0"/>
    <s v="Põhitegevuse kulu"/>
    <n v="0"/>
  </r>
  <r>
    <x v="7"/>
    <x v="36"/>
    <x v="36"/>
    <s v="Raamatukogud"/>
    <s v="Vabaaeg, kultuur ja religioon"/>
    <s v="Viru-Jaagupi raamatukogu"/>
    <s v="koolitused"/>
    <n v="50"/>
    <n v="0"/>
    <x v="2"/>
    <s v="Koolituskulud"/>
    <n v="55"/>
    <s v="55"/>
    <x v="0"/>
    <x v="0"/>
    <s v="Põhitegevuse kulu"/>
    <n v="0"/>
  </r>
  <r>
    <x v="7"/>
    <x v="36"/>
    <x v="36"/>
    <s v="Raamatukogud"/>
    <s v="Vabaaeg, kultuur ja religioon"/>
    <s v="Viru-Jaagupi raamatukogu"/>
    <s v="uued raamatud kogusse"/>
    <n v="2000"/>
    <n v="0"/>
    <x v="10"/>
    <s v="Teavikud ja kunstiesemed"/>
    <n v="55"/>
    <s v="55"/>
    <x v="0"/>
    <x v="0"/>
    <s v="Põhitegevuse kulu"/>
    <n v="0"/>
  </r>
  <r>
    <x v="7"/>
    <x v="36"/>
    <x v="36"/>
    <s v="Raamatukogud"/>
    <s v="Vabaaeg, kultuur ja religioon"/>
    <s v="Viru-Jaagupi raamatukogu"/>
    <s v="planeeritud kultuuriüritused,mida korraldab. raamatukogu koostöös muuseumiga"/>
    <n v="300"/>
    <n v="0"/>
    <x v="14"/>
    <s v="Kommunikatsiooni-, kultuuri- ja vaba aja sisustamise kulud"/>
    <n v="55"/>
    <s v="55"/>
    <x v="0"/>
    <x v="0"/>
    <s v="Põhitegevuse kulu"/>
    <n v="0"/>
  </r>
  <r>
    <x v="7"/>
    <x v="36"/>
    <x v="36"/>
    <s v="Raamatukogud"/>
    <s v="Vabaaeg, kultuur ja religioon"/>
    <s v="Viru-Jaagupi raamatukogu"/>
    <s v="riiulitele teavikute kohasildid"/>
    <n v="100"/>
    <s v="jäi osadele riiulitele 2019 puudu! s.h.lastefondile)"/>
    <x v="0"/>
    <s v="Administreerimiskulud"/>
    <n v="55"/>
    <s v="55"/>
    <x v="0"/>
    <x v="0"/>
    <s v="Põhitegevuse kulu"/>
    <n v="0"/>
  </r>
  <r>
    <x v="7"/>
    <x v="36"/>
    <x v="36"/>
    <s v="Raamatukogud"/>
    <s v="Vabaaeg, kultuur ja religioon"/>
    <s v="Viru-Jaagupi raamatukogu"/>
    <s v="Urrami programmi igakuine hooldustasu 20.-x 12 k"/>
    <n v="240"/>
    <n v="0"/>
    <x v="5"/>
    <s v="Info- ja kommunikatsioonitehnoliigised kulud"/>
    <n v="55"/>
    <s v="55"/>
    <x v="0"/>
    <x v="0"/>
    <s v="Põhitegevuse kulu"/>
    <n v="0"/>
  </r>
  <r>
    <x v="7"/>
    <x v="36"/>
    <x v="36"/>
    <s v="Raamatukogud"/>
    <s v="Vabaaeg, kultuur ja religioon"/>
    <s v="Viru-Jaagupi raamatukogu"/>
    <s v="Lugejaarvuti"/>
    <n v="400"/>
    <s v="raamatukogul ei ole ainsana valla raamatukogudest lugeja toimivat lugejaarvutit, ehkki igal aastal on vajadus eelarvesse märgitud lugeja kasutab vajadusel raamatukogutöötaja tööarvutit"/>
    <x v="5"/>
    <s v="Info- ja kommunikatsioonitehnoliigised kulud"/>
    <n v="55"/>
    <s v="55"/>
    <x v="0"/>
    <x v="0"/>
    <s v="Põhitegevuse kulu"/>
    <n v="0"/>
  </r>
  <r>
    <x v="7"/>
    <x v="37"/>
    <x v="37"/>
    <s v="Raamatukogud"/>
    <s v="Vabaaeg, kultuur ja religioon"/>
    <s v="Roela Raamatukogu"/>
    <s v="paber,tahm"/>
    <n v="120"/>
    <n v="0"/>
    <x v="0"/>
    <s v="Administreerimiskulud"/>
    <n v="55"/>
    <s v="55"/>
    <x v="0"/>
    <x v="0"/>
    <s v="Põhitegevuse kulu"/>
    <n v="0"/>
  </r>
  <r>
    <x v="7"/>
    <x v="37"/>
    <x v="37"/>
    <s v="Raamatukogud"/>
    <s v="Vabaaeg, kultuur ja religioon"/>
    <s v="Roela Raamatukogu"/>
    <s v="Koolituskulud"/>
    <n v="350"/>
    <n v="0"/>
    <x v="2"/>
    <s v="Koolituskulud"/>
    <n v="55"/>
    <s v="55"/>
    <x v="0"/>
    <x v="0"/>
    <s v="Põhitegevuse kulu"/>
    <n v="0"/>
  </r>
  <r>
    <x v="7"/>
    <x v="37"/>
    <x v="37"/>
    <s v="Raamatukogud"/>
    <s v="Vabaaeg, kultuur ja religioon"/>
    <s v="Roela Raamatukogu"/>
    <s v="diivan"/>
    <n v="150"/>
    <s v="täiendav vajadus"/>
    <x v="8"/>
    <s v="Inventari kulud, v.a infotehnoloogia ja kaitseotstarbelised kulud"/>
    <n v="55"/>
    <s v="55"/>
    <x v="0"/>
    <x v="0"/>
    <s v="Põhitegevuse kulu"/>
    <n v="0"/>
  </r>
  <r>
    <x v="7"/>
    <x v="37"/>
    <x v="37"/>
    <s v="Raamatukogud"/>
    <s v="Vabaaeg, kultuur ja religioon"/>
    <s v="Roela Raamatukogu"/>
    <s v="liigieraldajad"/>
    <n v="200"/>
    <s v="täiendav vajadus"/>
    <x v="8"/>
    <s v="Inventari kulud, v.a infotehnoloogia ja kaitseotstarbelised kulud"/>
    <n v="55"/>
    <s v="55"/>
    <x v="0"/>
    <x v="0"/>
    <s v="Põhitegevuse kulu"/>
    <n v="0"/>
  </r>
  <r>
    <x v="7"/>
    <x v="37"/>
    <x v="37"/>
    <s v="Raamatukogud"/>
    <s v="Vabaaeg, kultuur ja religioon"/>
    <s v="Roela Raamatukogu"/>
    <s v="raamatud"/>
    <n v="4000"/>
    <n v="0"/>
    <x v="10"/>
    <s v="Teavikud ja kunstiesemed"/>
    <n v="55"/>
    <s v="55"/>
    <x v="0"/>
    <x v="0"/>
    <s v="Põhitegevuse kulu"/>
    <n v="0"/>
  </r>
  <r>
    <x v="7"/>
    <x v="37"/>
    <x v="37"/>
    <s v="Raamatukogud"/>
    <s v="Vabaaeg, kultuur ja religioon"/>
    <s v="Roela Raamatukogu"/>
    <s v="perioodika"/>
    <n v="1000"/>
    <n v="0"/>
    <x v="0"/>
    <s v="Administreerimiskulud"/>
    <n v="55"/>
    <s v="55"/>
    <x v="0"/>
    <x v="0"/>
    <s v="Põhitegevuse kulu"/>
    <n v="0"/>
  </r>
  <r>
    <x v="7"/>
    <x v="37"/>
    <x v="37"/>
    <s v="Raamatukogud"/>
    <s v="Vabaaeg, kultuur ja religioon"/>
    <s v="Roela Raamatukogu"/>
    <s v="Üritused lastele"/>
    <n v="170"/>
    <n v="0"/>
    <x v="14"/>
    <s v="Kommunikatsiooni-, kultuuri- ja vaba aja sisustamise kulud"/>
    <n v="55"/>
    <s v="55"/>
    <x v="0"/>
    <x v="0"/>
    <s v="Põhitegevuse kulu"/>
    <n v="0"/>
  </r>
  <r>
    <x v="7"/>
    <x v="37"/>
    <x v="37"/>
    <s v="Raamatukogud"/>
    <s v="Vabaaeg, kultuur ja religioon"/>
    <s v="Roela Raamatukogu"/>
    <s v="üritused täiskasvanutele"/>
    <n v="170"/>
    <n v="0"/>
    <x v="14"/>
    <s v="Kommunikatsiooni-, kultuuri- ja vaba aja sisustamise kulud"/>
    <n v="55"/>
    <s v="55"/>
    <x v="0"/>
    <x v="0"/>
    <s v="Põhitegevuse kulu"/>
    <n v="0"/>
  </r>
  <r>
    <x v="7"/>
    <x v="37"/>
    <x v="37"/>
    <s v="Raamatukogud"/>
    <s v="Vabaaeg, kultuur ja religioon"/>
    <s v="Roela Raamatukogu"/>
    <s v="arvutiprogrammide hooldused"/>
    <n v="240"/>
    <n v="0"/>
    <x v="5"/>
    <s v="Info- ja kommunikatsioonitehnoliigised kulud"/>
    <n v="55"/>
    <s v="55"/>
    <x v="0"/>
    <x v="0"/>
    <s v="Põhitegevuse kulu"/>
    <n v="0"/>
  </r>
  <r>
    <x v="7"/>
    <x v="37"/>
    <x v="37"/>
    <s v="Raamatukogud"/>
    <s v="Vabaaeg, kultuur ja religioon"/>
    <s v="Roela Raamatukogu"/>
    <s v="printer"/>
    <n v="200"/>
    <s v="täiendav vajadus"/>
    <x v="5"/>
    <s v="Info- ja kommunikatsioonitehnoliigised kulud"/>
    <n v="55"/>
    <s v="55"/>
    <x v="0"/>
    <x v="0"/>
    <s v="Põhitegevuse kulu"/>
    <n v="0"/>
  </r>
  <r>
    <x v="7"/>
    <x v="37"/>
    <x v="37"/>
    <s v="Raamatukogud"/>
    <s v="Vabaaeg, kultuur ja religioon"/>
    <s v="Roela Raamatukogu"/>
    <s v="sanremondi materjalid(pahtel,värv)"/>
    <n v="500"/>
    <n v="0"/>
    <x v="4"/>
    <s v="Kinnistute, hoonete ja ruumide majandamiskulud"/>
    <n v="55"/>
    <s v="55"/>
    <x v="0"/>
    <x v="0"/>
    <s v="Põhitegevuse kulu"/>
    <n v="0"/>
  </r>
  <r>
    <x v="7"/>
    <x v="37"/>
    <x v="37"/>
    <s v="Raamatukogud"/>
    <s v="Vabaaeg, kultuur ja religioon"/>
    <s v="Roela Raamatukogu"/>
    <s v="korrashoiuvahendid"/>
    <n v="100"/>
    <s v="wc paber,kätekuivatuspaber"/>
    <x v="4"/>
    <s v="Kinnistute, hoonete ja ruumide majandamiskulud"/>
    <n v="55"/>
    <s v="55"/>
    <x v="0"/>
    <x v="0"/>
    <s v="Põhitegevuse kulu"/>
    <n v="0"/>
  </r>
  <r>
    <x v="7"/>
    <x v="38"/>
    <x v="38"/>
    <s v="Raamatukogud"/>
    <s v="Vabaaeg, kultuur ja religioon"/>
    <s v="Tudu raamatukogu"/>
    <s v="telefon ja internet"/>
    <n v="660"/>
    <s v="tel 3235645 kõned ja kuutasu + interneti kuutasu"/>
    <x v="0"/>
    <s v="Administreerimiskulud"/>
    <n v="55"/>
    <s v="55"/>
    <x v="0"/>
    <x v="0"/>
    <s v="Põhitegevuse kulu"/>
    <n v="0"/>
  </r>
  <r>
    <x v="7"/>
    <x v="38"/>
    <x v="38"/>
    <s v="Raamatukogud"/>
    <s v="Vabaaeg, kultuur ja religioon"/>
    <s v="Tudu raamatukogu"/>
    <s v="perioodika"/>
    <n v="500"/>
    <s v="ajakirjade arv jääb samaks nagu 2019.a."/>
    <x v="0"/>
    <s v="Administreerimiskulud"/>
    <n v="55"/>
    <s v="55"/>
    <x v="0"/>
    <x v="0"/>
    <s v="Põhitegevuse kulu"/>
    <n v="0"/>
  </r>
  <r>
    <x v="7"/>
    <x v="38"/>
    <x v="38"/>
    <s v="Raamatukogud"/>
    <s v="Vabaaeg, kultuur ja religioon"/>
    <s v="Tudu raamatukogu"/>
    <s v="raamatud"/>
    <n v="1570"/>
    <n v="0"/>
    <x v="10"/>
    <s v="Teavikud ja kunstiesemed"/>
    <n v="55"/>
    <s v="55"/>
    <x v="0"/>
    <x v="0"/>
    <s v="Põhitegevuse kulu"/>
    <n v="0"/>
  </r>
  <r>
    <x v="7"/>
    <x v="38"/>
    <x v="38"/>
    <s v="Raamatukogud"/>
    <s v="Vabaaeg, kultuur ja religioon"/>
    <s v="Tudu raamatukogu"/>
    <s v="koolituste plaan"/>
    <n v="30"/>
    <n v="0"/>
    <x v="2"/>
    <s v="Koolituskulud"/>
    <n v="55"/>
    <s v="55"/>
    <x v="0"/>
    <x v="0"/>
    <s v="Põhitegevuse kulu"/>
    <n v="0"/>
  </r>
  <r>
    <x v="7"/>
    <x v="38"/>
    <x v="38"/>
    <s v="Raamatukogud"/>
    <s v="Vabaaeg, kultuur ja religioon"/>
    <s v="Tudu raamatukogu"/>
    <s v="kantseleikaup,paber,tahm"/>
    <n v="30"/>
    <n v="0"/>
    <x v="0"/>
    <s v="Administreerimiskulud"/>
    <n v="55"/>
    <s v="55"/>
    <x v="0"/>
    <x v="0"/>
    <s v="Põhitegevuse kulu"/>
    <n v="0"/>
  </r>
  <r>
    <x v="7"/>
    <x v="38"/>
    <x v="38"/>
    <s v="Raamatukogud"/>
    <s v="Vabaaeg, kultuur ja religioon"/>
    <s v="Tudu raamatukogu"/>
    <s v="urrami programmihooldus 20.- x12 kuud"/>
    <n v="240"/>
    <n v="0"/>
    <x v="5"/>
    <s v="Info- ja kommunikatsioonitehnoliigised kulud"/>
    <n v="55"/>
    <s v="55"/>
    <x v="0"/>
    <x v="0"/>
    <s v="Põhitegevuse kulu"/>
    <n v="0"/>
  </r>
  <r>
    <x v="7"/>
    <x v="38"/>
    <x v="38"/>
    <s v="Raamatukogud"/>
    <s v="Vabaaeg, kultuur ja religioon"/>
    <s v="Tudu raamatukogu"/>
    <s v="Saku Läte"/>
    <n v="135"/>
    <n v="0"/>
    <x v="4"/>
    <s v="Kinnistute, hoonete ja ruumide majandamiskulud"/>
    <n v="55"/>
    <s v="55"/>
    <x v="0"/>
    <x v="0"/>
    <s v="Põhitegevuse kulu"/>
    <n v="0"/>
  </r>
  <r>
    <x v="7"/>
    <x v="38"/>
    <x v="38"/>
    <s v="Raamatukogud"/>
    <s v="Vabaaeg, kultuur ja religioon"/>
    <s v="Tudu raamatukogu"/>
    <s v="Hoone kindlustus"/>
    <n v="150"/>
    <n v="0"/>
    <x v="4"/>
    <s v="Kinnistute, hoonete ja ruumide majandamiskulud"/>
    <n v="55"/>
    <s v="55"/>
    <x v="0"/>
    <x v="0"/>
    <s v="Põhitegevuse kulu"/>
    <n v="0"/>
  </r>
  <r>
    <x v="7"/>
    <x v="38"/>
    <x v="38"/>
    <s v="Raamatukogud"/>
    <s v="Vabaaeg, kultuur ja religioon"/>
    <s v="Tudu raamatukogu"/>
    <s v="Pisiremondid jms"/>
    <n v="850"/>
    <n v="0"/>
    <x v="4"/>
    <s v="Kinnistute, hoonete ja ruumide majandamiskulud"/>
    <n v="55"/>
    <s v="55"/>
    <x v="0"/>
    <x v="0"/>
    <s v="Põhitegevuse kulu"/>
    <n v="0"/>
  </r>
  <r>
    <x v="7"/>
    <x v="39"/>
    <x v="39"/>
    <s v="Raamatukogud"/>
    <s v="Vabaaeg, kultuur ja religioon"/>
    <s v="Ulvi raamatukogu"/>
    <s v="Ulvi mõisamaja turvafirma lepingutasu, korrastusvahendid, puhastusvahendid, paber"/>
    <n v="400"/>
    <n v="0"/>
    <x v="4"/>
    <s v="Kinnistute, hoonete ja ruumide majandamiskulud"/>
    <n v="55"/>
    <s v="55"/>
    <x v="0"/>
    <x v="0"/>
    <s v="Põhitegevuse kulu"/>
    <n v="0"/>
  </r>
  <r>
    <x v="7"/>
    <x v="39"/>
    <x v="39"/>
    <s v="Raamatukogud"/>
    <s v="Vabaaeg, kultuur ja religioon"/>
    <s v="Ulvi raamatukogu"/>
    <s v="Telefon, Internet"/>
    <n v="320"/>
    <s v="Interneti püsiühendus, lauatelefon"/>
    <x v="0"/>
    <s v="Administreerimiskulud"/>
    <n v="55"/>
    <s v="55"/>
    <x v="0"/>
    <x v="0"/>
    <s v="Põhitegevuse kulu"/>
    <n v="0"/>
  </r>
  <r>
    <x v="7"/>
    <x v="39"/>
    <x v="39"/>
    <s v="Raamatukogud"/>
    <s v="Vabaaeg, kultuur ja religioon"/>
    <s v="Ulvi raamatukogu"/>
    <s v="kantseleikaup"/>
    <n v="500"/>
    <s v="paber, tahm, raamatukiled, vöötkoodid"/>
    <x v="0"/>
    <s v="Administreerimiskulud"/>
    <n v="55"/>
    <s v="55"/>
    <x v="0"/>
    <x v="0"/>
    <s v="Põhitegevuse kulu"/>
    <n v="0"/>
  </r>
  <r>
    <x v="7"/>
    <x v="39"/>
    <x v="39"/>
    <s v="Raamatukogud"/>
    <s v="Vabaaeg, kultuur ja religioon"/>
    <s v="Ulvi raamatukogu"/>
    <s v="perioodika"/>
    <n v="1200"/>
    <s v="ajalehed,ajakirjad-tellimine 1 kord aastas- novembris"/>
    <x v="0"/>
    <s v="Administreerimiskulud"/>
    <n v="55"/>
    <s v="55"/>
    <x v="0"/>
    <x v="0"/>
    <s v="Põhitegevuse kulu"/>
    <n v="0"/>
  </r>
  <r>
    <x v="7"/>
    <x v="39"/>
    <x v="39"/>
    <s v="Raamatukogud"/>
    <s v="Vabaaeg, kultuur ja religioon"/>
    <s v="Ulvi raamatukogu"/>
    <s v="Koolitused"/>
    <n v="350"/>
    <s v="Erinevad koolitused,seminarid sh maakonna keskraamatukogu korraldatud; Maaraamatukogude suveseminar Saaremaal; Õppereis Soome"/>
    <x v="2"/>
    <s v="Koolituskulud"/>
    <n v="55"/>
    <s v="55"/>
    <x v="0"/>
    <x v="0"/>
    <s v="Põhitegevuse kulu"/>
    <n v="0"/>
  </r>
  <r>
    <x v="7"/>
    <x v="39"/>
    <x v="39"/>
    <s v="Raamatukogud"/>
    <s v="Vabaaeg, kultuur ja religioon"/>
    <s v="Ulvi raamatukogu"/>
    <s v="Isikliku sõiduauto komp."/>
    <n v="720"/>
    <s v="teavikute transport Rakverest, kojuteenindus, tööga seotud koosolekutest, koolitustest osavõtt"/>
    <x v="3"/>
    <s v="Sõidukite ülalpidamise kulud"/>
    <n v="55"/>
    <s v="55"/>
    <x v="0"/>
    <x v="0"/>
    <s v="Põhitegevuse kulu"/>
    <n v="0"/>
  </r>
  <r>
    <x v="7"/>
    <x v="39"/>
    <x v="39"/>
    <s v="Raamatukogud"/>
    <s v="Vabaaeg, kultuur ja religioon"/>
    <s v="Ulvi raamatukogu"/>
    <s v="prillid"/>
    <n v="100"/>
    <n v="0"/>
    <x v="9"/>
    <s v="Meditsiinikulud ja hügieenitarbed"/>
    <n v="55"/>
    <s v="55"/>
    <x v="0"/>
    <x v="0"/>
    <s v="Põhitegevuse kulu"/>
    <n v="0"/>
  </r>
  <r>
    <x v="7"/>
    <x v="39"/>
    <x v="39"/>
    <s v="Raamatukogud"/>
    <s v="Vabaaeg, kultuur ja religioon"/>
    <s v="Ulvi raamatukogu"/>
    <s v="Teavikud"/>
    <n v="3200"/>
    <n v="0"/>
    <x v="10"/>
    <s v="Teavikud ja kunstiesemed"/>
    <n v="55"/>
    <s v="55"/>
    <x v="0"/>
    <x v="0"/>
    <s v="Põhitegevuse kulu"/>
    <n v="0"/>
  </r>
  <r>
    <x v="7"/>
    <x v="39"/>
    <x v="39"/>
    <s v="Raamatukogud"/>
    <s v="Vabaaeg, kultuur ja religioon"/>
    <s v="Ulvi raamatukogu"/>
    <s v="teemaõhtud/hommikud, laste lugemistunnid/raamatukogutunnid; 2 korda aastas suurürutus-märts-emakeelepäev, okt-raamatukogunädal"/>
    <n v="500"/>
    <n v="0"/>
    <x v="14"/>
    <s v="Kommunikatsiooni-, kultuuri- ja vaba aja sisustamise kulud"/>
    <n v="55"/>
    <s v="55"/>
    <x v="0"/>
    <x v="0"/>
    <s v="Põhitegevuse kulu"/>
    <n v="0"/>
  </r>
  <r>
    <x v="7"/>
    <x v="39"/>
    <x v="39"/>
    <s v="Raamatukogud"/>
    <s v="Vabaaeg, kultuur ja religioon"/>
    <s v="Ulvi raamatukogu"/>
    <s v="raamatukogu tööprogramm"/>
    <n v="240"/>
    <s v="Urram"/>
    <x v="5"/>
    <s v="Info- ja kommunikatsioonitehnoliigised kulud"/>
    <n v="55"/>
    <s v="55"/>
    <x v="0"/>
    <x v="0"/>
    <s v="Põhitegevuse kulu"/>
    <n v="0"/>
  </r>
  <r>
    <x v="7"/>
    <x v="39"/>
    <x v="39"/>
    <s v="Raamatukogud"/>
    <s v="Vabaaeg, kultuur ja religioon"/>
    <s v="Ulvi raamatukogu"/>
    <s v="uus tööarvuti"/>
    <n v="850"/>
    <s v="arvuti vajab väljavahetamist"/>
    <x v="5"/>
    <s v="Info- ja kommunikatsioonitehnoliigised kulud"/>
    <n v="55"/>
    <s v="55"/>
    <x v="0"/>
    <x v="0"/>
    <s v="Põhitegevuse kulu"/>
    <n v="0"/>
  </r>
  <r>
    <x v="7"/>
    <x v="40"/>
    <x v="40"/>
    <s v="Raamatukogud"/>
    <s v="Vabaaeg, kultuur ja religioon"/>
    <s v="Laekvere raamatukogu"/>
    <s v="bürootarbed, auhinnad-kingitused, telefon jne"/>
    <n v="500"/>
    <n v="0"/>
    <x v="0"/>
    <s v="Administreerimiskulud"/>
    <n v="55"/>
    <s v="55"/>
    <x v="0"/>
    <x v="0"/>
    <s v="Põhitegevuse kulu"/>
    <n v="0"/>
  </r>
  <r>
    <x v="7"/>
    <x v="40"/>
    <x v="40"/>
    <s v="Raamatukogud"/>
    <s v="Vabaaeg, kultuur ja religioon"/>
    <s v="Laekvere raamatukogu"/>
    <s v="perioodika "/>
    <n v="2000"/>
    <n v="0"/>
    <x v="0"/>
    <s v="Administreerimiskulud"/>
    <n v="55"/>
    <s v="55"/>
    <x v="0"/>
    <x v="0"/>
    <s v="Põhitegevuse kulu"/>
    <n v="0"/>
  </r>
  <r>
    <x v="7"/>
    <x v="40"/>
    <x v="40"/>
    <s v="Raamatukogud"/>
    <s v="Vabaaeg, kultuur ja religioon"/>
    <s v="Laekvere raamatukogu"/>
    <s v="Koolitused"/>
    <n v="1000"/>
    <n v="0"/>
    <x v="2"/>
    <s v="Koolituskulud"/>
    <n v="55"/>
    <s v="55"/>
    <x v="0"/>
    <x v="0"/>
    <s v="Põhitegevuse kulu"/>
    <n v="0"/>
  </r>
  <r>
    <x v="7"/>
    <x v="40"/>
    <x v="40"/>
    <s v="Raamatukogud"/>
    <s v="Vabaaeg, kultuur ja religioon"/>
    <s v="Laekvere raamatukogu"/>
    <s v="Isiklikus sõiduauto komp."/>
    <n v="1000"/>
    <n v="0"/>
    <x v="3"/>
    <s v="Sõidukite ülalpidamise kulud"/>
    <n v="55"/>
    <s v="55"/>
    <x v="0"/>
    <x v="0"/>
    <s v="Põhitegevuse kulu"/>
    <n v="0"/>
  </r>
  <r>
    <x v="7"/>
    <x v="40"/>
    <x v="40"/>
    <s v="Raamatukogud"/>
    <s v="Vabaaeg, kultuur ja religioon"/>
    <s v="Laekvere raamatukogu"/>
    <s v="Inventar"/>
    <n v="1019"/>
    <s v="Konkreetselt planeerimata, võib tekkida vajadus riiulitele. Muugas võiks remontida olemasoleva nurgadiivani ( riidevahetus)"/>
    <x v="8"/>
    <s v="Inventari kulud, v.a infotehnoloogia ja kaitseotstarbelised kulud"/>
    <n v="55"/>
    <s v="55"/>
    <x v="0"/>
    <x v="0"/>
    <s v="Põhitegevuse kulu"/>
    <n v="0"/>
  </r>
  <r>
    <x v="7"/>
    <x v="40"/>
    <x v="40"/>
    <s v="Raamatukogud"/>
    <s v="Vabaaeg, kultuur ja religioon"/>
    <s v="Laekvere raamatukogu"/>
    <s v="esmaabivahendid, prillihüvitis, gripivaktsiin, tervisekontroll"/>
    <n v="500"/>
    <n v="0"/>
    <x v="9"/>
    <s v="Meditsiinikulud ja hügieenitarbed"/>
    <n v="55"/>
    <s v="55"/>
    <x v="0"/>
    <x v="0"/>
    <s v="Põhitegevuse kulu"/>
    <n v="0"/>
  </r>
  <r>
    <x v="7"/>
    <x v="40"/>
    <x v="40"/>
    <s v="Raamatukogud"/>
    <s v="Vabaaeg, kultuur ja religioon"/>
    <s v="Laekvere raamatukogu"/>
    <s v="Teavikud"/>
    <n v="6500"/>
    <n v="0"/>
    <x v="10"/>
    <s v="Teavikud ja kunstiesemed"/>
    <n v="55"/>
    <s v="55"/>
    <x v="0"/>
    <x v="0"/>
    <s v="Põhitegevuse kulu"/>
    <n v="0"/>
  </r>
  <r>
    <x v="7"/>
    <x v="40"/>
    <x v="40"/>
    <s v="Raamatukogud"/>
    <s v="Vabaaeg, kultuur ja religioon"/>
    <s v="Laekvere raamatukogu"/>
    <s v="Kohtumised kirjanikuga rahvusvahelise lasteraamatupäeva tähistamiseks aprillis nii Muugas kui Laekveres"/>
    <n v="250"/>
    <n v="0"/>
    <x v="14"/>
    <s v="Kommunikatsiooni-, kultuuri- ja vaba aja sisustamise kulud"/>
    <n v="55"/>
    <s v="55"/>
    <x v="0"/>
    <x v="0"/>
    <s v="Põhitegevuse kulu"/>
    <n v="0"/>
  </r>
  <r>
    <x v="7"/>
    <x v="40"/>
    <x v="40"/>
    <s v="Raamatukogud"/>
    <s v="Vabaaeg, kultuur ja religioon"/>
    <s v="Laekvere raamatukogu"/>
    <s v="Eduard Vilde 155. sünniaastapäeva tähistamine- Simuna kihelkonnakoolide ja Vinni valla õpilaste reisijuttude kirjutamise konkurss, konkursi lõpuüritus"/>
    <n v="400"/>
    <n v="0"/>
    <x v="14"/>
    <s v="Kommunikatsiooni-, kultuuri- ja vaba aja sisustamise kulud"/>
    <n v="55"/>
    <s v="55"/>
    <x v="0"/>
    <x v="0"/>
    <s v="Põhitegevuse kulu"/>
    <n v="0"/>
  </r>
  <r>
    <x v="7"/>
    <x v="40"/>
    <x v="40"/>
    <s v="Raamatukogud"/>
    <s v="Vabaaeg, kultuur ja religioon"/>
    <s v="Laekvere raamatukogu"/>
    <s v="Raamatukogupäevade üritused, TÕN üritused "/>
    <n v="150"/>
    <n v="0"/>
    <x v="14"/>
    <s v="Kommunikatsiooni-, kultuuri- ja vaba aja sisustamise kulud"/>
    <n v="55"/>
    <s v="55"/>
    <x v="0"/>
    <x v="0"/>
    <s v="Põhitegevuse kulu"/>
    <n v="0"/>
  </r>
  <r>
    <x v="7"/>
    <x v="40"/>
    <x v="40"/>
    <s v="Raamatukogud"/>
    <s v="Vabaaeg, kultuur ja religioon"/>
    <s v="Laekvere raamatukogu"/>
    <s v="Karneval Muuga mõisas novembris Muuga- Laekvere Kooli algklasside lastele "/>
    <n v="150"/>
    <n v="0"/>
    <x v="14"/>
    <s v="Kommunikatsiooni-, kultuuri- ja vaba aja sisustamise kulud"/>
    <n v="55"/>
    <s v="55"/>
    <x v="0"/>
    <x v="0"/>
    <s v="Põhitegevuse kulu"/>
    <n v="0"/>
  </r>
  <r>
    <x v="7"/>
    <x v="40"/>
    <x v="40"/>
    <s v="Raamatukogud"/>
    <s v="Vabaaeg, kultuur ja religioon"/>
    <s v="Laekvere raamatukogu"/>
    <s v="muud planeerimata üritused"/>
    <n v="200"/>
    <n v="0"/>
    <x v="14"/>
    <s v="Kommunikatsiooni-, kultuuri- ja vaba aja sisustamise kulud"/>
    <n v="55"/>
    <s v="55"/>
    <x v="0"/>
    <x v="0"/>
    <s v="Põhitegevuse kulu"/>
    <n v="0"/>
  </r>
  <r>
    <x v="7"/>
    <x v="40"/>
    <x v="40"/>
    <s v="Raamatukogud"/>
    <s v="Vabaaeg, kultuur ja religioon"/>
    <s v="Laekvere raamatukogu"/>
    <s v="puhastus- ja korrashoiuvahendid"/>
    <n v="250"/>
    <n v="0"/>
    <x v="4"/>
    <s v="Kinnistute, hoonete ja ruumide majandamiskulud"/>
    <n v="55"/>
    <s v="55"/>
    <x v="0"/>
    <x v="0"/>
    <s v="Põhitegevuse kulu"/>
    <n v="0"/>
  </r>
  <r>
    <x v="7"/>
    <x v="40"/>
    <x v="40"/>
    <s v="Raamatukogud"/>
    <s v="Vabaaeg, kultuur ja religioon"/>
    <s v="Laekvere raamatukogu"/>
    <s v="Urrami hooldus ja arendus"/>
    <n v="250"/>
    <n v="0"/>
    <x v="5"/>
    <s v="Info- ja kommunikatsioonitehnoliigised kulud"/>
    <n v="55"/>
    <s v="55"/>
    <x v="0"/>
    <x v="0"/>
    <s v="Põhitegevuse kulu"/>
    <n v="0"/>
  </r>
  <r>
    <x v="7"/>
    <x v="40"/>
    <x v="40"/>
    <s v="Raamatukogud"/>
    <s v="Vabaaeg, kultuur ja religioon"/>
    <s v="Laekvere raamatukogu"/>
    <s v="remondi- ja hooldusteenused"/>
    <n v="1050"/>
    <n v="0"/>
    <x v="5"/>
    <s v="Info- ja kommunikatsioonitehnoliigised kulud"/>
    <n v="55"/>
    <s v="55"/>
    <x v="0"/>
    <x v="0"/>
    <s v="Põhitegevuse kulu"/>
    <n v="0"/>
  </r>
  <r>
    <x v="7"/>
    <x v="40"/>
    <x v="40"/>
    <s v="Raamatukogud"/>
    <s v="Vabaaeg, kultuur ja religioon"/>
    <s v="Muuga raamatukogu"/>
    <s v="perioodika "/>
    <n v="1700"/>
    <n v="0"/>
    <x v="0"/>
    <s v="Administreerimiskulud"/>
    <n v="55"/>
    <s v="55"/>
    <x v="0"/>
    <x v="0"/>
    <s v="Põhitegevuse kulu"/>
    <n v="0"/>
  </r>
  <r>
    <x v="7"/>
    <x v="40"/>
    <x v="40"/>
    <s v="Raamatukogud"/>
    <s v="Vabaaeg, kultuur ja religioon"/>
    <s v="Muuga raamatukogu"/>
    <s v="Teavikud"/>
    <n v="4500"/>
    <n v="0"/>
    <x v="10"/>
    <s v="Teavikud ja kunstiesemed"/>
    <n v="55"/>
    <s v="55"/>
    <x v="0"/>
    <x v="0"/>
    <s v="Põhitegevuse kulu"/>
    <n v="0"/>
  </r>
  <r>
    <x v="7"/>
    <x v="40"/>
    <x v="40"/>
    <s v="Raamatukogud"/>
    <s v="Vabaaeg, kultuur ja religioon"/>
    <s v="Muuga raamatukogu"/>
    <s v="Kohtumised kirjanikuga rahvusvahelise lasteraamatupäeva tähistamiseks aprillis nii Muugas kui Laekveres"/>
    <n v="250"/>
    <n v="0"/>
    <x v="14"/>
    <s v="Kommunikatsiooni-, kultuuri- ja vaba aja sisustamise kulud"/>
    <n v="55"/>
    <s v="55"/>
    <x v="0"/>
    <x v="0"/>
    <s v="Põhitegevuse kulu"/>
    <n v="0"/>
  </r>
  <r>
    <x v="7"/>
    <x v="40"/>
    <x v="40"/>
    <s v="Raamatukogud"/>
    <s v="Vabaaeg, kultuur ja religioon"/>
    <s v="Muuga raamatukogu"/>
    <s v="Raamatukoguöö märts-aprill Muugas "/>
    <n v="250"/>
    <n v="0"/>
    <x v="14"/>
    <s v="Kommunikatsiooni-, kultuuri- ja vaba aja sisustamise kulud"/>
    <n v="55"/>
    <s v="55"/>
    <x v="0"/>
    <x v="0"/>
    <s v="Põhitegevuse kulu"/>
    <n v="0"/>
  </r>
  <r>
    <x v="7"/>
    <x v="40"/>
    <x v="40"/>
    <s v="Raamatukogud"/>
    <s v="Vabaaeg, kultuur ja religioon"/>
    <s v="Muuga raamatukogu"/>
    <s v="Raamatukogupäevade üritused, TÕN üritused "/>
    <n v="150"/>
    <n v="0"/>
    <x v="14"/>
    <s v="Kommunikatsiooni-, kultuuri- ja vaba aja sisustamise kulud"/>
    <n v="55"/>
    <s v="55"/>
    <x v="0"/>
    <x v="0"/>
    <s v="Põhitegevuse kulu"/>
    <n v="0"/>
  </r>
  <r>
    <x v="7"/>
    <x v="40"/>
    <x v="40"/>
    <s v="Raamatukogud"/>
    <s v="Vabaaeg, kultuur ja religioon"/>
    <s v="Muuga raamatukogu"/>
    <s v="puhastus- ja korrashoiuvahendid"/>
    <n v="250"/>
    <n v="0"/>
    <x v="4"/>
    <s v="Kinnistute, hoonete ja ruumide majandamiskulud"/>
    <n v="55"/>
    <s v="55"/>
    <x v="0"/>
    <x v="0"/>
    <s v="Põhitegevuse kulu"/>
    <n v="0"/>
  </r>
  <r>
    <x v="7"/>
    <x v="40"/>
    <x v="40"/>
    <s v="Raamatukogud"/>
    <s v="Vabaaeg, kultuur ja religioon"/>
    <s v="Muuga raamatukogu"/>
    <s v="korstnapühkimisteenus"/>
    <n v="200"/>
    <n v="0"/>
    <x v="4"/>
    <s v="Kinnistute, hoonete ja ruumide majandamiskulud"/>
    <n v="55"/>
    <s v="55"/>
    <x v="0"/>
    <x v="0"/>
    <s v="Põhitegevuse kulu"/>
    <n v="0"/>
  </r>
  <r>
    <x v="7"/>
    <x v="40"/>
    <x v="40"/>
    <s v="Raamatukogud"/>
    <s v="Vabaaeg, kultuur ja religioon"/>
    <s v="Muuga raamatukogu"/>
    <s v="Urrami hooldus ja arendus"/>
    <n v="250"/>
    <n v="0"/>
    <x v="5"/>
    <s v="Info- ja kommunikatsioonitehnoliigised kulud"/>
    <n v="55"/>
    <s v="55"/>
    <x v="0"/>
    <x v="0"/>
    <s v="Põhitegevuse kulu"/>
    <n v="0"/>
  </r>
  <r>
    <x v="7"/>
    <x v="40"/>
    <x v="40"/>
    <s v="Raamatukogud"/>
    <s v="Vabaaeg, kultuur ja religioon"/>
    <s v="Muuga raamatukogu"/>
    <s v="Luminor liising Muuga 2 arvutit "/>
    <n v="1200"/>
    <n v="0"/>
    <x v="5"/>
    <s v="Info- ja kommunikatsioonitehnoliigised kulud"/>
    <n v="55"/>
    <s v="55"/>
    <x v="0"/>
    <x v="0"/>
    <s v="Põhitegevuse kulu"/>
    <n v="0"/>
  </r>
  <r>
    <x v="7"/>
    <x v="40"/>
    <x v="40"/>
    <s v="Raamatukogud"/>
    <s v="Vabaaeg, kultuur ja religioon"/>
    <s v="Muuga raamatukogu"/>
    <s v="bürootarbed, auhinnad-kingitused, telefon jne"/>
    <n v="500"/>
    <n v="0"/>
    <x v="0"/>
    <s v="Administreerimiskulud"/>
    <n v="55"/>
    <s v="55"/>
    <x v="0"/>
    <x v="0"/>
    <s v="Põhitegevuse kulu"/>
    <n v="0"/>
  </r>
  <r>
    <x v="7"/>
    <x v="40"/>
    <x v="40"/>
    <s v="Raamatukogud"/>
    <s v="Vabaaeg, kultuur ja religioon"/>
    <s v="Venevere raamatukogu"/>
    <s v="perioodika "/>
    <n v="1300"/>
    <n v="0"/>
    <x v="0"/>
    <s v="Administreerimiskulud"/>
    <n v="55"/>
    <s v="55"/>
    <x v="0"/>
    <x v="0"/>
    <s v="Põhitegevuse kulu"/>
    <n v="0"/>
  </r>
  <r>
    <x v="7"/>
    <x v="40"/>
    <x v="40"/>
    <s v="Raamatukogud"/>
    <s v="Vabaaeg, kultuur ja religioon"/>
    <s v="Venevere raamatukogu"/>
    <s v="Teavikud"/>
    <n v="2500"/>
    <n v="0"/>
    <x v="10"/>
    <s v="Teavikud ja kunstiesemed"/>
    <n v="55"/>
    <s v="55"/>
    <x v="0"/>
    <x v="0"/>
    <s v="Põhitegevuse kulu"/>
    <n v="0"/>
  </r>
  <r>
    <x v="7"/>
    <x v="40"/>
    <x v="40"/>
    <s v="Raamatukogud"/>
    <s v="Vabaaeg, kultuur ja religioon"/>
    <s v="Venevere raamatukogu"/>
    <s v="Raamatukogupäevade üritused, TÕN üritused "/>
    <n v="200"/>
    <n v="0"/>
    <x v="14"/>
    <s v="Kommunikatsiooni-, kultuuri- ja vaba aja sisustamise kulud"/>
    <n v="55"/>
    <s v="55"/>
    <x v="0"/>
    <x v="0"/>
    <s v="Põhitegevuse kulu"/>
    <n v="0"/>
  </r>
  <r>
    <x v="7"/>
    <x v="40"/>
    <x v="40"/>
    <s v="Raamatukogud"/>
    <s v="Vabaaeg, kultuur ja religioon"/>
    <s v="Venevere raamatukogu"/>
    <s v="puhastus- ja korrashoiuvahendid"/>
    <n v="100"/>
    <n v="0"/>
    <x v="4"/>
    <s v="Kinnistute, hoonete ja ruumide majandamiskulud"/>
    <n v="55"/>
    <s v="55"/>
    <x v="0"/>
    <x v="0"/>
    <s v="Põhitegevuse kulu"/>
    <n v="0"/>
  </r>
  <r>
    <x v="7"/>
    <x v="40"/>
    <x v="40"/>
    <s v="Raamatukogud"/>
    <s v="Vabaaeg, kultuur ja religioon"/>
    <s v="Venevere raamatukogu"/>
    <s v="korstnapühkimisteenus"/>
    <n v="200"/>
    <n v="0"/>
    <x v="4"/>
    <s v="Kinnistute, hoonete ja ruumide majandamiskulud"/>
    <n v="55"/>
    <s v="55"/>
    <x v="0"/>
    <x v="0"/>
    <s v="Põhitegevuse kulu"/>
    <n v="0"/>
  </r>
  <r>
    <x v="7"/>
    <x v="40"/>
    <x v="40"/>
    <s v="Raamatukogud"/>
    <s v="Vabaaeg, kultuur ja religioon"/>
    <s v="Venevere raamatukogu"/>
    <s v="Urrami hooldus ja arendus"/>
    <n v="250"/>
    <n v="0"/>
    <x v="5"/>
    <s v="Info- ja kommunikatsioonitehnoliigised kulud"/>
    <n v="55"/>
    <s v="55"/>
    <x v="0"/>
    <x v="0"/>
    <s v="Põhitegevuse kulu"/>
    <n v="0"/>
  </r>
  <r>
    <x v="7"/>
    <x v="40"/>
    <x v="40"/>
    <s v="Raamatukogud"/>
    <s v="Vabaaeg, kultuur ja religioon"/>
    <s v="Venevere raamatukogu"/>
    <s v="bürootarbed, auhinnad-kingitused, telefon jne"/>
    <n v="300"/>
    <n v="0"/>
    <x v="0"/>
    <s v="Administreerimiskulud"/>
    <n v="55"/>
    <s v="55"/>
    <x v="0"/>
    <x v="0"/>
    <s v="Põhitegevuse kulu"/>
    <n v="0"/>
  </r>
  <r>
    <x v="7"/>
    <x v="41"/>
    <x v="41"/>
    <s v="Rahvakultuur"/>
    <s v="Vabaaeg, kultuur ja religioon"/>
    <s v="Kadila Seltsimaja"/>
    <s v="Elekter"/>
    <n v="1500"/>
    <n v="0"/>
    <x v="4"/>
    <s v="Kinnistute, hoonete ja ruumide majandamiskulud"/>
    <n v="55"/>
    <s v="55"/>
    <x v="0"/>
    <x v="0"/>
    <s v="Põhitegevuse kulu"/>
    <n v="0"/>
  </r>
  <r>
    <x v="7"/>
    <x v="41"/>
    <x v="41"/>
    <s v="Rahvakultuur"/>
    <s v="Vabaaeg, kultuur ja religioon"/>
    <s v="Kadila Seltsimaja"/>
    <s v="Vesi ja kanalisatsioon"/>
    <n v="170"/>
    <n v="0"/>
    <x v="4"/>
    <s v="Kinnistute, hoonete ja ruumide majandamiskulud"/>
    <n v="55"/>
    <s v="55"/>
    <x v="0"/>
    <x v="0"/>
    <s v="Põhitegevuse kulu"/>
    <n v="0"/>
  </r>
  <r>
    <x v="7"/>
    <x v="41"/>
    <x v="41"/>
    <s v="Rahvakultuur"/>
    <s v="Vabaaeg, kultuur ja religioon"/>
    <s v="Kadila Seltsimaja"/>
    <s v="Prügivedu"/>
    <n v="85"/>
    <n v="0"/>
    <x v="4"/>
    <s v="Kinnistute, hoonete ja ruumide majandamiskulud"/>
    <n v="55"/>
    <s v="55"/>
    <x v="0"/>
    <x v="0"/>
    <s v="Põhitegevuse kulu"/>
    <n v="0"/>
  </r>
  <r>
    <x v="7"/>
    <x v="41"/>
    <x v="41"/>
    <s v="Rahvakultuur"/>
    <s v="Vabaaeg, kultuur ja religioon"/>
    <s v="Kadila Seltsimaja"/>
    <s v="Prügikonteineri rent"/>
    <n v="92.4"/>
    <n v="0"/>
    <x v="4"/>
    <s v="Kinnistute, hoonete ja ruumide majandamiskulud"/>
    <n v="55"/>
    <s v="55"/>
    <x v="0"/>
    <x v="0"/>
    <s v="Põhitegevuse kulu"/>
    <n v="0"/>
  </r>
  <r>
    <x v="7"/>
    <x v="41"/>
    <x v="41"/>
    <s v="Rahvakultuur"/>
    <s v="Vabaaeg, kultuur ja religioon"/>
    <s v="Kadila Seltsimaja"/>
    <s v="Küttepuud"/>
    <n v="1800"/>
    <n v="0"/>
    <x v="4"/>
    <s v="Kinnistute, hoonete ja ruumide majandamiskulud"/>
    <n v="55"/>
    <s v="55"/>
    <x v="0"/>
    <x v="0"/>
    <s v="Põhitegevuse kulu"/>
    <n v="0"/>
  </r>
  <r>
    <x v="7"/>
    <x v="41"/>
    <x v="41"/>
    <s v="Rahvakultuur"/>
    <s v="Vabaaeg, kultuur ja religioon"/>
    <s v="Kadila Seltsimaja"/>
    <s v="hoone kindlustus "/>
    <n v="200"/>
    <n v="0"/>
    <x v="4"/>
    <s v="Kinnistute, hoonete ja ruumide majandamiskulud"/>
    <n v="55"/>
    <s v="55"/>
    <x v="0"/>
    <x v="0"/>
    <s v="Põhitegevuse kulu"/>
    <n v="0"/>
  </r>
  <r>
    <x v="7"/>
    <x v="41"/>
    <x v="41"/>
    <s v="Rahvakultuur"/>
    <s v="Vabaaeg, kultuur ja religioon"/>
    <s v="Kadila Seltsimaja"/>
    <s v="Sideteenused"/>
    <n v="600"/>
    <n v="0"/>
    <x v="0"/>
    <s v="Administreerimiskulud"/>
    <n v="55"/>
    <s v="55"/>
    <x v="0"/>
    <x v="0"/>
    <s v="Põhitegevuse kulu"/>
    <n v="0"/>
  </r>
  <r>
    <x v="7"/>
    <x v="41"/>
    <x v="41"/>
    <s v="Rahvakultuur"/>
    <s v="Vabaaeg, kultuur ja religioon"/>
    <s v="Kadila Seltsimaja"/>
    <s v="Üritused"/>
    <n v="250"/>
    <n v="0"/>
    <x v="14"/>
    <s v="Kommunikatsiooni-, kultuuri- ja vaba aja sisustamise kulud"/>
    <n v="55"/>
    <s v="55"/>
    <x v="0"/>
    <x v="0"/>
    <s v="Põhitegevuse kulu"/>
    <n v="0"/>
  </r>
  <r>
    <x v="7"/>
    <x v="41"/>
    <x v="41"/>
    <s v="Rahvakultuur"/>
    <s v="Vabaaeg, kultuur ja religioon"/>
    <s v="Kadila Seltsimaja"/>
    <s v="Korstnapühkija"/>
    <n v="160"/>
    <n v="0"/>
    <x v="4"/>
    <s v="Kinnistute, hoonete ja ruumide majandamiskulud"/>
    <n v="55"/>
    <s v="55"/>
    <x v="0"/>
    <x v="0"/>
    <s v="Põhitegevuse kulu"/>
    <n v="0"/>
  </r>
  <r>
    <x v="7"/>
    <x v="41"/>
    <x v="41"/>
    <s v="Rahvakultuur"/>
    <s v="Vabaaeg, kultuur ja religioon"/>
    <s v="Kadila Seltsimaja"/>
    <s v="Muud kinnistukulud"/>
    <n v="500"/>
    <n v="0"/>
    <x v="4"/>
    <s v="Kinnistute, hoonete ja ruumide majandamiskulud"/>
    <n v="55"/>
    <s v="55"/>
    <x v="0"/>
    <x v="0"/>
    <s v="Põhitegevuse kulu"/>
    <n v="0"/>
  </r>
  <r>
    <x v="7"/>
    <x v="42"/>
    <x v="42"/>
    <s v="Rahvakultuur"/>
    <s v="Vabaaeg, kultuur ja religioon"/>
    <s v="Pajusti klubi"/>
    <s v="Kulud, elektrile, küttele, prügi , vee eest, _x000a_kanalistasioon, korrashoiuvahendid, tuletõrje _x000a_ja signalisatsiooni hooldus, jäätmete vedamine, _x000a_pisiremont"/>
    <n v="15000"/>
    <n v="0"/>
    <x v="4"/>
    <s v="Kinnistute, hoonete ja ruumide majandamiskulud"/>
    <n v="55"/>
    <s v="55"/>
    <x v="0"/>
    <x v="0"/>
    <s v="Põhitegevuse kulu"/>
    <n v="0"/>
  </r>
  <r>
    <x v="7"/>
    <x v="42"/>
    <x v="42"/>
    <s v="Rahvakultuur"/>
    <s v="Vabaaeg, kultuur ja religioon"/>
    <s v="Pajusti klubi"/>
    <s v="Koolitused"/>
    <n v="800"/>
    <s v="Klubi juhataja, ringide juhendajad"/>
    <x v="2"/>
    <s v="Koolituskulud"/>
    <n v="55"/>
    <s v="55"/>
    <x v="0"/>
    <x v="0"/>
    <s v="Põhitegevuse kulu"/>
    <n v="0"/>
  </r>
  <r>
    <x v="7"/>
    <x v="42"/>
    <x v="42"/>
    <s v="Rahvakultuur"/>
    <s v="Vabaaeg, kultuur ja religioon"/>
    <s v="Pajusti klubi"/>
    <s v="isikliku sõiduauto komp."/>
    <n v="1440"/>
    <s v="12 kuud"/>
    <x v="3"/>
    <s v="Sõidukite ülalpidamise kulud"/>
    <n v="55"/>
    <s v="55"/>
    <x v="0"/>
    <x v="0"/>
    <s v="Põhitegevuse kulu"/>
    <n v="0"/>
  </r>
  <r>
    <x v="7"/>
    <x v="42"/>
    <x v="42"/>
    <s v="Rahvakultuur"/>
    <s v="Vabaaeg, kultuur ja religioon"/>
    <s v="Pajusti klubi"/>
    <s v="arvutiprogrammid, hoolduse, tooner"/>
    <n v="1000"/>
    <n v="0"/>
    <x v="5"/>
    <s v="Info- ja kommunikatsioonitehnoliigised kulud"/>
    <n v="55"/>
    <s v="55"/>
    <x v="0"/>
    <x v="0"/>
    <s v="Põhitegevuse kulu"/>
    <n v="0"/>
  </r>
  <r>
    <x v="7"/>
    <x v="42"/>
    <x v="42"/>
    <s v="Rahvakultuur"/>
    <s v="Vabaaeg, kultuur ja religioon"/>
    <s v="Pajusti klubi"/>
    <s v="Ürituste plaan 2020"/>
    <n v="7200"/>
    <s v="Filharmoonikud ja advendikingitus Valla ürituste eelarvesse"/>
    <x v="14"/>
    <s v="Kommunikatsiooni-, kultuuri- ja vaba aja sisustamise kulud"/>
    <n v="55"/>
    <s v="55"/>
    <x v="0"/>
    <x v="0"/>
    <s v="Põhitegevuse kulu"/>
    <n v="0"/>
  </r>
  <r>
    <x v="7"/>
    <x v="42"/>
    <x v="42"/>
    <s v="Rahvakultuur"/>
    <s v="Vabaaeg, kultuur ja religioon"/>
    <s v="Pajusti klubi"/>
    <s v="Sideteenused"/>
    <n v="560.04999999999995"/>
    <n v="0"/>
    <x v="0"/>
    <s v="Administreerimiskulud"/>
    <n v="55"/>
    <s v="55"/>
    <x v="0"/>
    <x v="0"/>
    <s v="Põhitegevuse kulu"/>
    <n v="0"/>
  </r>
  <r>
    <x v="7"/>
    <x v="42"/>
    <x v="42"/>
    <s v="Rahvakultuur"/>
    <s v="Vabaaeg, kultuur ja religioon"/>
    <s v="Pajusti klubi"/>
    <s v="kontoritarbed"/>
    <n v="300"/>
    <n v="0"/>
    <x v="0"/>
    <s v="Administreerimiskulud"/>
    <n v="55"/>
    <s v="55"/>
    <x v="0"/>
    <x v="0"/>
    <s v="Põhitegevuse kulu"/>
    <n v="0"/>
  </r>
  <r>
    <x v="7"/>
    <x v="42"/>
    <x v="42"/>
    <s v="Rahvakultuur"/>
    <s v="Vabaaeg, kultuur ja religioon"/>
    <s v="Pajusti klubi"/>
    <s v="Lilled Mõttelõng"/>
    <n v="270"/>
    <n v="0"/>
    <x v="14"/>
    <s v="Kommunikatsiooni-, kultuuri- ja vaba aja sisustamise kulud"/>
    <n v="55"/>
    <s v="55"/>
    <x v="0"/>
    <x v="0"/>
    <s v="Põhitegevuse kulu"/>
    <n v="0"/>
  </r>
  <r>
    <x v="7"/>
    <x v="42"/>
    <x v="42"/>
    <s v="Rahvakultuur"/>
    <s v="Vabaaeg, kultuur ja religioon"/>
    <s v="Pajusti klubi"/>
    <s v="Lilled Elutark"/>
    <n v="270"/>
    <n v="0"/>
    <x v="14"/>
    <s v="Kommunikatsiooni-, kultuuri- ja vaba aja sisustamise 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küte"/>
    <n v="16000"/>
    <s v="õliküte 21000 l. aastas"/>
    <x v="4"/>
    <s v="Kinnistute, hoonete ja ruumide majandamis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elekter"/>
    <n v="4800"/>
    <s v="28455 mhv rahvamaja, arvestuses ka Sinilille tn. valgustus"/>
    <x v="4"/>
    <s v="Kinnistute, hoonete ja ruumide majandamis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vesi ja kanalisatsioon"/>
    <n v="2575"/>
    <s v="Virumaa Veepumbakeskus, Fixum"/>
    <x v="4"/>
    <s v="Kinnistute, hoonete ja ruumide majandamis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ATS hooldus"/>
    <n v="460"/>
    <s v="U.K.V. Grupp"/>
    <x v="4"/>
    <s v="Kinnistute, hoonete ja ruumide majandamis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korrashoiuvahendid"/>
    <n v="360"/>
    <s v="wc paber, harjad, lapid, kodukeemia"/>
    <x v="4"/>
    <s v="Kinnistute, hoonete ja ruumide majandamis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valgustid"/>
    <n v="400"/>
    <s v="pirnid, prožektorid"/>
    <x v="4"/>
    <s v="Kinnistute, hoonete ja ruumide majandamis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pesu pesemine"/>
    <n v="100"/>
    <s v="teenus"/>
    <x v="4"/>
    <s v="Kinnistute, hoonete ja ruumide majandamis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remont"/>
    <n v="220"/>
    <s v="pisiremont"/>
    <x v="4"/>
    <s v="Kinnistute, hoonete ja ruumide majandamis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telefon, internet"/>
    <n v="730"/>
    <s v="3297299,internet digi tv"/>
    <x v="0"/>
    <s v="Administreerimis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mobiiltelefon"/>
    <n v="120"/>
    <n v="5273878"/>
    <x v="0"/>
    <s v="Administreerimis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postikulu, kuulutused"/>
    <n v="110"/>
    <s v="üritused,ümbrikud, plakatid"/>
    <x v="0"/>
    <s v="Administreerimis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tahma- ja tindikassetid"/>
    <n v="190"/>
    <s v="printerid"/>
    <x v="0"/>
    <s v="Administreerimis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koolitused"/>
    <n v="560"/>
    <s v="juhataja,ringijuhid"/>
    <x v="2"/>
    <s v="Koolitus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isikliku sõiduauto komp."/>
    <n v="1536"/>
    <s v="12 kuud"/>
    <x v="3"/>
    <s v="Sõidukite ülalpidamise 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näituste korraldamise kulud"/>
    <n v="400"/>
    <s v="ülesseadmine,transport"/>
    <x v="14"/>
    <s v="Kommunikatsiooni-, kultuuri- ja vaba aja sisustamise 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valgustid (prožektorid),helitehnika (kõlarid,juhtmed)"/>
    <n v="3200"/>
    <n v="0"/>
    <x v="8"/>
    <s v="Inventari kulud, v.a infotehnoloogia ja kaitseotstarbelised 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esmaabivahendid,prillid"/>
    <n v="400"/>
    <n v="0"/>
    <x v="9"/>
    <s v="Meditsiinikulud ja hügieenitarbe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käelise tegevuse asjad,markerid,paberid,liim,värvid,rekvisiit,lilled"/>
    <n v="390"/>
    <n v="0"/>
    <x v="20"/>
    <s v="Õppevahendi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arvutiprogrammid, hooldused"/>
    <n v="100"/>
    <n v="0"/>
    <x v="5"/>
    <s v="Info- ja kommunikatsioonitehnoliigised 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RAM-i kontsert (RAM 75-EV 102)"/>
    <n v="1200"/>
    <s v="kontserdi maksumus"/>
    <x v="14"/>
    <s v="Kommunikatsiooni-, kultuuri- ja vaba aja sisustamise 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Salongiõhtu Meenutame jaak Joalat ja Georg Otsa"/>
    <n v="1500"/>
    <s v="külalisesinejad"/>
    <x v="14"/>
    <s v="Kommunikatsiooni-, kultuuri- ja vaba aja sisustamise 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Jaaniõhtu"/>
    <n v="1000"/>
    <s v="auhinnad,tantsumuusika"/>
    <x v="14"/>
    <s v="Kommunikatsiooni-, kultuuri- ja vaba aja sisustamise 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advendi ja jõuluüritused. Aastalõpupidu"/>
    <n v="2500"/>
    <s v="esinejad, meened"/>
    <x v="14"/>
    <s v="Kommunikatsiooni-, kultuuri- ja vaba aja sisustamise 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naistepäevapidu"/>
    <n v="50"/>
    <s v="lilled"/>
    <x v="14"/>
    <s v="Kommunikatsiooni-, kultuuri- ja vaba aja sisustamise kulud"/>
    <n v="55"/>
    <s v="55"/>
    <x v="0"/>
    <x v="0"/>
    <s v="Põhitegevuse kulu"/>
    <n v="0"/>
  </r>
  <r>
    <x v="7"/>
    <x v="43"/>
    <x v="43"/>
    <s v="Rahvakultuur"/>
    <s v="Vabaaeg, kultuur ja religioon"/>
    <s v="Roela Rahvamaja"/>
    <s v="esinemised"/>
    <n v="400"/>
    <s v="väljasõidud"/>
    <x v="1"/>
    <s v="Mitmesugused majandus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Bürootarbed"/>
    <n v="300"/>
    <n v="0"/>
    <x v="0"/>
    <s v="Administreerimis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Lauatelefon, internet"/>
    <n v="500"/>
    <n v="0"/>
    <x v="0"/>
    <s v="Administreerimis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Trükised, ajalehed, ajakirjad"/>
    <n v="300"/>
    <s v="Virumaa teataja,Eesti Ekspress,  Maakodu"/>
    <x v="0"/>
    <s v="Administreerimis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Kuulutused, reklaam"/>
    <n v="100"/>
    <n v="0"/>
    <x v="0"/>
    <s v="Administreerimis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Kingitused, auhinnad"/>
    <n v="400"/>
    <n v="0"/>
    <x v="0"/>
    <s v="Administreerimis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Koolitused"/>
    <n v="200"/>
    <n v="0"/>
    <x v="2"/>
    <s v="Koolitus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Isikliku sõiduauto komp."/>
    <n v="900"/>
    <n v="0"/>
    <x v="3"/>
    <s v="Sõidukite ülalpidamise 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Töötajate tervisetõendid"/>
    <n v="400"/>
    <n v="0"/>
    <x v="9"/>
    <s v="Meditsiinikulud ja hügieenitarbe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Üritused"/>
    <n v="18800"/>
    <s v="(jõulupidu Muuga mõisas 600eur, kokkusaamised, väljasõidud sünnipäevade tähistamine), muud ettenägematud kulud."/>
    <x v="14"/>
    <s v="Kommunikatsiooni-, kultuuri- ja vaba aja sisustamise 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Toiduained"/>
    <n v="1000"/>
    <n v="0"/>
    <x v="14"/>
    <s v="Kommunikatsiooni-, kultuuri- ja vaba aja sisustamise 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Küte"/>
    <n v="20000"/>
    <n v="0"/>
    <x v="4"/>
    <s v="Kinnistute, hoonete ja ruumide majandamis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Elekter"/>
    <n v="3000"/>
    <n v="0"/>
    <x v="4"/>
    <s v="Kinnistute, hoonete ja ruumide majandamis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Elektrikäitlemiskulu"/>
    <n v="400"/>
    <n v="0"/>
    <x v="4"/>
    <s v="Kinnistute, hoonete ja ruumide majandamis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Korrashoid, remont"/>
    <n v="2000"/>
    <s v="Remonttööd siseruumides"/>
    <x v="4"/>
    <s v="Kinnistute, hoonete ja ruumide majandamis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Prügivedu"/>
    <n v="100"/>
    <n v="0"/>
    <x v="4"/>
    <s v="Kinnistute, hoonete ja ruumide majandamis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Vesi, kanalisatsioon"/>
    <n v="500"/>
    <n v="0"/>
    <x v="4"/>
    <s v="Kinnistute, hoonete ja ruumide majandamis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Kindlustusmaksed"/>
    <n v="100"/>
    <n v="0"/>
    <x v="4"/>
    <s v="Kinnistute, hoonete ja ruumide majandamis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Elektritarvikud"/>
    <n v="500"/>
    <s v=" valgustus, pirnid, patareid"/>
    <x v="4"/>
    <s v="Kinnistute, hoonete ja ruumide majandamiskulud"/>
    <n v="55"/>
    <s v="55"/>
    <x v="0"/>
    <x v="0"/>
    <s v="Põhitegevuse kulu"/>
    <n v="0"/>
  </r>
  <r>
    <x v="7"/>
    <x v="44"/>
    <x v="44"/>
    <s v="Rahvakultuur"/>
    <s v="Vabaaeg, kultuur ja religioon"/>
    <s v="Laekvere Rahva Maja"/>
    <s v="MTÜ Eha kapellijuhendaja sõidukulud"/>
    <n v="552"/>
    <n v="0"/>
    <x v="3"/>
    <s v="Sõidukite ülalpidamise kulud"/>
    <n v="55"/>
    <s v="55"/>
    <x v="0"/>
    <x v="0"/>
    <s v="Põhitegevuse kulu"/>
    <n v="0"/>
  </r>
  <r>
    <x v="7"/>
    <x v="45"/>
    <x v="45"/>
    <s v="Rahvakultuur"/>
    <s v="Vabaaeg, kultuur ja religioon"/>
    <s v="Venevere seltsimaja"/>
    <s v="kinnistukulud"/>
    <n v="8000"/>
    <n v="0"/>
    <x v="4"/>
    <s v="Kinnistute, hoonete ja ruumide majandamiskulud"/>
    <n v="55"/>
    <s v="55"/>
    <x v="0"/>
    <x v="0"/>
    <s v="Põhitegevuse kulu"/>
    <n v="0"/>
  </r>
  <r>
    <x v="7"/>
    <x v="45"/>
    <x v="45"/>
    <s v="Rahvakultuur"/>
    <s v="Vabaaeg, kultuur ja religioon"/>
    <s v="Venevere seltsimaja"/>
    <s v="Bürootarbed"/>
    <n v="120"/>
    <n v="0"/>
    <x v="0"/>
    <s v="Administreerimiskulud"/>
    <n v="55"/>
    <s v="55"/>
    <x v="0"/>
    <x v="0"/>
    <s v="Põhitegevuse kulu"/>
    <n v="0"/>
  </r>
  <r>
    <x v="7"/>
    <x v="45"/>
    <x v="45"/>
    <s v="Rahvakultuur"/>
    <s v="Vabaaeg, kultuur ja religioon"/>
    <s v="Venevere seltsimaja"/>
    <s v="koolitused"/>
    <n v="100"/>
    <n v="0"/>
    <x v="2"/>
    <s v="Koolituskulud"/>
    <n v="55"/>
    <s v="55"/>
    <x v="0"/>
    <x v="0"/>
    <s v="Põhitegevuse kulu"/>
    <n v="0"/>
  </r>
  <r>
    <x v="7"/>
    <x v="45"/>
    <x v="45"/>
    <s v="Rahvakultuur"/>
    <s v="Vabaaeg, kultuur ja religioon"/>
    <s v="Venevere seltsimaja"/>
    <s v="Sõidukite majandamiskulud"/>
    <n v="400"/>
    <n v="0"/>
    <x v="3"/>
    <s v="Sõidukite ülalpidamise kulud"/>
    <n v="55"/>
    <s v="55"/>
    <x v="0"/>
    <x v="0"/>
    <s v="Põhitegevuse kulu"/>
    <n v="0"/>
  </r>
  <r>
    <x v="7"/>
    <x v="45"/>
    <x v="45"/>
    <s v="Rahvakultuur"/>
    <s v="Vabaaeg, kultuur ja religioon"/>
    <s v="Venevere seltsimaja"/>
    <s v="Pokaalid 50tk 90.00, muu inventar vastavalt vajadusele"/>
    <n v="500"/>
    <n v="0"/>
    <x v="8"/>
    <s v="Inventari kulud, v.a infotehnoloogia ja kaitseotstarbelised kulud"/>
    <n v="55"/>
    <s v="55"/>
    <x v="0"/>
    <x v="0"/>
    <s v="Põhitegevuse kulu"/>
    <n v="0"/>
  </r>
  <r>
    <x v="7"/>
    <x v="45"/>
    <x v="45"/>
    <s v="Rahvakultuur"/>
    <s v="Vabaaeg, kultuur ja religioon"/>
    <s v="Venevere seltsimaja"/>
    <s v="Üritused"/>
    <n v="2730"/>
    <n v="0"/>
    <x v="14"/>
    <s v="Kommunikatsiooni-, kultuuri- ja vaba aja sisustamise kulud"/>
    <n v="55"/>
    <s v="55"/>
    <x v="0"/>
    <x v="0"/>
    <s v="Põhitegevuse kulu"/>
    <n v="0"/>
  </r>
  <r>
    <x v="7"/>
    <x v="45"/>
    <x v="45"/>
    <s v="Rahvakultuur"/>
    <s v="Vabaaeg, kultuur ja religioon"/>
    <s v="Venevere seltsimaja"/>
    <s v="IT kulud"/>
    <n v="600"/>
    <n v="0"/>
    <x v="5"/>
    <s v="Info- ja kommunikatsioonitehnoliigised 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telefon ja internet"/>
    <n v="350"/>
    <s v="telefon 3295418, internet Andigo OÜ 25.90 x 12 "/>
    <x v="0"/>
    <s v="Administreerimis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printeri tahm "/>
    <n v="100"/>
    <s v="värviprinteri tahm "/>
    <x v="0"/>
    <s v="Administreerimis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paber, pliiats, markerid"/>
    <n v="50"/>
    <n v="0"/>
    <x v="0"/>
    <s v="Administreerimis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klubi juhataja koolitused"/>
    <n v="450"/>
    <s v="juhataja koolitused/täiendkursused/suvekool"/>
    <x v="2"/>
    <s v="Koolitus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isikliku sõiduauto kasutamine juhatajal"/>
    <n v="720"/>
    <s v="12 x 60.- "/>
    <x v="3"/>
    <s v="Sõidukite ülalpidamise 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klubi ringide esinemisväljasõidud"/>
    <n v="1500"/>
    <s v="bussi tellimine"/>
    <x v="14"/>
    <s v="Kommunikatsiooni-, kultuuri- ja vaba aja sisustamise 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lilleteenus"/>
    <n v="150"/>
    <s v="ringijuhtide õnnitlemine, teiste asutuste õnnitlemine"/>
    <x v="14"/>
    <s v="Kommunikatsiooni-, kultuuri- ja vaba aja sisustamise 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Vabariigi aastapäeva lipuheiskamine"/>
    <n v="200"/>
    <s v="esineja tellimine,vastuvõtulaud"/>
    <x v="14"/>
    <s v="Kommunikatsiooni-, kultuuri- ja vaba aja sisustamise 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väiksemad üritused/koosviibimised"/>
    <n v="1000"/>
    <s v="aasta jooksul lisanduvad mitte pikalt ette planeeritud üritused"/>
    <x v="14"/>
    <s v="Kommunikatsiooni-, kultuuri- ja vaba aja sisustamise 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emadepäeva kontsert "/>
    <n v="100"/>
    <s v="tort/lilled/esineja"/>
    <x v="14"/>
    <s v="Kommunikatsiooni-, kultuuri- ja vaba aja sisustamise 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Rägavere piirkonna jaanituli"/>
    <n v="1500"/>
    <s v="ansambel/õhtujuht/auhinnad/lõke/lasteala"/>
    <x v="14"/>
    <s v="Kommunikatsiooni-, kultuuri- ja vaba aja sisustamise 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koduste laste jõulupidu "/>
    <n v="100"/>
    <s v="jõuluvana tellimine"/>
    <x v="14"/>
    <s v="Kommunikatsiooni-, kultuuri- ja vaba aja sisustamise 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taidlejate/piirkonna jõulupidu"/>
    <n v="200"/>
    <s v="esinejate tellimine/ ringijuhtide jõulupakid"/>
    <x v="14"/>
    <s v="Kommunikatsiooni-, kultuuri- ja vaba aja sisustamise 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kevadine hooaja lõpetamine "/>
    <n v="300"/>
    <s v="esineja/tänukirjad/kringel/kohv"/>
    <x v="14"/>
    <s v="Kommunikatsiooni-, kultuuri- ja vaba aja sisustamise 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Rägavere piirkonna vastalpäev"/>
    <n v="150"/>
    <s v="supp/kukklid/auhinnad"/>
    <x v="14"/>
    <s v="Kommunikatsiooni-, kultuuri- ja vaba aja sisustamise 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dekoratsioonid üritustele"/>
    <n v="150"/>
    <n v="0"/>
    <x v="14"/>
    <s v="Kommunikatsiooni-, kultuuri- ja vaba aja sisustamise 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eakate päeva tähistamine "/>
    <n v="100"/>
    <n v="0"/>
    <x v="14"/>
    <s v="Kommunikatsiooni-, kultuuri- ja vaba aja sisustamise 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pesutöötlus"/>
    <n v="100"/>
    <s v="Virumaa Puhastus OÜ "/>
    <x v="4"/>
    <s v="Kinnistute, hoonete ja ruumide majandamis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vesi ja kanalisatsioon "/>
    <n v="400"/>
    <s v="Kunda Vesi OÜ"/>
    <x v="4"/>
    <s v="Kinnistute, hoonete ja ruumide majandamis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veeautomaadi rent/vesi"/>
    <n v="100"/>
    <s v="6.- x 12 "/>
    <x v="4"/>
    <s v="Kinnistute, hoonete ja ruumide majandamis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elekter"/>
    <n v="10000"/>
    <s v="Eesti Energia AS"/>
    <x v="4"/>
    <s v="Kinnistute, hoonete ja ruumide majandamis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maaküte"/>
    <n v="1000"/>
    <s v="Viru Maaküte OÜ "/>
    <x v="4"/>
    <s v="Kinnistute, hoonete ja ruumide majandamis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tulekustutite kontroll/hooldusteenus"/>
    <n v="200"/>
    <s v="Tamrex Ohutuse OÜ"/>
    <x v="4"/>
    <s v="Kinnistute, hoonete ja ruumide majandamis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valvesüsteemi hooldusteenua"/>
    <n v="120"/>
    <s v="KMPH Grupp OÜ"/>
    <x v="4"/>
    <s v="Kinnistute, hoonete ja ruumide majandamis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maja korrashoiuvahendid"/>
    <n v="1000"/>
    <s v="puh.vahendid, lapid, mopid, harjad, WC- ja kätebaperid, seebi jne."/>
    <x v="4"/>
    <s v="Kinnistute, hoonete ja ruumide majandamis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saali parketihooldus "/>
    <n v="800"/>
    <s v="iga aastane parketihooldus/vahendid/tööaeg"/>
    <x v="4"/>
    <s v="Kinnistute, hoonete ja ruumide majandamis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maja hooldustööd/remont"/>
    <n v="1000"/>
    <s v="ettenägematud kulud maja remondiks/pirnide vahetus/parandustööd/kanalisatsioonitööd"/>
    <x v="4"/>
    <s v="Kinnistute, hoonete ja ruumide majandamis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lilled õue lillekastidesse, amplid suvel maja ees"/>
    <n v="100"/>
    <n v="0"/>
    <x v="4"/>
    <s v="Kinnistute, hoonete ja ruumide majandamis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hoone kindlustus "/>
    <n v="300"/>
    <n v="0"/>
    <x v="4"/>
    <s v="Kinnistute, hoonete ja ruumide majandamiskulud"/>
    <n v="55"/>
    <s v="55"/>
    <x v="0"/>
    <x v="0"/>
    <s v="Põhitegevuse kulu"/>
    <n v="0"/>
  </r>
  <r>
    <x v="7"/>
    <x v="46"/>
    <x v="46"/>
    <s v="Rahvakultuur"/>
    <s v="Vabaaeg, kultuur ja religioon"/>
    <s v="Ulvi klubi"/>
    <s v="arvutihooldus/programmid"/>
    <n v="300"/>
    <n v="0"/>
    <x v="5"/>
    <s v="Info- ja kommunikatsioonitehnoliigised kulud"/>
    <n v="55"/>
    <s v="55"/>
    <x v="0"/>
    <x v="0"/>
    <s v="Põhitegevuse kulu"/>
    <n v="0"/>
  </r>
  <r>
    <x v="7"/>
    <x v="47"/>
    <x v="47"/>
    <s v="Muuseumid"/>
    <s v="Vabaaeg, kultuur ja religioon"/>
    <s v="Muuseumi juhataja"/>
    <s v="Transpordikulud"/>
    <n v="1000"/>
    <s v="Põlula, Tudu muuseumisse isikute vedu"/>
    <x v="1"/>
    <s v="Mitmesugused majanduskulud"/>
    <n v="55"/>
    <s v="55"/>
    <x v="0"/>
    <x v="0"/>
    <s v="Põhitegevuse kulu"/>
    <n v="0"/>
  </r>
  <r>
    <x v="7"/>
    <x v="47"/>
    <x v="47"/>
    <s v="Muuseumid"/>
    <s v="Vabaaeg, kultuur ja religioon"/>
    <s v="Muuseumi juhataja"/>
    <s v="Skännerid"/>
    <n v="540"/>
    <s v="Põlula, Tudu, Roela, Viru-Jaagupi, Kadila, Laekvere"/>
    <x v="5"/>
    <s v="Info- ja kommunikatsioonitehnoliigised kulud"/>
    <n v="55"/>
    <s v="55"/>
    <x v="0"/>
    <x v="0"/>
    <s v="Põhitegevuse kulu"/>
    <n v="0"/>
  </r>
  <r>
    <x v="7"/>
    <x v="47"/>
    <x v="47"/>
    <s v="Muuseumid"/>
    <s v="Vabaaeg, kultuur ja religioon"/>
    <s v="Muuseumi juhataja"/>
    <s v="Arhiveerimistarvikud"/>
    <n v="2400"/>
    <s v="Põlula, Tudu, Roela, Viru-Jaagupi, Kadila, Laekvere"/>
    <x v="0"/>
    <s v="Administreerimiskulud"/>
    <n v="55"/>
    <s v="55"/>
    <x v="0"/>
    <x v="0"/>
    <s v="Põhitegevuse kulu"/>
    <n v="0"/>
  </r>
  <r>
    <x v="7"/>
    <x v="47"/>
    <x v="47"/>
    <s v="Muuseumid"/>
    <s v="Vabaaeg, kultuur ja religioon"/>
    <s v="Muuseumi juhataja"/>
    <s v="Materjalide ettevalmistamine näituseks"/>
    <n v="1500"/>
    <s v="Põlula, Tudu, Roela "/>
    <x v="1"/>
    <s v="Mitmesugused majanduskulud"/>
    <n v="55"/>
    <s v="55"/>
    <x v="0"/>
    <x v="0"/>
    <s v="Põhitegevuse kulu"/>
    <n v="0"/>
  </r>
  <r>
    <x v="7"/>
    <x v="47"/>
    <x v="47"/>
    <s v="Muuseumid"/>
    <s v="Vabaaeg, kultuur ja religioon"/>
    <s v="Muuseumi juhataja"/>
    <s v="Isikliku sõiduauto komp."/>
    <n v="3685"/>
    <n v="0"/>
    <x v="3"/>
    <s v="Sõidukite ülalpidamise kulud"/>
    <n v="55"/>
    <s v="55"/>
    <x v="0"/>
    <x v="0"/>
    <s v="Põhitegevuse kulu"/>
    <n v="0"/>
  </r>
  <r>
    <x v="7"/>
    <x v="47"/>
    <x v="47"/>
    <s v="Muuseumid"/>
    <s v="Vabaaeg, kultuur ja religioon"/>
    <s v="Muuseumi juhataja"/>
    <s v="Sideteenused"/>
    <n v="180"/>
    <n v="0"/>
    <x v="0"/>
    <s v="Administreerimiskulud"/>
    <n v="55"/>
    <s v="55"/>
    <x v="0"/>
    <x v="0"/>
    <s v="Põhitegevuse kulu"/>
    <n v="0"/>
  </r>
  <r>
    <x v="7"/>
    <x v="47"/>
    <x v="47"/>
    <s v="Muuseumid"/>
    <s v="Vabaaeg, kultuur ja religioon"/>
    <s v="Muuseumi juhataja"/>
    <s v="Topoteegi aastane hooldustasu"/>
    <n v="300"/>
    <n v="0"/>
    <x v="5"/>
    <s v="Info- ja kommunikatsioonitehnoliigised kulud"/>
    <n v="55"/>
    <s v="55"/>
    <x v="0"/>
    <x v="0"/>
    <s v="Põhitegevuse kulu"/>
    <n v="0"/>
  </r>
  <r>
    <x v="7"/>
    <x v="47"/>
    <x v="47"/>
    <s v="Muuseumid"/>
    <s v="Vabaaeg, kultuur ja religioon"/>
    <s v="Muuseumi juhataja"/>
    <s v="Topoteegi pidajate koolitus"/>
    <n v="200"/>
    <n v="0"/>
    <x v="2"/>
    <s v="Koolituskulud"/>
    <n v="55"/>
    <s v="55"/>
    <x v="0"/>
    <x v="0"/>
    <s v="Põhitegevuse kulu"/>
    <n v="0"/>
  </r>
  <r>
    <x v="7"/>
    <x v="47"/>
    <x v="47"/>
    <s v="Muuseumid"/>
    <s v="Vabaaeg, kultuur ja religioon"/>
    <s v="Muuseumi juhataja"/>
    <s v="TLU töögrupi tegevuse kompenseerimine"/>
    <n v="1200"/>
    <s v="Majutus, transport, toitlustus"/>
    <x v="1"/>
    <s v="Mitmesugused majanduskulud"/>
    <n v="55"/>
    <s v="55"/>
    <x v="0"/>
    <x v="0"/>
    <s v="Põhitegevuse kulu"/>
    <n v="0"/>
  </r>
  <r>
    <x v="7"/>
    <x v="47"/>
    <x v="47"/>
    <s v="Muuseumid"/>
    <s v="Vabaaeg, kultuur ja religioon"/>
    <s v="Muuseumi juhataja"/>
    <s v="Arhiveerimistarvikud"/>
    <n v="1000"/>
    <n v="0"/>
    <x v="0"/>
    <s v="Administreerimiskulud"/>
    <n v="55"/>
    <s v="55"/>
    <x v="0"/>
    <x v="0"/>
    <s v="Põhitegevuse kulu"/>
    <n v="0"/>
  </r>
  <r>
    <x v="7"/>
    <x v="47"/>
    <x v="47"/>
    <s v="Muuseumid"/>
    <s v="Vabaaeg, kultuur ja religioon"/>
    <s v="Muuseumi juhataja"/>
    <s v="Koolitused"/>
    <n v="500"/>
    <n v="0"/>
    <x v="2"/>
    <s v="Koolituskulud"/>
    <n v="55"/>
    <s v="55"/>
    <x v="0"/>
    <x v="0"/>
    <s v="Põhitegevuse kulu"/>
    <n v="0"/>
  </r>
  <r>
    <x v="7"/>
    <x v="47"/>
    <x v="47"/>
    <s v="Muuseumid"/>
    <s v="Vabaaeg, kultuur ja religioon"/>
    <s v="Muuseumi juhataja"/>
    <s v="Eksperdi kaasamine ERMist"/>
    <n v="600"/>
    <n v="0"/>
    <x v="1"/>
    <s v="Mitmesugused majanduskulud"/>
    <n v="55"/>
    <s v="55"/>
    <x v="0"/>
    <x v="0"/>
    <s v="Põhitegevuse kulu"/>
    <n v="0"/>
  </r>
  <r>
    <x v="7"/>
    <x v="47"/>
    <x v="47"/>
    <s v="Muuseumid"/>
    <s v="Vabaaeg, kultuur ja religioon"/>
    <s v="Muuseumi juhataja"/>
    <s v="Ettenägematud kulud"/>
    <n v="2500"/>
    <n v="0"/>
    <x v="1"/>
    <s v="Mitmesugused majanduskulud"/>
    <n v="55"/>
    <s v="55"/>
    <x v="0"/>
    <x v="0"/>
    <s v="Põhitegevuse kulu"/>
    <n v="0"/>
  </r>
  <r>
    <x v="7"/>
    <x v="48"/>
    <x v="48"/>
    <s v="Ringhäälingu- ja kirjastamisteenused"/>
    <s v="Vabaaeg, kultuur ja religioon"/>
    <s v="Kultuuri-ja avalike suhete nõunik"/>
    <s v="Vallalehe kirjastuskulud"/>
    <n v="14000"/>
    <n v="0"/>
    <x v="0"/>
    <s v="Administreerimiskulud"/>
    <n v="55"/>
    <s v="55"/>
    <x v="0"/>
    <x v="0"/>
    <s v="Põhitegevuse kulu"/>
    <n v="0"/>
  </r>
  <r>
    <x v="7"/>
    <x v="49"/>
    <x v="49"/>
    <s v="Muu vaba aeg, kultuur, religioon, sh haldus"/>
    <s v="Vabaaeg, kultuur ja religioon"/>
    <s v="Vallavanem"/>
    <s v="Isikliku sõiduauto komp."/>
    <n v="1650"/>
    <s v="Hilje ametikoht"/>
    <x v="3"/>
    <s v="Sõidukite ülalpidamise kulud"/>
    <n v="55"/>
    <s v="55"/>
    <x v="0"/>
    <x v="0"/>
    <s v="Põhitegevuse kulu"/>
    <n v="0"/>
  </r>
  <r>
    <x v="7"/>
    <x v="49"/>
    <x v="49"/>
    <s v="Muu vaba aeg, kultuur, religioon, sh haldus"/>
    <s v="Vabaaeg, kultuur ja religioon"/>
    <s v="Vallavanem"/>
    <s v="koolitused"/>
    <n v="350"/>
    <n v="0"/>
    <x v="2"/>
    <s v="Koolituskulud"/>
    <n v="55"/>
    <s v="55"/>
    <x v="0"/>
    <x v="0"/>
    <s v="Põhitegevuse kulu"/>
    <n v="0"/>
  </r>
  <r>
    <x v="7"/>
    <x v="49"/>
    <x v="49"/>
    <s v="Muu vaba aeg, kultuur, religioon, sh haldus"/>
    <s v="Vabaaeg, kultuur ja religioon"/>
    <s v="Vallavanem"/>
    <s v="Sideteenused"/>
    <n v="120"/>
    <n v="0"/>
    <x v="0"/>
    <s v="Administreerimiskulud"/>
    <n v="55"/>
    <s v="55"/>
    <x v="0"/>
    <x v="0"/>
    <s v="Põhitegevuse kulu"/>
    <n v="0"/>
  </r>
  <r>
    <x v="8"/>
    <x v="50"/>
    <x v="50"/>
    <s v="Alusharidus"/>
    <s v="Haridus"/>
    <s v="Vinni lasteaed"/>
    <s v="Telefonid, internet"/>
    <n v="800"/>
    <s v="Telia"/>
    <x v="0"/>
    <s v="Administreerimiskulud"/>
    <n v="55"/>
    <s v="55"/>
    <x v="0"/>
    <x v="0"/>
    <s v="Põhitegevuse kulu"/>
    <n v="0"/>
  </r>
  <r>
    <x v="8"/>
    <x v="50"/>
    <x v="50"/>
    <s v="Alusharidus"/>
    <s v="Haridus"/>
    <s v="Vinni lasteaed"/>
    <s v="Ajalehed, tööalane kirjandus, kuulutused"/>
    <n v="500"/>
    <s v="Õpetajate leht, tööalased teavikud jne"/>
    <x v="0"/>
    <s v="Administreerimiskulud"/>
    <n v="55"/>
    <s v="55"/>
    <x v="0"/>
    <x v="0"/>
    <s v="Põhitegevuse kulu"/>
    <n v="0"/>
  </r>
  <r>
    <x v="8"/>
    <x v="50"/>
    <x v="50"/>
    <s v="Alusharidus"/>
    <s v="Haridus"/>
    <s v="Vinni lasteaed"/>
    <s v="Kantseleikaubad"/>
    <n v="450"/>
    <s v="paber, pastakad, tahm jne"/>
    <x v="0"/>
    <s v="Administreerimiskulud"/>
    <n v="55"/>
    <s v="55"/>
    <x v="0"/>
    <x v="0"/>
    <s v="Põhitegevuse kulu"/>
    <n v="0"/>
  </r>
  <r>
    <x v="8"/>
    <x v="50"/>
    <x v="50"/>
    <s v="Alusharidus"/>
    <s v="Haridus"/>
    <s v="Vinni lasteaed"/>
    <s v="Koolitused pedagoogidele"/>
    <n v="1200"/>
    <n v="0"/>
    <x v="2"/>
    <s v="Koolituskulud"/>
    <n v="55"/>
    <s v="55"/>
    <x v="0"/>
    <x v="0"/>
    <s v="Põhitegevuse kulu"/>
    <n v="0"/>
  </r>
  <r>
    <x v="8"/>
    <x v="50"/>
    <x v="50"/>
    <s v="Alusharidus"/>
    <s v="Haridus"/>
    <s v="Vinni lasteaed"/>
    <s v="Tellitud koolitused majja"/>
    <n v="500"/>
    <n v="0"/>
    <x v="2"/>
    <s v="Koolituskulud"/>
    <n v="55"/>
    <s v="55"/>
    <x v="0"/>
    <x v="0"/>
    <s v="Põhitegevuse kulu"/>
    <n v="0"/>
  </r>
  <r>
    <x v="8"/>
    <x v="50"/>
    <x v="50"/>
    <s v="Alusharidus"/>
    <s v="Haridus"/>
    <s v="Vinni lasteaed"/>
    <s v="Ainesektsioonid"/>
    <n v="300"/>
    <n v="0"/>
    <x v="2"/>
    <s v="Koolituskulud"/>
    <n v="55"/>
    <s v="55"/>
    <x v="0"/>
    <x v="0"/>
    <s v="Põhitegevuse kulu"/>
    <n v="0"/>
  </r>
  <r>
    <x v="8"/>
    <x v="50"/>
    <x v="50"/>
    <s v="Alusharidus"/>
    <s v="Haridus"/>
    <s v="Vinni lasteaed"/>
    <s v="Lähetus"/>
    <n v="300"/>
    <s v="bussipiletid, kütus"/>
    <x v="2"/>
    <s v="Koolituskulud"/>
    <n v="55"/>
    <s v="55"/>
    <x v="0"/>
    <x v="0"/>
    <s v="Põhitegevuse kulu"/>
    <n v="0"/>
  </r>
  <r>
    <x v="8"/>
    <x v="50"/>
    <x v="50"/>
    <s v="Alusharidus"/>
    <s v="Haridus"/>
    <s v="Vinni lasteaed"/>
    <s v="Isikliku sõiduauto kasutus"/>
    <n v="1536"/>
    <s v="12x 64 x 2autot"/>
    <x v="3"/>
    <s v="Sõidukite ülalpidamise kulud"/>
    <n v="55"/>
    <s v="55"/>
    <x v="0"/>
    <x v="0"/>
    <s v="Põhitegevuse kulu"/>
    <n v="0"/>
  </r>
  <r>
    <x v="8"/>
    <x v="50"/>
    <x v="50"/>
    <s v="Alusharidus"/>
    <s v="Haridus"/>
    <s v="Vinni lasteaed"/>
    <s v="Süntesaator"/>
    <n v="1500"/>
    <n v="0"/>
    <x v="8"/>
    <s v="Inventari kulud, v.a infotehnoloogia ja kaitseotstarbelised kulud"/>
    <n v="55"/>
    <s v="55"/>
    <x v="0"/>
    <x v="0"/>
    <s v="Põhitegevuse kulu"/>
    <n v="0"/>
  </r>
  <r>
    <x v="8"/>
    <x v="50"/>
    <x v="50"/>
    <s v="Alusharidus"/>
    <s v="Haridus"/>
    <s v="Vinni lasteaed"/>
    <s v="Lumepuhur"/>
    <n v="1000"/>
    <n v="0"/>
    <x v="8"/>
    <s v="Inventari kulud, v.a infotehnoloogia ja kaitseotstarbelised kulud"/>
    <n v="55"/>
    <s v="55"/>
    <x v="0"/>
    <x v="0"/>
    <s v="Põhitegevuse kulu"/>
    <n v="0"/>
  </r>
  <r>
    <x v="8"/>
    <x v="50"/>
    <x v="50"/>
    <s v="Alusharidus"/>
    <s v="Haridus"/>
    <s v="Vinni lasteaed"/>
    <s v="toidupäevade arv x 1,60 euroga- 25% puudumised"/>
    <n v="22000"/>
    <n v="0"/>
    <x v="19"/>
    <s v="Toiduained ja toitlustusteenused"/>
    <n v="55"/>
    <s v="55"/>
    <x v="0"/>
    <x v="0"/>
    <s v="Põhitegevuse kulu"/>
    <n v="0"/>
  </r>
  <r>
    <x v="8"/>
    <x v="50"/>
    <x v="50"/>
    <s v="Alusharidus"/>
    <s v="Haridus"/>
    <s v="Vinni lasteaed"/>
    <s v="Hügieenitarbed"/>
    <n v="300"/>
    <s v="plaastrid, des.vahendid jne"/>
    <x v="9"/>
    <s v="Meditsiinikulud ja hügieenitarbed"/>
    <n v="55"/>
    <s v="55"/>
    <x v="0"/>
    <x v="0"/>
    <s v="Põhitegevuse kulu"/>
    <n v="0"/>
  </r>
  <r>
    <x v="8"/>
    <x v="50"/>
    <x v="50"/>
    <s v="Alusharidus"/>
    <s v="Haridus"/>
    <s v="Vinni lasteaed"/>
    <s v="Korralised med. tõendid"/>
    <n v="200"/>
    <s v="tervise tõend, töötervishoiu arst"/>
    <x v="9"/>
    <s v="Meditsiinikulud ja hügieenitarbed"/>
    <n v="55"/>
    <s v="55"/>
    <x v="0"/>
    <x v="0"/>
    <s v="Põhitegevuse kulu"/>
    <n v="0"/>
  </r>
  <r>
    <x v="8"/>
    <x v="50"/>
    <x v="50"/>
    <s v="Alusharidus"/>
    <s v="Haridus"/>
    <s v="Vinni lasteaed"/>
    <s v="Erialane pedagoogiline kirjandus"/>
    <n v="500"/>
    <n v="0"/>
    <x v="20"/>
    <s v="Õppevahendid"/>
    <n v="55"/>
    <s v="55"/>
    <x v="0"/>
    <x v="0"/>
    <s v="Põhitegevuse kulu"/>
    <n v="0"/>
  </r>
  <r>
    <x v="8"/>
    <x v="50"/>
    <x v="50"/>
    <s v="Alusharidus"/>
    <s v="Haridus"/>
    <s v="Vinni lasteaed"/>
    <s v="Lasteraamatud ja teatmeteosed"/>
    <n v="500"/>
    <n v="0"/>
    <x v="20"/>
    <s v="Õppevahendid"/>
    <n v="55"/>
    <s v="55"/>
    <x v="0"/>
    <x v="0"/>
    <s v="Põhitegevuse kulu"/>
    <n v="0"/>
  </r>
  <r>
    <x v="8"/>
    <x v="50"/>
    <x v="50"/>
    <s v="Alusharidus"/>
    <s v="Haridus"/>
    <s v="Vinni lasteaed"/>
    <s v="Paberid, värvid, pliiatsid, pintslid, liimid,meisterdamis vahendid jne"/>
    <n v="4400"/>
    <n v="0"/>
    <x v="20"/>
    <s v="Õppevahendid"/>
    <n v="55"/>
    <s v="55"/>
    <x v="0"/>
    <x v="0"/>
    <s v="Põhitegevuse kulu"/>
    <n v="0"/>
  </r>
  <r>
    <x v="8"/>
    <x v="50"/>
    <x v="50"/>
    <s v="Alusharidus"/>
    <s v="Haridus"/>
    <s v="Vinni lasteaed"/>
    <s v="Mänguvahendid, õpikud, töövihikud"/>
    <n v="4400"/>
    <n v="0"/>
    <x v="20"/>
    <s v="Õppevahendid"/>
    <n v="55"/>
    <s v="55"/>
    <x v="0"/>
    <x v="0"/>
    <s v="Põhitegevuse kulu"/>
    <n v="0"/>
  </r>
  <r>
    <x v="8"/>
    <x v="50"/>
    <x v="50"/>
    <s v="Alusharidus"/>
    <s v="Haridus"/>
    <s v="Vinni lasteaed"/>
    <s v="Mängupeod, väljasõidud, ühisüritused lastele"/>
    <n v="2000"/>
    <s v="auhinnad, bussi tellimine"/>
    <x v="14"/>
    <s v="Kommunikatsiooni-, kultuuri- ja vaba aja sisustamise kulud"/>
    <n v="55"/>
    <s v="55"/>
    <x v="0"/>
    <x v="0"/>
    <s v="Põhitegevuse kulu"/>
    <n v="0"/>
  </r>
  <r>
    <x v="8"/>
    <x v="50"/>
    <x v="50"/>
    <s v="Alusharidus"/>
    <s v="Haridus"/>
    <s v="Vinni lasteaed"/>
    <s v="Ühisüritused personalile, väljasõidud"/>
    <n v="2000"/>
    <s v="bussi tellimine, ruumide rent"/>
    <x v="14"/>
    <s v="Kommunikatsiooni-, kultuuri- ja vaba aja sisustamise kulud"/>
    <n v="55"/>
    <s v="55"/>
    <x v="0"/>
    <x v="0"/>
    <s v="Põhitegevuse kulu"/>
    <n v="0"/>
  </r>
  <r>
    <x v="8"/>
    <x v="50"/>
    <x v="50"/>
    <s v="Alusharidus"/>
    <s v="Haridus"/>
    <s v="Vinni lasteaed"/>
    <s v="soojus"/>
    <n v="18000"/>
    <s v="Askoterm OÜ"/>
    <x v="4"/>
    <s v="Kinnistute, hoonete ja ruumide majandamiskulud"/>
    <n v="55"/>
    <s v="55"/>
    <x v="0"/>
    <x v="0"/>
    <s v="Põhitegevuse kulu"/>
    <n v="0"/>
  </r>
  <r>
    <x v="8"/>
    <x v="50"/>
    <x v="50"/>
    <s v="Alusharidus"/>
    <s v="Haridus"/>
    <s v="Vinni lasteaed"/>
    <s v="Vesi, kanalisatsioon"/>
    <n v="2500"/>
    <s v="Emajõe Veevärk AS"/>
    <x v="4"/>
    <s v="Kinnistute, hoonete ja ruumide majandamiskulud"/>
    <n v="55"/>
    <s v="55"/>
    <x v="0"/>
    <x v="0"/>
    <s v="Põhitegevuse kulu"/>
    <n v="0"/>
  </r>
  <r>
    <x v="8"/>
    <x v="50"/>
    <x v="50"/>
    <s v="Alusharidus"/>
    <s v="Haridus"/>
    <s v="Vinni lasteaed"/>
    <s v="Elekter"/>
    <n v="6000"/>
    <s v="Eesti Energia AS"/>
    <x v="4"/>
    <s v="Kinnistute, hoonete ja ruumide majandamiskulud"/>
    <n v="55"/>
    <s v="55"/>
    <x v="0"/>
    <x v="0"/>
    <s v="Põhitegevuse kulu"/>
    <n v="0"/>
  </r>
  <r>
    <x v="8"/>
    <x v="50"/>
    <x v="50"/>
    <s v="Alusharidus"/>
    <s v="Haridus"/>
    <s v="Vinni lasteaed"/>
    <s v="Prügi"/>
    <n v="360"/>
    <s v="MTÜ L- Virumaa Jäätmekeskus, Ragnr Sells OÜ"/>
    <x v="4"/>
    <s v="Kinnistute, hoonete ja ruumide majandamiskulud"/>
    <n v="55"/>
    <s v="55"/>
    <x v="0"/>
    <x v="0"/>
    <s v="Põhitegevuse kulu"/>
    <n v="0"/>
  </r>
  <r>
    <x v="8"/>
    <x v="50"/>
    <x v="50"/>
    <s v="Alusharidus"/>
    <s v="Haridus"/>
    <s v="Vinni lasteaed"/>
    <s v="Pesu pesemine"/>
    <n v="1020"/>
    <s v="Pesumaja teenus 85x12"/>
    <x v="4"/>
    <s v="Kinnistute, hoonete ja ruumide majandamiskulud"/>
    <n v="55"/>
    <s v="55"/>
    <x v="0"/>
    <x v="0"/>
    <s v="Põhitegevuse kulu"/>
    <n v="0"/>
  </r>
  <r>
    <x v="8"/>
    <x v="50"/>
    <x v="50"/>
    <s v="Alusharidus"/>
    <s v="Haridus"/>
    <s v="Vinni lasteaed"/>
    <s v="Ats hooldus"/>
    <n v="460"/>
    <s v="U.K.V Grupp OÜ  4x115"/>
    <x v="4"/>
    <s v="Kinnistute, hoonete ja ruumide majandamiskulud"/>
    <n v="55"/>
    <s v="55"/>
    <x v="0"/>
    <x v="0"/>
    <s v="Põhitegevuse kulu"/>
    <n v="0"/>
  </r>
  <r>
    <x v="8"/>
    <x v="50"/>
    <x v="50"/>
    <s v="Alusharidus"/>
    <s v="Haridus"/>
    <s v="Vinni lasteaed"/>
    <s v="Liivafiltri hooldus, rasvakoguja"/>
    <n v="1200"/>
    <s v="Virumaa Veepumbakeskus OÜ, Protectpipe OÜ"/>
    <x v="4"/>
    <s v="Kinnistute, hoonete ja ruumide majandamiskulud"/>
    <n v="55"/>
    <s v="55"/>
    <x v="0"/>
    <x v="0"/>
    <s v="Põhitegevuse kulu"/>
    <n v="0"/>
  </r>
  <r>
    <x v="8"/>
    <x v="50"/>
    <x v="50"/>
    <s v="Alusharidus"/>
    <s v="Haridus"/>
    <s v="Vinni lasteaed"/>
    <s v="Kahjurtõrje"/>
    <n v="192"/>
    <s v="Rentokil OÜ 48x4"/>
    <x v="4"/>
    <s v="Kinnistute, hoonete ja ruumide majandamiskulud"/>
    <n v="55"/>
    <s v="55"/>
    <x v="0"/>
    <x v="0"/>
    <s v="Põhitegevuse kulu"/>
    <n v="0"/>
  </r>
  <r>
    <x v="8"/>
    <x v="50"/>
    <x v="50"/>
    <s v="Alusharidus"/>
    <s v="Haridus"/>
    <s v="Vinni lasteaed"/>
    <s v="Muruniiduk, murutraktor, trimmer"/>
    <n v="200"/>
    <s v="bensiin, remont, damiil"/>
    <x v="4"/>
    <s v="Kinnistute, hoonete ja ruumide majandamiskulud"/>
    <n v="55"/>
    <s v="55"/>
    <x v="0"/>
    <x v="0"/>
    <s v="Põhitegevuse kulu"/>
    <n v="0"/>
  </r>
  <r>
    <x v="8"/>
    <x v="50"/>
    <x v="50"/>
    <s v="Alusharidus"/>
    <s v="Haridus"/>
    <s v="Vinni lasteaed"/>
    <s v="Koristusvahendid, puhastusvahendid, paberid jne"/>
    <n v="4000"/>
    <s v="Puhastusimport OÜ, Kaupmees, Bauhof"/>
    <x v="4"/>
    <s v="Kinnistute, hoonete ja ruumide majandamiskulud"/>
    <n v="55"/>
    <s v="55"/>
    <x v="0"/>
    <x v="0"/>
    <s v="Põhitegevuse kulu"/>
    <n v="0"/>
  </r>
  <r>
    <x v="8"/>
    <x v="50"/>
    <x v="50"/>
    <s v="Alusharidus"/>
    <s v="Haridus"/>
    <s v="Vinni lasteaed"/>
    <s v="Jooksev remont-santehniline töö, turvavalgustus, mänguväljak jne"/>
    <n v="3000"/>
    <s v="materjalid, töö"/>
    <x v="4"/>
    <s v="Kinnistute, hoonete ja ruumide majandamiskulud"/>
    <n v="55"/>
    <s v="55"/>
    <x v="0"/>
    <x v="0"/>
    <s v="Põhitegevuse kulu"/>
    <n v="0"/>
  </r>
  <r>
    <x v="8"/>
    <x v="50"/>
    <x v="50"/>
    <s v="Alusharidus"/>
    <s v="Haridus"/>
    <s v="Vinni lasteaed"/>
    <s v="Eliis, Anc programm"/>
    <n v="850"/>
    <n v="0"/>
    <x v="5"/>
    <s v="Info- ja kommunikatsioonitehnoliigised kulud"/>
    <n v="55"/>
    <s v="55"/>
    <x v="0"/>
    <x v="0"/>
    <s v="Põhitegevuse kulu"/>
    <n v="0"/>
  </r>
  <r>
    <x v="8"/>
    <x v="50"/>
    <x v="50"/>
    <s v="Alusharidus"/>
    <s v="Haridus"/>
    <s v="Vinni lasteaed"/>
    <s v="Arvutiprogrammid, hooldused"/>
    <n v="350"/>
    <s v="viirusetõrje 10x25, dropbox"/>
    <x v="5"/>
    <s v="Info- ja kommunikatsioonitehnoliigised kulud"/>
    <n v="55"/>
    <s v="55"/>
    <x v="0"/>
    <x v="0"/>
    <s v="Põhitegevuse kulu"/>
    <n v="0"/>
  </r>
  <r>
    <x v="8"/>
    <x v="50"/>
    <x v="50"/>
    <s v="Alusharidus"/>
    <s v="Haridus"/>
    <s v="Vinni lasteaed"/>
    <s v="Remont"/>
    <n v="200"/>
    <n v="0"/>
    <x v="5"/>
    <s v="Info- ja kommunikatsioonitehnoliigised kulud"/>
    <n v="55"/>
    <s v="55"/>
    <x v="0"/>
    <x v="0"/>
    <s v="Põhitegevuse kulu"/>
    <n v="0"/>
  </r>
  <r>
    <x v="8"/>
    <x v="50"/>
    <x v="50"/>
    <s v="Alusharidus"/>
    <s v="Haridus"/>
    <s v="Vinni lasteaed"/>
    <s v="Mõisa kiviaed +tööriistakuur"/>
    <n v="5000"/>
    <s v="VALLA ETTEPANEK"/>
    <x v="4"/>
    <s v="Kinnistute, hoonete ja ruumide majandamiskulud"/>
    <n v="55"/>
    <s v="55"/>
    <x v="0"/>
    <x v="0"/>
    <s v="Põhitegevuse kulu"/>
    <n v="0"/>
  </r>
  <r>
    <x v="8"/>
    <x v="50"/>
    <x v="50"/>
    <s v="Alusharidus"/>
    <s v="Haridus"/>
    <s v="Vinni lasteaed"/>
    <s v="Kiige tn poolne trepp"/>
    <n v="500"/>
    <s v="materjali kulu"/>
    <x v="4"/>
    <s v="Kinnistute, hoonete ja ruumide majandamiskulud"/>
    <n v="55"/>
    <s v="55"/>
    <x v="0"/>
    <x v="0"/>
    <s v="Põhitegevuse kulu"/>
    <n v="0"/>
  </r>
  <r>
    <x v="8"/>
    <x v="51"/>
    <x v="51"/>
    <s v="Alusharidus"/>
    <s v="Haridus"/>
    <s v="Pajusti lasteaed"/>
    <s v="telefonid ja internet"/>
    <n v="760"/>
    <n v="0"/>
    <x v="0"/>
    <s v="Administreerimiskulud"/>
    <n v="55"/>
    <s v="55"/>
    <x v="0"/>
    <x v="0"/>
    <s v="Põhitegevuse kulu"/>
    <n v="0"/>
  </r>
  <r>
    <x v="8"/>
    <x v="51"/>
    <x v="51"/>
    <s v="Alusharidus"/>
    <s v="Haridus"/>
    <s v="Pajusti lasteaed"/>
    <s v="mobiil"/>
    <n v="25"/>
    <n v="0"/>
    <x v="0"/>
    <s v="Administreerimiskulud"/>
    <n v="55"/>
    <s v="55"/>
    <x v="0"/>
    <x v="0"/>
    <s v="Põhitegevuse kulu"/>
    <n v="0"/>
  </r>
  <r>
    <x v="8"/>
    <x v="51"/>
    <x v="51"/>
    <s v="Alusharidus"/>
    <s v="Haridus"/>
    <s v="Pajusti lasteaed"/>
    <s v="kuulutused/ postikulu"/>
    <n v="60"/>
    <n v="0"/>
    <x v="0"/>
    <s v="Administreerimiskulud"/>
    <n v="55"/>
    <s v="55"/>
    <x v="0"/>
    <x v="0"/>
    <s v="Põhitegevuse kulu"/>
    <n v="0"/>
  </r>
  <r>
    <x v="8"/>
    <x v="51"/>
    <x v="51"/>
    <s v="Alusharidus"/>
    <s v="Haridus"/>
    <s v="Pajusti lasteaed"/>
    <s v="printerite tahmad"/>
    <n v="500"/>
    <n v="0"/>
    <x v="0"/>
    <s v="Administreerimiskulud"/>
    <n v="55"/>
    <s v="55"/>
    <x v="0"/>
    <x v="0"/>
    <s v="Põhitegevuse kulu"/>
    <n v="0"/>
  </r>
  <r>
    <x v="8"/>
    <x v="51"/>
    <x v="51"/>
    <s v="Alusharidus"/>
    <s v="Haridus"/>
    <s v="Pajusti lasteaed"/>
    <s v="Koolitused"/>
    <n v="300"/>
    <n v="0"/>
    <x v="2"/>
    <s v="Koolituskulud"/>
    <n v="55"/>
    <s v="55"/>
    <x v="0"/>
    <x v="0"/>
    <s v="Põhitegevuse kulu"/>
    <n v="0"/>
  </r>
  <r>
    <x v="8"/>
    <x v="51"/>
    <x v="51"/>
    <s v="Alusharidus"/>
    <s v="Haridus"/>
    <s v="Pajusti lasteaed"/>
    <s v="isikliku sõiduauto kasutus"/>
    <n v="704"/>
    <s v="64.- x 11 kuud"/>
    <x v="3"/>
    <s v="Sõidukite ülalpidamise kulud"/>
    <n v="55"/>
    <s v="55"/>
    <x v="0"/>
    <x v="0"/>
    <s v="Põhitegevuse kulu"/>
    <n v="0"/>
  </r>
  <r>
    <x v="8"/>
    <x v="51"/>
    <x v="51"/>
    <s v="Alusharidus"/>
    <s v="Haridus"/>
    <s v="Pajusti lasteaed"/>
    <s v="rulood 2 rühma"/>
    <n v="600"/>
    <n v="0"/>
    <x v="8"/>
    <s v="Inventari kulud, v.a infotehnoloogia ja kaitseotstarbelised kulud"/>
    <n v="55"/>
    <s v="55"/>
    <x v="0"/>
    <x v="0"/>
    <s v="Põhitegevuse kulu"/>
    <n v="0"/>
  </r>
  <r>
    <x v="8"/>
    <x v="51"/>
    <x v="51"/>
    <s v="Alusharidus"/>
    <s v="Haridus"/>
    <s v="Pajusti lasteaed"/>
    <s v="klaveri häälestamine"/>
    <n v="140"/>
    <n v="0"/>
    <x v="8"/>
    <s v="Inventari kulud, v.a infotehnoloogia ja kaitseotstarbelised kulud"/>
    <n v="55"/>
    <s v="55"/>
    <x v="0"/>
    <x v="0"/>
    <s v="Põhitegevuse kulu"/>
    <n v="0"/>
  </r>
  <r>
    <x v="8"/>
    <x v="51"/>
    <x v="51"/>
    <s v="Alusharidus"/>
    <s v="Haridus"/>
    <s v="Pajusti lasteaed"/>
    <s v="toiduained "/>
    <n v="6500"/>
    <s v="5483 toidupäeva (so 55%) x1.15"/>
    <x v="19"/>
    <s v="Toiduained ja toitlustusteenused"/>
    <n v="55"/>
    <s v="55"/>
    <x v="0"/>
    <x v="0"/>
    <s v="Põhitegevuse kulu"/>
    <n v="0"/>
  </r>
  <r>
    <x v="8"/>
    <x v="51"/>
    <x v="51"/>
    <s v="Alusharidus"/>
    <s v="Haridus"/>
    <s v="Pajusti lasteaed"/>
    <s v="töötajate tervisetõendid, esmaabivahendid"/>
    <n v="80"/>
    <n v="0"/>
    <x v="9"/>
    <s v="Meditsiinikulud ja hügieenitarbed"/>
    <n v="55"/>
    <s v="55"/>
    <x v="0"/>
    <x v="0"/>
    <s v="Põhitegevuse kulu"/>
    <n v="0"/>
  </r>
  <r>
    <x v="8"/>
    <x v="51"/>
    <x v="51"/>
    <s v="Alusharidus"/>
    <s v="Haridus"/>
    <s v="Pajusti lasteaed"/>
    <s v="töövihikud, raamatud, mänguasjad, metoodilised vahendid ja kirjandus"/>
    <n v="4800"/>
    <n v="0"/>
    <x v="20"/>
    <s v="Õppevahendid"/>
    <n v="55"/>
    <s v="55"/>
    <x v="0"/>
    <x v="0"/>
    <s v="Põhitegevuse kulu"/>
    <n v="0"/>
  </r>
  <r>
    <x v="8"/>
    <x v="51"/>
    <x v="51"/>
    <s v="Alusharidus"/>
    <s v="Haridus"/>
    <s v="Pajusti lasteaed"/>
    <s v="üritused"/>
    <n v="200"/>
    <n v="0"/>
    <x v="14"/>
    <s v="Kommunikatsiooni-, kultuuri- ja vaba aja sisustamise kulud"/>
    <n v="55"/>
    <s v="55"/>
    <x v="0"/>
    <x v="0"/>
    <s v="Põhitegevuse kulu"/>
    <n v="0"/>
  </r>
  <r>
    <x v="8"/>
    <x v="51"/>
    <x v="51"/>
    <s v="Alusharidus"/>
    <s v="Haridus"/>
    <s v="Pajusti lasteaed"/>
    <s v="laste õppereisid"/>
    <n v="350"/>
    <n v="0"/>
    <x v="14"/>
    <s v="Kommunikatsiooni-, kultuuri- ja vaba aja sisustamise kulud"/>
    <n v="55"/>
    <s v="55"/>
    <x v="0"/>
    <x v="0"/>
    <s v="Põhitegevuse kulu"/>
    <n v="0"/>
  </r>
  <r>
    <x v="8"/>
    <x v="51"/>
    <x v="51"/>
    <s v="Alusharidus"/>
    <s v="Haridus"/>
    <s v="Pajusti lasteaed"/>
    <s v="küte"/>
    <n v="6951"/>
    <s v="77,2x90MVH"/>
    <x v="4"/>
    <s v="Kinnistute, hoonete ja ruumide majandamiskulud"/>
    <n v="55"/>
    <s v="55"/>
    <x v="0"/>
    <x v="0"/>
    <s v="Põhitegevuse kulu"/>
    <n v="0"/>
  </r>
  <r>
    <x v="8"/>
    <x v="51"/>
    <x v="51"/>
    <s v="Alusharidus"/>
    <s v="Haridus"/>
    <s v="Pajusti lasteaed"/>
    <s v="elekter"/>
    <n v="2860"/>
    <s v="2018.a.+ 10%"/>
    <x v="4"/>
    <s v="Kinnistute, hoonete ja ruumide majandamiskulud"/>
    <n v="55"/>
    <s v="55"/>
    <x v="0"/>
    <x v="0"/>
    <s v="Põhitegevuse kulu"/>
    <n v="0"/>
  </r>
  <r>
    <x v="8"/>
    <x v="51"/>
    <x v="51"/>
    <s v="Alusharidus"/>
    <s v="Haridus"/>
    <s v="Pajusti lasteaed"/>
    <s v="vesi ja kanalisatsioon"/>
    <n v="927"/>
    <s v="2,376 eur x 390m3"/>
    <x v="4"/>
    <s v="Kinnistute, hoonete ja ruumide majandamiskulud"/>
    <n v="55"/>
    <s v="55"/>
    <x v="0"/>
    <x v="0"/>
    <s v="Põhitegevuse kulu"/>
    <n v="0"/>
  </r>
  <r>
    <x v="8"/>
    <x v="51"/>
    <x v="51"/>
    <s v="Alusharidus"/>
    <s v="Haridus"/>
    <s v="Pajusti lasteaed"/>
    <s v="korrashoiuvahendid"/>
    <n v="1300"/>
    <s v="puhastusvahendid, lapid, mopid, paber"/>
    <x v="4"/>
    <s v="Kinnistute, hoonete ja ruumide majandamiskulud"/>
    <n v="55"/>
    <s v="55"/>
    <x v="0"/>
    <x v="0"/>
    <s v="Põhitegevuse kulu"/>
    <n v="0"/>
  </r>
  <r>
    <x v="8"/>
    <x v="51"/>
    <x v="51"/>
    <s v="Alusharidus"/>
    <s v="Haridus"/>
    <s v="Pajusti lasteaed"/>
    <s v="ATS hooldus"/>
    <n v="184"/>
    <s v="46x 4 kvartalit"/>
    <x v="4"/>
    <s v="Kinnistute, hoonete ja ruumide majandamiskulud"/>
    <n v="55"/>
    <s v="55"/>
    <x v="0"/>
    <x v="0"/>
    <s v="Põhitegevuse kulu"/>
    <n v="0"/>
  </r>
  <r>
    <x v="8"/>
    <x v="51"/>
    <x v="51"/>
    <s v="Alusharidus"/>
    <s v="Haridus"/>
    <s v="Pajusti lasteaed"/>
    <s v="pesupesemise teenus"/>
    <n v="540"/>
    <s v="45x 12 korda"/>
    <x v="4"/>
    <s v="Kinnistute, hoonete ja ruumide majandamiskulud"/>
    <n v="55"/>
    <s v="55"/>
    <x v="0"/>
    <x v="0"/>
    <s v="Põhitegevuse kulu"/>
    <n v="0"/>
  </r>
  <r>
    <x v="8"/>
    <x v="51"/>
    <x v="51"/>
    <s v="Alusharidus"/>
    <s v="Haridus"/>
    <s v="Pajusti lasteaed"/>
    <s v="kanal.pumpade hooldus"/>
    <n v="240"/>
    <s v="60x 4 korda aastas"/>
    <x v="4"/>
    <s v="Kinnistute, hoonete ja ruumide majandamiskulud"/>
    <n v="55"/>
    <s v="55"/>
    <x v="0"/>
    <x v="0"/>
    <s v="Põhitegevuse kulu"/>
    <n v="0"/>
  </r>
  <r>
    <x v="8"/>
    <x v="51"/>
    <x v="51"/>
    <s v="Alusharidus"/>
    <s v="Haridus"/>
    <s v="Pajusti lasteaed"/>
    <s v="prügivedu ja konteineri rent"/>
    <n v="117"/>
    <s v="R-S 3.86 J 5.84x12 kuud"/>
    <x v="4"/>
    <s v="Kinnistute, hoonete ja ruumide majandamiskulud"/>
    <n v="55"/>
    <s v="55"/>
    <x v="0"/>
    <x v="0"/>
    <s v="Põhitegevuse kulu"/>
    <n v="0"/>
  </r>
  <r>
    <x v="8"/>
    <x v="51"/>
    <x v="51"/>
    <s v="Alusharidus"/>
    <s v="Haridus"/>
    <s v="Pajusti lasteaed"/>
    <s v="ELIIS"/>
    <n v="260"/>
    <n v="0"/>
    <x v="5"/>
    <s v="Info- ja kommunikatsioonitehnoliigised kulud"/>
    <n v="55"/>
    <s v="55"/>
    <x v="0"/>
    <x v="0"/>
    <s v="Põhitegevuse kulu"/>
    <n v="0"/>
  </r>
  <r>
    <x v="8"/>
    <x v="51"/>
    <x v="51"/>
    <s v="Alusharidus"/>
    <s v="Haridus"/>
    <s v="Pajusti lasteaed"/>
    <s v="hooldused, remont, varuosad"/>
    <n v="120"/>
    <n v="0"/>
    <x v="5"/>
    <s v="Info- ja kommunikatsioonitehnoliigised kulud"/>
    <n v="55"/>
    <s v="55"/>
    <x v="0"/>
    <x v="0"/>
    <s v="Põhitegevuse kulu"/>
    <n v="0"/>
  </r>
  <r>
    <x v="8"/>
    <x v="51"/>
    <x v="51"/>
    <s v="Alusharidus"/>
    <s v="Haridus"/>
    <s v="Pajusti lasteaed"/>
    <s v="Korrashoiu- ja puhastusvahendid"/>
    <n v="967"/>
    <n v="0"/>
    <x v="4"/>
    <s v="Kinnistute, hoonete ja ruumide majandamiskulud"/>
    <n v="55"/>
    <s v="55"/>
    <x v="0"/>
    <x v="0"/>
    <s v="Põhitegevuse kulu"/>
    <n v="0"/>
  </r>
  <r>
    <x v="8"/>
    <x v="51"/>
    <x v="51"/>
    <s v="Alusharidus"/>
    <s v="Haridus"/>
    <s v="Pajusti lasteaed"/>
    <s v="Mänguväljaku rajamine"/>
    <n v="5500"/>
    <n v="0"/>
    <x v="4"/>
    <s v="Kinnistute, hoonete ja ruumide majandamiskulud"/>
    <n v="55"/>
    <s v="55"/>
    <x v="0"/>
    <x v="0"/>
    <s v="Põhitegevuse kulu"/>
    <n v="0"/>
  </r>
  <r>
    <x v="8"/>
    <x v="52"/>
    <x v="52"/>
    <s v="Alusharidus"/>
    <s v="Haridus"/>
    <s v="Kulina lasteaed"/>
    <s v="telefon ja internet"/>
    <n v="650"/>
    <s v="Elion"/>
    <x v="0"/>
    <s v="Administreerimiskulud"/>
    <n v="55"/>
    <s v="55"/>
    <x v="0"/>
    <x v="0"/>
    <s v="Põhitegevuse kulu"/>
    <n v="0"/>
  </r>
  <r>
    <x v="8"/>
    <x v="52"/>
    <x v="52"/>
    <s v="Alusharidus"/>
    <s v="Haridus"/>
    <s v="Kulina lasteaed"/>
    <s v="kantseleikaup"/>
    <n v="100"/>
    <s v="koopiapaber, kilekaaned jms"/>
    <x v="0"/>
    <s v="Administreerimiskulud"/>
    <n v="55"/>
    <s v="55"/>
    <x v="0"/>
    <x v="0"/>
    <s v="Põhitegevuse kulu"/>
    <n v="0"/>
  </r>
  <r>
    <x v="8"/>
    <x v="52"/>
    <x v="52"/>
    <s v="Alusharidus"/>
    <s v="Haridus"/>
    <s v="Kulina lasteaed"/>
    <s v="printeritahm"/>
    <n v="120"/>
    <n v="0"/>
    <x v="0"/>
    <s v="Administreerimiskulud"/>
    <n v="55"/>
    <s v="55"/>
    <x v="0"/>
    <x v="0"/>
    <s v="Põhitegevuse kulu"/>
    <n v="0"/>
  </r>
  <r>
    <x v="8"/>
    <x v="52"/>
    <x v="52"/>
    <s v="Alusharidus"/>
    <s v="Haridus"/>
    <s v="Kulina lasteaed"/>
    <s v="liikmemaks"/>
    <n v="16"/>
    <s v="L-Viru Haridusjuhtide Liit"/>
    <x v="0"/>
    <s v="Administreerimiskulud"/>
    <n v="55"/>
    <s v="55"/>
    <x v="0"/>
    <x v="0"/>
    <s v="Põhitegevuse kulu"/>
    <n v="0"/>
  </r>
  <r>
    <x v="8"/>
    <x v="52"/>
    <x v="52"/>
    <s v="Alusharidus"/>
    <s v="Haridus"/>
    <s v="Kulina lasteaed"/>
    <s v="Haridus 2019"/>
    <n v="25"/>
    <s v="aasta tellimus"/>
    <x v="0"/>
    <s v="Administreerimiskulud"/>
    <n v="55"/>
    <s v="55"/>
    <x v="0"/>
    <x v="0"/>
    <s v="Põhitegevuse kulu"/>
    <n v="0"/>
  </r>
  <r>
    <x v="8"/>
    <x v="52"/>
    <x v="52"/>
    <s v="Alusharidus"/>
    <s v="Haridus"/>
    <s v="Kulina lasteaed"/>
    <s v="Eliis"/>
    <n v="288"/>
    <s v="24*12 "/>
    <x v="0"/>
    <s v="Administreerimiskulud"/>
    <n v="55"/>
    <s v="55"/>
    <x v="0"/>
    <x v="0"/>
    <s v="Põhitegevuse kulu"/>
    <n v="0"/>
  </r>
  <r>
    <x v="8"/>
    <x v="52"/>
    <x v="52"/>
    <s v="Alusharidus"/>
    <s v="Haridus"/>
    <s v="Kulina lasteaed"/>
    <s v="Õpetajate leht"/>
    <n v="28"/>
    <s v="aastatellimus"/>
    <x v="0"/>
    <s v="Administreerimiskulud"/>
    <n v="55"/>
    <s v="55"/>
    <x v="0"/>
    <x v="0"/>
    <s v="Põhitegevuse kulu"/>
    <n v="0"/>
  </r>
  <r>
    <x v="8"/>
    <x v="52"/>
    <x v="52"/>
    <s v="Alusharidus"/>
    <s v="Haridus"/>
    <s v="Kulina lasteaed"/>
    <s v="Täheke"/>
    <n v="18"/>
    <s v="aastatellimus"/>
    <x v="0"/>
    <s v="Administreerimiskulud"/>
    <n v="55"/>
    <s v="55"/>
    <x v="0"/>
    <x v="0"/>
    <s v="Põhitegevuse kulu"/>
    <n v="0"/>
  </r>
  <r>
    <x v="8"/>
    <x v="52"/>
    <x v="52"/>
    <s v="Alusharidus"/>
    <s v="Haridus"/>
    <s v="Kulina lasteaed"/>
    <s v="koolituste plaan"/>
    <n v="504"/>
    <n v="0"/>
    <x v="2"/>
    <s v="Koolituskulud"/>
    <n v="55"/>
    <s v="55"/>
    <x v="0"/>
    <x v="0"/>
    <s v="Põhitegevuse kulu"/>
    <n v="0"/>
  </r>
  <r>
    <x v="8"/>
    <x v="52"/>
    <x v="52"/>
    <s v="Alusharidus"/>
    <s v="Haridus"/>
    <s v="Kulina lasteaed"/>
    <s v="Esmaabi"/>
    <n v="165"/>
    <n v="0"/>
    <x v="2"/>
    <s v="Koolituskulud"/>
    <n v="55"/>
    <s v="55"/>
    <x v="0"/>
    <x v="0"/>
    <s v="Põhitegevuse kulu"/>
    <n v="0"/>
  </r>
  <r>
    <x v="8"/>
    <x v="52"/>
    <x v="52"/>
    <s v="Alusharidus"/>
    <s v="Haridus"/>
    <s v="Kulina lasteaed"/>
    <s v="Isikliku sõiduauto komp."/>
    <n v="1430"/>
    <s v="130*11 isikliku sõiduauto kasutamine"/>
    <x v="3"/>
    <s v="Sõidukite ülalpidamise kulud"/>
    <n v="55"/>
    <s v="55"/>
    <x v="0"/>
    <x v="0"/>
    <s v="Põhitegevuse kulu"/>
    <n v="0"/>
  </r>
  <r>
    <x v="8"/>
    <x v="52"/>
    <x v="52"/>
    <s v="Alusharidus"/>
    <s v="Haridus"/>
    <s v="Kulina lasteaed"/>
    <s v="paberipurustaja"/>
    <n v="250"/>
    <s v="andmekaitse"/>
    <x v="8"/>
    <s v="Inventari kulud, v.a infotehnoloogia ja kaitseotstarbelised kulud"/>
    <n v="55"/>
    <s v="55"/>
    <x v="0"/>
    <x v="0"/>
    <s v="Põhitegevuse kulu"/>
    <n v="0"/>
  </r>
  <r>
    <x v="8"/>
    <x v="52"/>
    <x v="52"/>
    <s v="Alusharidus"/>
    <s v="Haridus"/>
    <s v="Kulina lasteaed"/>
    <s v="mängunurga köögimööbel"/>
    <n v="350"/>
    <s v="mesimuumu rühma mängunurk"/>
    <x v="8"/>
    <s v="Inventari kulud, v.a infotehnoloogia ja kaitseotstarbelised kulud"/>
    <n v="55"/>
    <s v="55"/>
    <x v="0"/>
    <x v="0"/>
    <s v="Põhitegevuse kulu"/>
    <n v="0"/>
  </r>
  <r>
    <x v="8"/>
    <x v="52"/>
    <x v="52"/>
    <s v="Alusharidus"/>
    <s v="Haridus"/>
    <s v="Kulina lasteaed"/>
    <s v="muusikaesitaja"/>
    <n v="300"/>
    <s v="et mängiks mp3 formaati, võimendusega ühildatav-muusikaõpetaja"/>
    <x v="8"/>
    <s v="Inventari kulud, v.a infotehnoloogia ja kaitseotstarbelised kulud"/>
    <n v="55"/>
    <s v="55"/>
    <x v="0"/>
    <x v="0"/>
    <s v="Põhitegevuse kulu"/>
    <n v="0"/>
  </r>
  <r>
    <x v="8"/>
    <x v="52"/>
    <x v="52"/>
    <s v="Alusharidus"/>
    <s v="Haridus"/>
    <s v="Kulina lasteaed"/>
    <s v="vaip 1,35*1,7"/>
    <n v="80"/>
    <s v="mesimummurühma mängunurk"/>
    <x v="8"/>
    <s v="Inventari kulud, v.a infotehnoloogia ja kaitseotstarbelised kulud"/>
    <n v="55"/>
    <s v="55"/>
    <x v="0"/>
    <x v="0"/>
    <s v="Põhitegevuse kulu"/>
    <n v="0"/>
  </r>
  <r>
    <x v="8"/>
    <x v="52"/>
    <x v="52"/>
    <s v="Alusharidus"/>
    <s v="Haridus"/>
    <s v="Kulina lasteaed"/>
    <s v="magnettahvel"/>
    <n v="75"/>
    <s v="mesimummu rühm"/>
    <x v="8"/>
    <s v="Inventari kulud, v.a infotehnoloogia ja kaitseotstarbelised kulud"/>
    <n v="55"/>
    <s v="55"/>
    <x v="0"/>
    <x v="0"/>
    <s v="Põhitegevuse kulu"/>
    <n v="0"/>
  </r>
  <r>
    <x v="8"/>
    <x v="52"/>
    <x v="52"/>
    <s v="Alusharidus"/>
    <s v="Haridus"/>
    <s v="Kulina lasteaed"/>
    <s v="liivakast 3000mm*3000mm"/>
    <n v="250"/>
    <s v="Lepatriinu rühm, ilmastikukindel, taaskasutatavast plastmaterjalist, kaetav-praegune liivakastiraam lagunev"/>
    <x v="8"/>
    <s v="Inventari kulud, v.a infotehnoloogia ja kaitseotstarbelised kulud"/>
    <n v="55"/>
    <s v="55"/>
    <x v="0"/>
    <x v="0"/>
    <s v="Põhitegevuse kulu"/>
    <n v="0"/>
  </r>
  <r>
    <x v="8"/>
    <x v="52"/>
    <x v="52"/>
    <s v="Alusharidus"/>
    <s v="Haridus"/>
    <s v="Kulina lasteaed"/>
    <s v="toitlustamine"/>
    <n v="6200"/>
    <s v="toidupäevade arv*lastearv*toidupäevamaksumus-30%, kokandustunnid 2 korda kuus  rühmades"/>
    <x v="19"/>
    <s v="Toiduained ja toitlustusteenused"/>
    <n v="55"/>
    <s v="55"/>
    <x v="0"/>
    <x v="0"/>
    <s v="Põhitegevuse kulu"/>
    <n v="0"/>
  </r>
  <r>
    <x v="8"/>
    <x v="52"/>
    <x v="52"/>
    <s v="Alusharidus"/>
    <s v="Haridus"/>
    <s v="Kulina lasteaed"/>
    <s v="tervisekontroll"/>
    <n v="120"/>
    <s v="(orienteeruv summa) TTOSt tulev kohustus-kokk"/>
    <x v="9"/>
    <s v="Meditsiinikulud ja hügieenitarbed"/>
    <n v="55"/>
    <s v="55"/>
    <x v="0"/>
    <x v="0"/>
    <s v="Põhitegevuse kulu"/>
    <n v="0"/>
  </r>
  <r>
    <x v="8"/>
    <x v="52"/>
    <x v="52"/>
    <s v="Alusharidus"/>
    <s v="Haridus"/>
    <s v="Kulina lasteaed"/>
    <s v="õppevahendid"/>
    <n v="1700"/>
    <s v="kunstitarbed, õppemängud, mänguasjad, õppematerjal, metoodiline kirjandus jms"/>
    <x v="20"/>
    <s v="Õppevahendid"/>
    <n v="55"/>
    <s v="55"/>
    <x v="0"/>
    <x v="0"/>
    <s v="Põhitegevuse kulu"/>
    <n v="0"/>
  </r>
  <r>
    <x v="8"/>
    <x v="52"/>
    <x v="52"/>
    <s v="Alusharidus"/>
    <s v="Haridus"/>
    <s v="Kulina lasteaed"/>
    <s v="Matatalab, ozobot"/>
    <n v="740"/>
    <s v="robootikaseadmed, võimalusel taotleme kevadel projektirahasid, kus omafinantseering 15% taotletud summast"/>
    <x v="20"/>
    <s v="Õppevahendid"/>
    <n v="55"/>
    <s v="55"/>
    <x v="0"/>
    <x v="0"/>
    <s v="Põhitegevuse kulu"/>
    <n v="0"/>
  </r>
  <r>
    <x v="8"/>
    <x v="52"/>
    <x v="52"/>
    <s v="Alusharidus"/>
    <s v="Haridus"/>
    <s v="Kulina lasteaed"/>
    <s v="õppekäigud"/>
    <n v="500"/>
    <s v="õppekäigud, ekskursioon, jõulupidu, lõpupidu, lasteaia sünnipäev"/>
    <x v="14"/>
    <s v="Kommunikatsiooni-, kultuuri- ja vaba aja sisustamise kulud"/>
    <n v="55"/>
    <s v="55"/>
    <x v="0"/>
    <x v="0"/>
    <s v="Põhitegevuse kulu"/>
    <n v="0"/>
  </r>
  <r>
    <x v="8"/>
    <x v="52"/>
    <x v="52"/>
    <s v="Alusharidus"/>
    <s v="Haridus"/>
    <s v="Kulina lasteaed"/>
    <s v="elekter"/>
    <n v="6000"/>
    <s v="keskmine tarbimine 30860KWhx0,11652 euri kwh"/>
    <x v="4"/>
    <s v="Kinnistute, hoonete ja ruumide majandamiskulud"/>
    <n v="55"/>
    <s v="55"/>
    <x v="0"/>
    <x v="0"/>
    <s v="Põhitegevuse kulu"/>
    <n v="0"/>
  </r>
  <r>
    <x v="8"/>
    <x v="52"/>
    <x v="52"/>
    <s v="Alusharidus"/>
    <s v="Haridus"/>
    <s v="Kulina lasteaed"/>
    <s v="vesi-ja kanalisatsioon"/>
    <n v="360"/>
    <s v="Emajõe Veevärk"/>
    <x v="4"/>
    <s v="Kinnistute, hoonete ja ruumide majandamiskulud"/>
    <n v="55"/>
    <s v="55"/>
    <x v="0"/>
    <x v="0"/>
    <s v="Põhitegevuse kulu"/>
    <n v="0"/>
  </r>
  <r>
    <x v="8"/>
    <x v="52"/>
    <x v="52"/>
    <s v="Alusharidus"/>
    <s v="Haridus"/>
    <s v="Kulina lasteaed"/>
    <s v="Korrashoiuvahendid"/>
    <n v="600"/>
    <s v="puhastusvahendid, tarvikud, WC paber jms"/>
    <x v="4"/>
    <s v="Kinnistute, hoonete ja ruumide majandamiskulud"/>
    <n v="55"/>
    <s v="55"/>
    <x v="0"/>
    <x v="0"/>
    <s v="Põhitegevuse kulu"/>
    <n v="0"/>
  </r>
  <r>
    <x v="8"/>
    <x v="52"/>
    <x v="52"/>
    <s v="Alusharidus"/>
    <s v="Haridus"/>
    <s v="Kulina lasteaed"/>
    <s v="prügi"/>
    <n v="160"/>
    <s v="L-Viru Jäätmekeskus (6,56*12)+ ohtlikud jäätmed jms"/>
    <x v="4"/>
    <s v="Kinnistute, hoonete ja ruumide majandamiskulud"/>
    <n v="55"/>
    <s v="55"/>
    <x v="0"/>
    <x v="0"/>
    <s v="Põhitegevuse kulu"/>
    <n v="0"/>
  </r>
  <r>
    <x v="8"/>
    <x v="52"/>
    <x v="52"/>
    <s v="Alusharidus"/>
    <s v="Haridus"/>
    <s v="Kulina lasteaed"/>
    <s v="ATS hooldus"/>
    <n v="276"/>
    <s v="U.K.V.Grupp kord kvartalis"/>
    <x v="4"/>
    <s v="Kinnistute, hoonete ja ruumide majandamiskulud"/>
    <n v="55"/>
    <s v="55"/>
    <x v="0"/>
    <x v="0"/>
    <s v="Põhitegevuse kulu"/>
    <n v="0"/>
  </r>
  <r>
    <x v="8"/>
    <x v="52"/>
    <x v="52"/>
    <s v="Alusharidus"/>
    <s v="Haridus"/>
    <s v="Kulina lasteaed"/>
    <s v="Turvavalgustus, elektritööd"/>
    <n v="145"/>
    <s v="E.Ilves"/>
    <x v="4"/>
    <s v="Kinnistute, hoonete ja ruumide majandamiskulud"/>
    <n v="55"/>
    <s v="55"/>
    <x v="0"/>
    <x v="0"/>
    <s v="Põhitegevuse kulu"/>
    <n v="0"/>
  </r>
  <r>
    <x v="8"/>
    <x v="52"/>
    <x v="52"/>
    <s v="Alusharidus"/>
    <s v="Haridus"/>
    <s v="Kulina lasteaed"/>
    <s v="Puhastussool veefiltrile"/>
    <n v="110"/>
    <s v="FEB AS"/>
    <x v="4"/>
    <s v="Kinnistute, hoonete ja ruumide majandamiskulud"/>
    <n v="55"/>
    <s v="55"/>
    <x v="0"/>
    <x v="0"/>
    <s v="Põhitegevuse kulu"/>
    <n v="0"/>
  </r>
  <r>
    <x v="8"/>
    <x v="52"/>
    <x v="52"/>
    <s v="Alusharidus"/>
    <s v="Haridus"/>
    <s v="Kulina lasteaed"/>
    <s v="maakütte aastane hooldus"/>
    <n v="690"/>
    <s v="TJ Hooldus OÜ"/>
    <x v="4"/>
    <s v="Kinnistute, hoonete ja ruumide majandamiskulud"/>
    <n v="55"/>
    <s v="55"/>
    <x v="0"/>
    <x v="0"/>
    <s v="Põhitegevuse kulu"/>
    <n v="0"/>
  </r>
  <r>
    <x v="8"/>
    <x v="52"/>
    <x v="52"/>
    <s v="Alusharidus"/>
    <s v="Haridus"/>
    <s v="Kulina lasteaed"/>
    <s v="muruniitmine"/>
    <n v="120"/>
    <s v="õli, bensiin, hooldus"/>
    <x v="4"/>
    <s v="Kinnistute, hoonete ja ruumide majandamiskulud"/>
    <n v="55"/>
    <s v="55"/>
    <x v="0"/>
    <x v="0"/>
    <s v="Põhitegevuse kulu"/>
    <n v="0"/>
  </r>
  <r>
    <x v="8"/>
    <x v="52"/>
    <x v="52"/>
    <s v="Alusharidus"/>
    <s v="Haridus"/>
    <s v="Kulina lasteaed"/>
    <s v="paviljonide korrastamine"/>
    <n v="200"/>
    <s v="tasandusegu põrandaaukude parandamiseks, värvid"/>
    <x v="4"/>
    <s v="Kinnistute, hoonete ja ruumide majandamiskulud"/>
    <n v="55"/>
    <s v="55"/>
    <x v="0"/>
    <x v="0"/>
    <s v="Põhitegevuse kulu"/>
    <n v="0"/>
  </r>
  <r>
    <x v="8"/>
    <x v="52"/>
    <x v="52"/>
    <s v="Alusharidus"/>
    <s v="Haridus"/>
    <s v="Kulina lasteaed"/>
    <s v="rulood"/>
    <n v="975"/>
    <s v="Lepatriinu rühma magamistuba, praegused rulood osaliselt katki, kinnitusklambrid muutunud rabedaks"/>
    <x v="4"/>
    <s v="Kinnistute, hoonete ja ruumide majandamiskulud"/>
    <n v="55"/>
    <s v="55"/>
    <x v="0"/>
    <x v="0"/>
    <s v="Põhitegevuse kulu"/>
    <n v="0"/>
  </r>
  <r>
    <x v="8"/>
    <x v="52"/>
    <x v="52"/>
    <s v="Alusharidus"/>
    <s v="Haridus"/>
    <s v="Kulina lasteaed"/>
    <s v="arvutikõlarid"/>
    <n v="50"/>
    <s v="mesimummu rühma arvutile"/>
    <x v="5"/>
    <s v="Info- ja kommunikatsioonitehnoliigised kulud"/>
    <n v="55"/>
    <s v="55"/>
    <x v="0"/>
    <x v="0"/>
    <s v="Põhitegevuse kulu"/>
    <n v="0"/>
  </r>
  <r>
    <x v="8"/>
    <x v="53"/>
    <x v="53"/>
    <s v="Alusharidus"/>
    <s v="Haridus"/>
    <s v="Tudu lasteaed"/>
    <s v="uue õppekava rakend"/>
    <n v="100"/>
    <n v="0"/>
    <x v="2"/>
    <s v="Koolituskulud"/>
    <n v="55"/>
    <s v="55"/>
    <x v="0"/>
    <x v="0"/>
    <s v="Põhitegevuse kulu"/>
    <n v="0"/>
  </r>
  <r>
    <x v="8"/>
    <x v="53"/>
    <x v="53"/>
    <s v="Alusharidus"/>
    <s v="Haridus"/>
    <s v="Tudu lasteaed"/>
    <s v="lasteaia toidukaup"/>
    <n v="4073"/>
    <n v="0"/>
    <x v="19"/>
    <s v="Toiduained ja toitlustusteenused"/>
    <n v="55"/>
    <s v="55"/>
    <x v="0"/>
    <x v="0"/>
    <s v="Põhitegevuse kulu"/>
    <n v="0"/>
  </r>
  <r>
    <x v="8"/>
    <x v="53"/>
    <x v="53"/>
    <s v="Alusharidus"/>
    <s v="Haridus"/>
    <s v="Tudu lasteaed"/>
    <s v="õpikud "/>
    <n v="150"/>
    <n v="0"/>
    <x v="20"/>
    <s v="Õppevahendid"/>
    <n v="55"/>
    <s v="55"/>
    <x v="0"/>
    <x v="0"/>
    <s v="Põhitegevuse kulu"/>
    <n v="0"/>
  </r>
  <r>
    <x v="8"/>
    <x v="53"/>
    <x v="53"/>
    <s v="Alusharidus"/>
    <s v="Haridus"/>
    <s v="Tudu lasteaed"/>
    <s v="töövihikud"/>
    <n v="50"/>
    <n v="0"/>
    <x v="20"/>
    <s v="Õppevahendid"/>
    <n v="55"/>
    <s v="55"/>
    <x v="0"/>
    <x v="0"/>
    <s v="Põhitegevuse kulu"/>
    <n v="0"/>
  </r>
  <r>
    <x v="8"/>
    <x v="53"/>
    <x v="53"/>
    <s v="Alusharidus"/>
    <s v="Haridus"/>
    <s v="Tudu lasteaed"/>
    <s v="mänguasjad, paber, värvid jm"/>
    <n v="150"/>
    <n v="0"/>
    <x v="20"/>
    <s v="Õppevahendid"/>
    <n v="55"/>
    <s v="55"/>
    <x v="0"/>
    <x v="0"/>
    <s v="Põhitegevuse kulu"/>
    <n v="0"/>
  </r>
  <r>
    <x v="8"/>
    <x v="53"/>
    <x v="53"/>
    <s v="Alusharidus"/>
    <s v="Haridus"/>
    <s v="Tudu lasteaed"/>
    <s v="eriped tegevus"/>
    <n v="900"/>
    <n v="0"/>
    <x v="20"/>
    <s v="Õppevahendid"/>
    <n v="55"/>
    <s v="55"/>
    <x v="0"/>
    <x v="0"/>
    <s v="Põhitegevuse kulu"/>
    <n v="0"/>
  </r>
  <r>
    <x v="8"/>
    <x v="54"/>
    <x v="54"/>
    <s v="Alusharidus"/>
    <s v="Haridus"/>
    <s v="Ulvi lasteaed"/>
    <s v="Koolitused"/>
    <n v="600"/>
    <n v="0"/>
    <x v="2"/>
    <s v="Koolituskulud"/>
    <n v="55"/>
    <s v="55"/>
    <x v="0"/>
    <x v="0"/>
    <s v="Põhitegevuse kulu"/>
    <n v="0"/>
  </r>
  <r>
    <x v="8"/>
    <x v="54"/>
    <x v="54"/>
    <s v="Alusharidus"/>
    <s v="Haridus"/>
    <s v="Ulvi lasteaed"/>
    <s v="Inventari jooksev hooldus "/>
    <n v="150"/>
    <n v="0"/>
    <x v="8"/>
    <s v="Inventari kulud, v.a infotehnoloogia ja kaitseotstarbelised kulud"/>
    <n v="55"/>
    <s v="55"/>
    <x v="0"/>
    <x v="0"/>
    <s v="Põhitegevuse kulu"/>
    <n v="0"/>
  </r>
  <r>
    <x v="8"/>
    <x v="54"/>
    <x v="54"/>
    <s v="Alusharidus"/>
    <s v="Haridus"/>
    <s v="Ulvi lasteaed"/>
    <s v="Laud tk.2  200 eurot"/>
    <n v="200"/>
    <s v="Planeerin kaks, ühe tk.hind 100 eurot"/>
    <x v="8"/>
    <s v="Inventari kulud, v.a infotehnoloogia ja kaitseotstarbelised kulud"/>
    <n v="55"/>
    <s v="55"/>
    <x v="0"/>
    <x v="0"/>
    <s v="Põhitegevuse kulu"/>
    <n v="0"/>
  </r>
  <r>
    <x v="8"/>
    <x v="54"/>
    <x v="54"/>
    <s v="Alusharidus"/>
    <s v="Haridus"/>
    <s v="Ulvi lasteaed"/>
    <s v="Riiul tk.1 100 eurot"/>
    <n v="100"/>
    <n v="0"/>
    <x v="8"/>
    <s v="Inventari kulud, v.a infotehnoloogia ja kaitseotstarbelised kulud"/>
    <n v="55"/>
    <s v="55"/>
    <x v="0"/>
    <x v="0"/>
    <s v="Põhitegevuse kulu"/>
    <n v="0"/>
  </r>
  <r>
    <x v="8"/>
    <x v="54"/>
    <x v="54"/>
    <s v="Alusharidus"/>
    <s v="Haridus"/>
    <s v="Ulvi lasteaed"/>
    <s v="4 kohal voodi kompl. Tk.1 600 eurot"/>
    <n v="600"/>
    <s v="Planeerin ühe"/>
    <x v="8"/>
    <s v="Inventari kulud, v.a infotehnoloogia ja kaitseotstarbelised kulud"/>
    <n v="55"/>
    <s v="55"/>
    <x v="0"/>
    <x v="0"/>
    <s v="Põhitegevuse kulu"/>
    <n v="0"/>
  </r>
  <r>
    <x v="8"/>
    <x v="54"/>
    <x v="54"/>
    <s v="Alusharidus"/>
    <s v="Haridus"/>
    <s v="Ulvi lasteaed"/>
    <s v="3 kohal voodi kompl. Tk.1 500 eurot"/>
    <n v="500"/>
    <s v="Planeerin ühe"/>
    <x v="8"/>
    <s v="Inventari kulud, v.a infotehnoloogia ja kaitseotstarbelised kulud"/>
    <n v="55"/>
    <s v="55"/>
    <x v="0"/>
    <x v="0"/>
    <s v="Põhitegevuse kulu"/>
    <n v="0"/>
  </r>
  <r>
    <x v="8"/>
    <x v="54"/>
    <x v="54"/>
    <s v="Alusharidus"/>
    <s v="Haridus"/>
    <s v="Ulvi lasteaed"/>
    <s v="toolid tk.15  500 eurot"/>
    <n v="500"/>
    <s v="Planeerin 15 tk soetada, ühe tk.hind umbes 33 eurot"/>
    <x v="8"/>
    <s v="Inventari kulud, v.a infotehnoloogia ja kaitseotstarbelised kulud"/>
    <n v="55"/>
    <s v="55"/>
    <x v="0"/>
    <x v="0"/>
    <s v="Põhitegevuse kulu"/>
    <n v="0"/>
  </r>
  <r>
    <x v="8"/>
    <x v="54"/>
    <x v="54"/>
    <s v="Alusharidus"/>
    <s v="Haridus"/>
    <s v="Ulvi lasteaed"/>
    <s v="toiduained 30 last x230 päeva x 1.40"/>
    <n v="7000"/>
    <n v="0"/>
    <x v="19"/>
    <s v="Toiduained ja toitlustusteenused"/>
    <n v="55"/>
    <s v="55"/>
    <x v="0"/>
    <x v="0"/>
    <s v="Põhitegevuse kulu"/>
    <n v="0"/>
  </r>
  <r>
    <x v="8"/>
    <x v="54"/>
    <x v="54"/>
    <s v="Alusharidus"/>
    <s v="Haridus"/>
    <s v="Ulvi lasteaed"/>
    <s v="Meditsiinikulud"/>
    <n v="100"/>
    <n v="0"/>
    <x v="9"/>
    <s v="Meditsiinikulud ja hügieenitarbed"/>
    <n v="55"/>
    <s v="55"/>
    <x v="0"/>
    <x v="0"/>
    <s v="Põhitegevuse kulu"/>
    <n v="0"/>
  </r>
  <r>
    <x v="8"/>
    <x v="54"/>
    <x v="54"/>
    <s v="Alusharidus"/>
    <s v="Haridus"/>
    <s v="Ulvi lasteaed"/>
    <s v="õppekäigud"/>
    <n v="1000"/>
    <n v="0"/>
    <x v="20"/>
    <s v="Õppevahendid"/>
    <n v="55"/>
    <s v="55"/>
    <x v="0"/>
    <x v="0"/>
    <s v="Põhitegevuse kulu"/>
    <n v="0"/>
  </r>
  <r>
    <x v="8"/>
    <x v="54"/>
    <x v="54"/>
    <s v="Alusharidus"/>
    <s v="Haridus"/>
    <s v="Ulvi lasteaed"/>
    <s v="Õppevahendid"/>
    <n v="1000"/>
    <n v="0"/>
    <x v="20"/>
    <s v="Õppevahendid"/>
    <n v="55"/>
    <s v="55"/>
    <x v="0"/>
    <x v="0"/>
    <s v="Põhitegevuse kulu"/>
    <n v="0"/>
  </r>
  <r>
    <x v="8"/>
    <x v="54"/>
    <x v="54"/>
    <s v="Alusharidus"/>
    <s v="Haridus"/>
    <s v="Ulvi lasteaed"/>
    <s v="mänguasjad"/>
    <n v="2000"/>
    <n v="0"/>
    <x v="20"/>
    <s v="Õppevahendid"/>
    <n v="55"/>
    <s v="55"/>
    <x v="0"/>
    <x v="0"/>
    <s v="Põhitegevuse kulu"/>
    <n v="0"/>
  </r>
  <r>
    <x v="8"/>
    <x v="54"/>
    <x v="54"/>
    <s v="Alusharidus"/>
    <s v="Haridus"/>
    <s v="Ulvi lasteaed"/>
    <s v="Ühisüritused"/>
    <n v="250"/>
    <n v="0"/>
    <x v="14"/>
    <s v="Kommunikatsiooni-, kultuuri- ja vaba aja sisustamise kulud"/>
    <n v="55"/>
    <s v="55"/>
    <x v="0"/>
    <x v="0"/>
    <s v="Põhitegevuse kulu"/>
    <n v="0"/>
  </r>
  <r>
    <x v="8"/>
    <x v="54"/>
    <x v="54"/>
    <s v="Alusharidus"/>
    <s v="Haridus"/>
    <s v="Ulvi lasteaed"/>
    <s v="Ürituste transport"/>
    <n v="250"/>
    <n v="0"/>
    <x v="14"/>
    <s v="Kommunikatsiooni-, kultuuri- ja vaba aja sisustamise kulud"/>
    <n v="55"/>
    <s v="55"/>
    <x v="0"/>
    <x v="0"/>
    <s v="Põhitegevuse kulu"/>
    <n v="0"/>
  </r>
  <r>
    <x v="8"/>
    <x v="54"/>
    <x v="54"/>
    <s v="Alusharidus"/>
    <s v="Haridus"/>
    <s v="Ulvi lasteaed"/>
    <s v="ruumide küte"/>
    <n v="4500"/>
    <n v="0"/>
    <x v="4"/>
    <s v="Kinnistute, hoonete ja ruumide majandamiskulud"/>
    <n v="55"/>
    <s v="55"/>
    <x v="0"/>
    <x v="0"/>
    <s v="Põhitegevuse kulu"/>
    <n v="0"/>
  </r>
  <r>
    <x v="8"/>
    <x v="54"/>
    <x v="54"/>
    <s v="Alusharidus"/>
    <s v="Haridus"/>
    <s v="Ulvi lasteaed"/>
    <s v="analüüsid"/>
    <n v="200"/>
    <n v="0"/>
    <x v="4"/>
    <s v="Kinnistute, hoonete ja ruumide majandamiskulud"/>
    <n v="55"/>
    <s v="55"/>
    <x v="0"/>
    <x v="0"/>
    <s v="Põhitegevuse kulu"/>
    <n v="0"/>
  </r>
  <r>
    <x v="8"/>
    <x v="54"/>
    <x v="54"/>
    <s v="Alusharidus"/>
    <s v="Haridus"/>
    <s v="Ulvi lasteaed"/>
    <s v="elekter"/>
    <n v="3500"/>
    <n v="0"/>
    <x v="4"/>
    <s v="Kinnistute, hoonete ja ruumide majandamiskulud"/>
    <n v="55"/>
    <s v="55"/>
    <x v="0"/>
    <x v="0"/>
    <s v="Põhitegevuse kulu"/>
    <n v="0"/>
  </r>
  <r>
    <x v="8"/>
    <x v="54"/>
    <x v="54"/>
    <s v="Alusharidus"/>
    <s v="Haridus"/>
    <s v="Ulvi lasteaed"/>
    <s v="koridori remont"/>
    <n v="1000"/>
    <n v="0"/>
    <x v="4"/>
    <s v="Kinnistute, hoonete ja ruumide majandamiskulud"/>
    <n v="55"/>
    <s v="55"/>
    <x v="0"/>
    <x v="0"/>
    <s v="Põhitegevuse kulu"/>
    <n v="0"/>
  </r>
  <r>
    <x v="8"/>
    <x v="54"/>
    <x v="54"/>
    <s v="Alusharidus"/>
    <s v="Haridus"/>
    <s v="Ulvi lasteaed"/>
    <s v="prügi"/>
    <n v="250"/>
    <n v="0"/>
    <x v="4"/>
    <s v="Kinnistute, hoonete ja ruumide majandamiskulud"/>
    <n v="55"/>
    <s v="55"/>
    <x v="0"/>
    <x v="0"/>
    <s v="Põhitegevuse kulu"/>
    <n v="0"/>
  </r>
  <r>
    <x v="8"/>
    <x v="54"/>
    <x v="54"/>
    <s v="Alusharidus"/>
    <s v="Haridus"/>
    <s v="Ulvi lasteaed"/>
    <s v="majanduskaup"/>
    <n v="2400"/>
    <n v="0"/>
    <x v="4"/>
    <s v="Kinnistute, hoonete ja ruumide majandamiskulud"/>
    <n v="55"/>
    <s v="55"/>
    <x v="0"/>
    <x v="0"/>
    <s v="Põhitegevuse kulu"/>
    <n v="0"/>
  </r>
  <r>
    <x v="8"/>
    <x v="54"/>
    <x v="54"/>
    <s v="Alusharidus"/>
    <s v="Haridus"/>
    <s v="Ulvi lasteaed"/>
    <s v="ventilatsiooni väljaehitus"/>
    <n v="6000"/>
    <n v="0"/>
    <x v="4"/>
    <s v="Kinnistute, hoonete ja ruumide majandamiskulud"/>
    <n v="55"/>
    <s v="55"/>
    <x v="0"/>
    <x v="0"/>
    <s v="Põhitegevuse kulu"/>
    <n v="0"/>
  </r>
  <r>
    <x v="8"/>
    <x v="54"/>
    <x v="54"/>
    <s v="Alusharidus"/>
    <s v="Haridus"/>
    <s v="Ulvi lasteaed"/>
    <s v="muruniidukile bensiin"/>
    <n v="100"/>
    <n v="0"/>
    <x v="4"/>
    <s v="Kinnistute, hoonete ja ruumide majandamiskulud"/>
    <n v="55"/>
    <s v="55"/>
    <x v="0"/>
    <x v="0"/>
    <s v="Põhitegevuse kulu"/>
    <n v="0"/>
  </r>
  <r>
    <x v="8"/>
    <x v="54"/>
    <x v="54"/>
    <s v="Alusharidus"/>
    <s v="Haridus"/>
    <s v="Ulvi lasteaed"/>
    <s v="IT alane hooldus"/>
    <n v="500"/>
    <n v="0"/>
    <x v="5"/>
    <s v="Info- ja kommunikatsioonitehnoliigised kulud"/>
    <n v="55"/>
    <s v="55"/>
    <x v="0"/>
    <x v="0"/>
    <s v="Põhitegevuse kulu"/>
    <n v="0"/>
  </r>
  <r>
    <x v="8"/>
    <x v="55"/>
    <x v="55"/>
    <s v="Alusharidus"/>
    <s v="Haridus"/>
    <s v="Muuga-Laekvere kool"/>
    <s v="küte"/>
    <n v="9000"/>
    <n v="0"/>
    <x v="4"/>
    <s v="Kinnistute, hoonete ja ruumide majandamiskulud"/>
    <n v="55"/>
    <s v="55"/>
    <x v="0"/>
    <x v="0"/>
    <s v="Põhitegevuse kulu"/>
    <n v="0"/>
  </r>
  <r>
    <x v="8"/>
    <x v="55"/>
    <x v="55"/>
    <s v="Alusharidus"/>
    <s v="Haridus"/>
    <s v="Muuga-Laekvere kool"/>
    <s v="elekter"/>
    <n v="4000"/>
    <n v="0"/>
    <x v="4"/>
    <s v="Kinnistute, hoonete ja ruumide majandamiskulud"/>
    <n v="55"/>
    <s v="55"/>
    <x v="0"/>
    <x v="0"/>
    <s v="Põhitegevuse kulu"/>
    <n v="0"/>
  </r>
  <r>
    <x v="8"/>
    <x v="55"/>
    <x v="55"/>
    <s v="Alusharidus"/>
    <s v="Haridus"/>
    <s v="Muuga-Laekvere kool"/>
    <s v="el.käitlus"/>
    <n v="400"/>
    <n v="0"/>
    <x v="4"/>
    <s v="Kinnistute, hoonete ja ruumide majandamiskulud"/>
    <n v="55"/>
    <s v="55"/>
    <x v="0"/>
    <x v="0"/>
    <s v="Põhitegevuse kulu"/>
    <n v="0"/>
  </r>
  <r>
    <x v="8"/>
    <x v="55"/>
    <x v="55"/>
    <s v="Alusharidus"/>
    <s v="Haridus"/>
    <s v="Muuga-Laekvere kool"/>
    <s v="korrashoid"/>
    <n v="3500"/>
    <n v="0"/>
    <x v="4"/>
    <s v="Kinnistute, hoonete ja ruumide majandamiskulud"/>
    <n v="55"/>
    <s v="55"/>
    <x v="0"/>
    <x v="0"/>
    <s v="Põhitegevuse kulu"/>
    <n v="0"/>
  </r>
  <r>
    <x v="8"/>
    <x v="55"/>
    <x v="55"/>
    <s v="Alusharidus"/>
    <s v="Haridus"/>
    <s v="Muuga-Laekvere kool"/>
    <s v="prügi"/>
    <n v="500"/>
    <n v="0"/>
    <x v="4"/>
    <s v="Kinnistute, hoonete ja ruumide majandamiskulud"/>
    <n v="55"/>
    <s v="55"/>
    <x v="0"/>
    <x v="0"/>
    <s v="Põhitegevuse kulu"/>
    <n v="0"/>
  </r>
  <r>
    <x v="8"/>
    <x v="55"/>
    <x v="55"/>
    <s v="Alusharidus"/>
    <s v="Haridus"/>
    <s v="Muuga-Laekvere kool"/>
    <s v="korstnapühkija"/>
    <n v="0"/>
    <n v="0"/>
    <x v="4"/>
    <s v="Kinnistute, hoonete ja ruumide majandamiskulud"/>
    <n v="55"/>
    <s v="55"/>
    <x v="0"/>
    <x v="0"/>
    <s v="Põhitegevuse kulu"/>
    <n v="0"/>
  </r>
  <r>
    <x v="8"/>
    <x v="55"/>
    <x v="55"/>
    <s v="Alusharidus"/>
    <s v="Haridus"/>
    <s v="Muuga-Laekvere kool"/>
    <s v="vesi kanalisatsioon"/>
    <n v="1900"/>
    <n v="0"/>
    <x v="4"/>
    <s v="Kinnistute, hoonete ja ruumide majandamiskulud"/>
    <n v="55"/>
    <s v="55"/>
    <x v="0"/>
    <x v="0"/>
    <s v="Põhitegevuse kulu"/>
    <n v="0"/>
  </r>
  <r>
    <x v="8"/>
    <x v="55"/>
    <x v="55"/>
    <s v="Alusharidus"/>
    <s v="Haridus"/>
    <s v="Muuga-Laekvere kool"/>
    <s v="rem tööd"/>
    <n v="500"/>
    <n v="0"/>
    <x v="4"/>
    <s v="Kinnistute, hoonete ja ruumide majandamiskulud"/>
    <n v="55"/>
    <s v="55"/>
    <x v="0"/>
    <x v="0"/>
    <s v="Põhitegevuse kulu"/>
    <n v="0"/>
  </r>
  <r>
    <x v="8"/>
    <x v="55"/>
    <x v="55"/>
    <s v="Alusharidus"/>
    <s v="Haridus"/>
    <s v="Muuga-Laekvere kool"/>
    <s v="kindlustus"/>
    <n v="1200"/>
    <n v="0"/>
    <x v="4"/>
    <s v="Kinnistute, hoonete ja ruumide majandamiskulud"/>
    <n v="55"/>
    <s v="55"/>
    <x v="0"/>
    <x v="0"/>
    <s v="Põhitegevuse kulu"/>
    <n v="0"/>
  </r>
  <r>
    <x v="8"/>
    <x v="55"/>
    <x v="55"/>
    <s v="Alusharidus"/>
    <s v="Haridus"/>
    <s v="Muuga-Laekvere kool"/>
    <s v="Muud kinnistukulud"/>
    <n v="200"/>
    <n v="0"/>
    <x v="4"/>
    <s v="Kinnistute, hoonete ja ruumide majandamiskulud"/>
    <n v="55"/>
    <s v="55"/>
    <x v="0"/>
    <x v="0"/>
    <s v="Põhitegevuse kulu"/>
    <n v="0"/>
  </r>
  <r>
    <x v="8"/>
    <x v="55"/>
    <x v="55"/>
    <s v="Alusharidus"/>
    <s v="Haridus"/>
    <s v="Muuga-Laekvere kool"/>
    <s v="voodipesu"/>
    <n v="500"/>
    <n v="0"/>
    <x v="4"/>
    <s v="Kinnistute, hoonete ja ruumide majandamiskulud"/>
    <n v="55"/>
    <s v="55"/>
    <x v="0"/>
    <x v="0"/>
    <s v="Põhitegevuse kulu"/>
    <n v="0"/>
  </r>
  <r>
    <x v="8"/>
    <x v="55"/>
    <x v="55"/>
    <s v="Alusharidus"/>
    <s v="Haridus"/>
    <s v="Muuga-Laekvere kool"/>
    <s v="ohutusvahendite kontroll"/>
    <n v="150"/>
    <n v="0"/>
    <x v="4"/>
    <s v="Kinnistute, hoonete ja ruumide majandamiskulud"/>
    <n v="55"/>
    <s v="55"/>
    <x v="0"/>
    <x v="0"/>
    <s v="Põhitegevuse kulu"/>
    <n v="0"/>
  </r>
  <r>
    <x v="8"/>
    <x v="55"/>
    <x v="55"/>
    <s v="Alusharidus"/>
    <s v="Haridus"/>
    <s v="Muuga-Laekvere kool"/>
    <s v="büroo"/>
    <n v="600"/>
    <n v="0"/>
    <x v="0"/>
    <s v="Administreerimiskulud"/>
    <n v="55"/>
    <s v="55"/>
    <x v="0"/>
    <x v="0"/>
    <s v="Põhitegevuse kulu"/>
    <n v="0"/>
  </r>
  <r>
    <x v="8"/>
    <x v="55"/>
    <x v="55"/>
    <s v="Alusharidus"/>
    <s v="Haridus"/>
    <s v="Muuga-Laekvere kool"/>
    <s v="tahm"/>
    <n v="400"/>
    <n v="0"/>
    <x v="0"/>
    <s v="Administreerimiskulud"/>
    <n v="55"/>
    <s v="55"/>
    <x v="0"/>
    <x v="0"/>
    <s v="Põhitegevuse kulu"/>
    <n v="0"/>
  </r>
  <r>
    <x v="8"/>
    <x v="55"/>
    <x v="55"/>
    <s v="Alusharidus"/>
    <s v="Haridus"/>
    <s v="Muuga-Laekvere kool"/>
    <s v="trükised"/>
    <n v="100"/>
    <n v="0"/>
    <x v="0"/>
    <s v="Administreerimiskulud"/>
    <n v="55"/>
    <s v="55"/>
    <x v="0"/>
    <x v="0"/>
    <s v="Põhitegevuse kulu"/>
    <n v="0"/>
  </r>
  <r>
    <x v="8"/>
    <x v="55"/>
    <x v="55"/>
    <s v="Alusharidus"/>
    <s v="Haridus"/>
    <s v="Muuga-Laekvere kool"/>
    <s v="post"/>
    <n v="50"/>
    <n v="0"/>
    <x v="0"/>
    <s v="Administreerimiskulud"/>
    <n v="55"/>
    <s v="55"/>
    <x v="0"/>
    <x v="0"/>
    <s v="Põhitegevuse kulu"/>
    <n v="0"/>
  </r>
  <r>
    <x v="8"/>
    <x v="55"/>
    <x v="55"/>
    <s v="Alusharidus"/>
    <s v="Haridus"/>
    <s v="Muuga-Laekvere kool"/>
    <s v="telefon"/>
    <n v="300"/>
    <n v="0"/>
    <x v="0"/>
    <s v="Administreerimiskulud"/>
    <n v="55"/>
    <s v="55"/>
    <x v="0"/>
    <x v="0"/>
    <s v="Põhitegevuse kulu"/>
    <n v="0"/>
  </r>
  <r>
    <x v="8"/>
    <x v="55"/>
    <x v="55"/>
    <s v="Alusharidus"/>
    <s v="Haridus"/>
    <s v="Muuga-Laekvere kool"/>
    <s v="mobiiltel"/>
    <n v="0"/>
    <n v="0"/>
    <x v="0"/>
    <s v="Administreerimiskulud"/>
    <n v="55"/>
    <s v="55"/>
    <x v="0"/>
    <x v="0"/>
    <s v="Põhitegevuse kulu"/>
    <n v="0"/>
  </r>
  <r>
    <x v="8"/>
    <x v="55"/>
    <x v="55"/>
    <s v="Alusharidus"/>
    <s v="Haridus"/>
    <s v="Muuga-Laekvere kool"/>
    <s v="kingitused"/>
    <n v="100"/>
    <n v="0"/>
    <x v="0"/>
    <s v="Administreerimiskulud"/>
    <n v="55"/>
    <s v="55"/>
    <x v="0"/>
    <x v="0"/>
    <s v="Põhitegevuse kulu"/>
    <n v="0"/>
  </r>
  <r>
    <x v="8"/>
    <x v="55"/>
    <x v="55"/>
    <s v="Alusharidus"/>
    <s v="Haridus"/>
    <s v="Muuga-Laekvere kool"/>
    <s v="esindamine"/>
    <n v="130"/>
    <n v="0"/>
    <x v="0"/>
    <s v="Administreerimiskulud"/>
    <n v="55"/>
    <s v="55"/>
    <x v="0"/>
    <x v="0"/>
    <s v="Põhitegevuse kulu"/>
    <n v="0"/>
  </r>
  <r>
    <x v="8"/>
    <x v="55"/>
    <x v="55"/>
    <s v="Alusharidus"/>
    <s v="Haridus"/>
    <s v="Muuga-Laekvere kool"/>
    <s v="kuulutused"/>
    <n v="50"/>
    <n v="0"/>
    <x v="0"/>
    <s v="Administreerimiskulud"/>
    <n v="55"/>
    <s v="55"/>
    <x v="0"/>
    <x v="0"/>
    <s v="Põhitegevuse kulu"/>
    <n v="0"/>
  </r>
  <r>
    <x v="8"/>
    <x v="55"/>
    <x v="55"/>
    <s v="Alusharidus"/>
    <s v="Haridus"/>
    <s v="Muuga-Laekvere kool"/>
    <s v="Muud admin.kulud"/>
    <n v="100"/>
    <n v="0"/>
    <x v="0"/>
    <s v="Administreerimiskulud"/>
    <n v="55"/>
    <s v="55"/>
    <x v="0"/>
    <x v="0"/>
    <s v="Põhitegevuse kulu"/>
    <n v="0"/>
  </r>
  <r>
    <x v="8"/>
    <x v="55"/>
    <x v="55"/>
    <s v="Alusharidus"/>
    <s v="Haridus"/>
    <s v="Muuga-Laekvere kool"/>
    <s v="Koolitused"/>
    <n v="500"/>
    <n v="0"/>
    <x v="2"/>
    <s v="Koolituskulud"/>
    <n v="55"/>
    <s v="55"/>
    <x v="0"/>
    <x v="0"/>
    <s v="Põhitegevuse kulu"/>
    <n v="0"/>
  </r>
  <r>
    <x v="8"/>
    <x v="55"/>
    <x v="55"/>
    <s v="Alusharidus"/>
    <s v="Haridus"/>
    <s v="Muuga-Laekvere kool"/>
    <s v="isikliku sõiduki kasutamine"/>
    <n v="500"/>
    <n v="0"/>
    <x v="3"/>
    <s v="Sõidukite ülalpidamise kulud"/>
    <n v="55"/>
    <s v="55"/>
    <x v="0"/>
    <x v="0"/>
    <s v="Põhitegevuse kulu"/>
    <n v="0"/>
  </r>
  <r>
    <x v="8"/>
    <x v="55"/>
    <x v="55"/>
    <s v="Alusharidus"/>
    <s v="Haridus"/>
    <s v="Muuga-Laekvere kool"/>
    <s v="hooldus ja remont"/>
    <n v="500"/>
    <n v="0"/>
    <x v="8"/>
    <s v="Inventari kulud, v.a infotehnoloogia ja kaitseotstarbelised kulud"/>
    <n v="55"/>
    <s v="55"/>
    <x v="0"/>
    <x v="0"/>
    <s v="Põhitegevuse kulu"/>
    <n v="0"/>
  </r>
  <r>
    <x v="8"/>
    <x v="55"/>
    <x v="55"/>
    <s v="Alusharidus"/>
    <s v="Haridus"/>
    <s v="Muuga-Laekvere kool"/>
    <s v="muud inventari kulud"/>
    <n v="300"/>
    <n v="0"/>
    <x v="8"/>
    <s v="Inventari kulud, v.a infotehnoloogia ja kaitseotstarbelised kulud"/>
    <n v="55"/>
    <s v="55"/>
    <x v="0"/>
    <x v="0"/>
    <s v="Põhitegevuse kulu"/>
    <n v="0"/>
  </r>
  <r>
    <x v="8"/>
    <x v="55"/>
    <x v="55"/>
    <s v="Alusharidus"/>
    <s v="Haridus"/>
    <s v="Muuga-Laekvere kool"/>
    <s v="Toiduained"/>
    <n v="8000"/>
    <n v="0"/>
    <x v="19"/>
    <s v="Toiduained ja toitlustusteenused"/>
    <n v="55"/>
    <s v="55"/>
    <x v="0"/>
    <x v="0"/>
    <s v="Põhitegevuse kulu"/>
    <n v="0"/>
  </r>
  <r>
    <x v="8"/>
    <x v="55"/>
    <x v="55"/>
    <s v="Alusharidus"/>
    <s v="Haridus"/>
    <s v="Muuga-Laekvere kool"/>
    <s v="esmaabi"/>
    <n v="50"/>
    <n v="0"/>
    <x v="9"/>
    <s v="Meditsiinikulud ja hügieenitarbed"/>
    <n v="55"/>
    <s v="55"/>
    <x v="0"/>
    <x v="0"/>
    <s v="Põhitegevuse kulu"/>
    <n v="0"/>
  </r>
  <r>
    <x v="8"/>
    <x v="55"/>
    <x v="55"/>
    <s v="Alusharidus"/>
    <s v="Haridus"/>
    <s v="Muuga-Laekvere kool"/>
    <s v="tervisekontroll"/>
    <n v="50"/>
    <n v="0"/>
    <x v="9"/>
    <s v="Meditsiinikulud ja hügieenitarbed"/>
    <n v="55"/>
    <s v="55"/>
    <x v="0"/>
    <x v="0"/>
    <s v="Põhitegevuse kulu"/>
    <n v="0"/>
  </r>
  <r>
    <x v="8"/>
    <x v="55"/>
    <x v="55"/>
    <s v="Alusharidus"/>
    <s v="Haridus"/>
    <s v="Muuga-Laekvere kool"/>
    <s v="prillid"/>
    <n v="300"/>
    <n v="0"/>
    <x v="9"/>
    <s v="Meditsiinikulud ja hügieenitarbed"/>
    <n v="55"/>
    <s v="55"/>
    <x v="0"/>
    <x v="0"/>
    <s v="Põhitegevuse kulu"/>
    <n v="0"/>
  </r>
  <r>
    <x v="8"/>
    <x v="55"/>
    <x v="55"/>
    <s v="Alusharidus"/>
    <s v="Haridus"/>
    <s v="Muuga-Laekvere kool"/>
    <s v="õpikud, töövihikud"/>
    <n v="800"/>
    <n v="0"/>
    <x v="20"/>
    <s v="Õppevahendid"/>
    <n v="55"/>
    <s v="55"/>
    <x v="0"/>
    <x v="0"/>
    <s v="Põhitegevuse kulu"/>
    <n v="0"/>
  </r>
  <r>
    <x v="8"/>
    <x v="55"/>
    <x v="55"/>
    <s v="Alusharidus"/>
    <s v="Haridus"/>
    <s v="Muuga-Laekvere kool"/>
    <s v="õppematerjalid"/>
    <n v="800"/>
    <n v="0"/>
    <x v="20"/>
    <s v="Õppevahendid"/>
    <n v="55"/>
    <s v="55"/>
    <x v="0"/>
    <x v="0"/>
    <s v="Põhitegevuse kulu"/>
    <n v="0"/>
  </r>
  <r>
    <x v="8"/>
    <x v="55"/>
    <x v="55"/>
    <s v="Alusharidus"/>
    <s v="Haridus"/>
    <s v="Muuga-Laekvere kool"/>
    <s v="mänguasjad"/>
    <n v="900"/>
    <n v="0"/>
    <x v="20"/>
    <s v="Õppevahendid"/>
    <n v="55"/>
    <s v="55"/>
    <x v="0"/>
    <x v="0"/>
    <s v="Põhitegevuse kulu"/>
    <n v="0"/>
  </r>
  <r>
    <x v="8"/>
    <x v="55"/>
    <x v="55"/>
    <s v="Alusharidus"/>
    <s v="Haridus"/>
    <s v="Muuga-Laekvere kool"/>
    <s v="ühisüritused"/>
    <n v="100"/>
    <n v="0"/>
    <x v="20"/>
    <s v="Õppevahendid"/>
    <n v="55"/>
    <s v="55"/>
    <x v="0"/>
    <x v="0"/>
    <s v="Põhitegevuse kulu"/>
    <n v="0"/>
  </r>
  <r>
    <x v="8"/>
    <x v="55"/>
    <x v="55"/>
    <s v="Alusharidus"/>
    <s v="Haridus"/>
    <s v="Muuga-Laekvere kool"/>
    <s v="transport"/>
    <n v="500"/>
    <n v="0"/>
    <x v="20"/>
    <s v="Õppevahendid"/>
    <n v="55"/>
    <s v="55"/>
    <x v="0"/>
    <x v="0"/>
    <s v="Põhitegevuse kulu"/>
    <n v="0"/>
  </r>
  <r>
    <x v="8"/>
    <x v="55"/>
    <x v="55"/>
    <s v="Alusharidus"/>
    <s v="Haridus"/>
    <s v="Muuga-Laekvere kool"/>
    <s v="etendused, kontserdid"/>
    <n v="500"/>
    <n v="0"/>
    <x v="14"/>
    <s v="Kommunikatsiooni-, kultuuri- ja vaba aja sisustamise kulud"/>
    <n v="55"/>
    <s v="55"/>
    <x v="0"/>
    <x v="0"/>
    <s v="Põhitegevuse kulu"/>
    <n v="0"/>
  </r>
  <r>
    <x v="8"/>
    <x v="55"/>
    <x v="55"/>
    <s v="Alusharidus"/>
    <s v="Haridus"/>
    <s v="Muuga-Laekvere kool"/>
    <s v="osalustasud"/>
    <n v="100"/>
    <n v="0"/>
    <x v="14"/>
    <s v="Kommunikatsiooni-, kultuuri- ja vaba aja sisustamise kulud"/>
    <n v="55"/>
    <s v="55"/>
    <x v="0"/>
    <x v="0"/>
    <s v="Põhitegevuse kulu"/>
    <n v="0"/>
  </r>
  <r>
    <x v="8"/>
    <x v="55"/>
    <x v="55"/>
    <s v="Alusharidus"/>
    <s v="Haridus"/>
    <s v="Muuga-Laekvere kool"/>
    <s v="aastapäevad"/>
    <n v="1000"/>
    <n v="0"/>
    <x v="14"/>
    <s v="Kommunikatsiooni-, kultuuri- ja vaba aja sisustamise kulud"/>
    <n v="55"/>
    <s v="55"/>
    <x v="0"/>
    <x v="0"/>
    <s v="Põhitegevuse kulu"/>
    <n v="0"/>
  </r>
  <r>
    <x v="8"/>
    <x v="55"/>
    <x v="55"/>
    <s v="Alusharidus"/>
    <s v="Haridus"/>
    <s v="Muuga-Laekvere kool"/>
    <s v="programmid"/>
    <n v="300"/>
    <n v="0"/>
    <x v="5"/>
    <s v="Info- ja kommunikatsioonitehnoliigised kulud"/>
    <n v="55"/>
    <s v="55"/>
    <x v="0"/>
    <x v="0"/>
    <s v="Põhitegevuse kulu"/>
    <n v="0"/>
  </r>
  <r>
    <x v="8"/>
    <x v="55"/>
    <x v="55"/>
    <s v="Alusharidus"/>
    <s v="Haridus"/>
    <s v="Muuga-Laekvere kool"/>
    <s v="soetamine"/>
    <n v="250"/>
    <n v="0"/>
    <x v="5"/>
    <s v="Info- ja kommunikatsioonitehnoliigised kulud"/>
    <n v="55"/>
    <s v="55"/>
    <x v="0"/>
    <x v="0"/>
    <s v="Põhitegevuse kulu"/>
    <n v="0"/>
  </r>
  <r>
    <x v="8"/>
    <x v="55"/>
    <x v="55"/>
    <s v="Alusharidus"/>
    <s v="Haridus"/>
    <s v="Muuga-Laekvere kool"/>
    <s v="andmeside"/>
    <n v="100"/>
    <n v="0"/>
    <x v="5"/>
    <s v="Info- ja kommunikatsioonitehnoliigised kulud"/>
    <n v="55"/>
    <s v="55"/>
    <x v="0"/>
    <x v="0"/>
    <s v="Põhitegevuse kulu"/>
    <n v="0"/>
  </r>
  <r>
    <x v="8"/>
    <x v="55"/>
    <x v="55"/>
    <s v="Alusharidus"/>
    <s v="Haridus"/>
    <s v="Muuga-Laekvere kool"/>
    <s v="remont ja hooldus"/>
    <n v="100"/>
    <n v="0"/>
    <x v="5"/>
    <s v="Info- ja kommunikatsioonitehnoliigised kulud"/>
    <n v="55"/>
    <s v="55"/>
    <x v="0"/>
    <x v="0"/>
    <s v="Põhitegevuse kulu"/>
    <n v="0"/>
  </r>
  <r>
    <x v="8"/>
    <x v="56"/>
    <x v="56"/>
    <s v="Alusharidus"/>
    <s v="Haridus"/>
    <s v="Ferdinand von Wrangelli nim Roela Lasteaed-Põhikool"/>
    <s v="eliis tarkvara"/>
    <n v="630"/>
    <s v="aasta"/>
    <x v="5"/>
    <s v="Info- ja kommunikatsioonitehnoliigised kulud"/>
    <n v="55"/>
    <s v="55"/>
    <x v="0"/>
    <x v="0"/>
    <s v="Põhitegevuse kulu"/>
    <n v="0"/>
  </r>
  <r>
    <x v="8"/>
    <x v="56"/>
    <x v="56"/>
    <s v="Alusharidus"/>
    <s v="Haridus"/>
    <s v="Ferdinand von Wrangelli nim Roela Lasteaed-Põhikool"/>
    <s v="toiduained  "/>
    <n v="6900"/>
    <n v="0"/>
    <x v="19"/>
    <s v="Toiduained ja toitlustusteenused"/>
    <n v="55"/>
    <s v="55"/>
    <x v="0"/>
    <x v="0"/>
    <s v="Põhitegevuse kulu"/>
    <n v="0"/>
  </r>
  <r>
    <x v="8"/>
    <x v="56"/>
    <x v="56"/>
    <s v="Alusharidus"/>
    <s v="Haridus"/>
    <s v="Ferdinand von Wrangelli nim Roela Lasteaed-Põhikool"/>
    <s v="Õppevahendid"/>
    <n v="1000"/>
    <n v="0"/>
    <x v="20"/>
    <s v="Õppevahendid"/>
    <n v="55"/>
    <s v="55"/>
    <x v="0"/>
    <x v="0"/>
    <s v="Põhitegevuse kulu"/>
    <n v="0"/>
  </r>
  <r>
    <x v="8"/>
    <x v="57"/>
    <x v="57"/>
    <s v="Alusharidus"/>
    <s v="Haridus"/>
    <s v="Haridusnõunik"/>
    <s v="Kohatasud "/>
    <n v="46249.440000000002"/>
    <s v="alusharidus"/>
    <x v="20"/>
    <s v="Õppevahendid"/>
    <n v="55"/>
    <s v="55"/>
    <x v="0"/>
    <x v="0"/>
    <s v="Põhitegevuse kulu"/>
    <n v="0"/>
  </r>
  <r>
    <x v="8"/>
    <x v="58"/>
    <x v="58"/>
    <s v="Põhihariduse otsekulud"/>
    <s v="Haridus"/>
    <s v="Laekvere õppehoone"/>
    <s v="küte"/>
    <n v="200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elekter"/>
    <n v="60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el.käitlus"/>
    <n v="5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korrashoid"/>
    <n v="26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prügi"/>
    <n v="5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korstnapühkija"/>
    <n v="12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vesi kanalisatsioon"/>
    <n v="30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rem tööd"/>
    <n v="5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kindlustus"/>
    <n v="76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Muud kinnistukulud"/>
    <n v="15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ohutusvahendite kontroll"/>
    <n v="15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tahm"/>
    <n v="40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trükised"/>
    <n v="15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post"/>
    <n v="5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telefon"/>
    <n v="35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mobiiltel"/>
    <n v="20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kingitused"/>
    <n v="15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esindamine"/>
    <n v="25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kuulutused"/>
    <n v="5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Muud admin.kulud"/>
    <n v="15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koolitused"/>
    <n v="415.44000000000005"/>
    <n v="0"/>
    <x v="2"/>
    <s v="Koolitu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isikliku sõiduki kasutamine"/>
    <n v="2600"/>
    <n v="0"/>
    <x v="3"/>
    <s v="Sõidukite ülalpidamise kulud"/>
    <n v="55"/>
    <s v="55"/>
    <x v="0"/>
    <x v="0"/>
    <s v="Põhitegevuse kulu"/>
    <n v="0"/>
  </r>
  <r>
    <x v="8"/>
    <x v="58"/>
    <x v="58"/>
    <s v="Põhihariduse otsekulud"/>
    <s v="Haridus"/>
    <s v="Laekvere õppehoone"/>
    <s v="Kooli bussi haldamine"/>
    <n v="3500"/>
    <n v="0"/>
    <x v="3"/>
    <s v="Sõidukite ülalpidamise kulud"/>
    <n v="55"/>
    <s v="55"/>
    <x v="0"/>
    <x v="0"/>
    <s v="Põhitegevuse kulu"/>
    <n v="0"/>
  </r>
  <r>
    <x v="8"/>
    <x v="58"/>
    <x v="58"/>
    <s v="Põhihariduse otsekulud"/>
    <s v="Haridus"/>
    <s v="Laekvere õppehoone"/>
    <s v="hooldus ja remont"/>
    <n v="3000"/>
    <n v="0"/>
    <x v="8"/>
    <s v="Inventari kulud, v.a infotehnoloogia ja kaitseotstarbelised kulud"/>
    <n v="55"/>
    <s v="55"/>
    <x v="0"/>
    <x v="0"/>
    <s v="Põhitegevuse kulu"/>
    <n v="0"/>
  </r>
  <r>
    <x v="8"/>
    <x v="58"/>
    <x v="58"/>
    <s v="Põhihariduse otsekulud"/>
    <s v="Haridus"/>
    <s v="Laekvere õppehoone"/>
    <s v="muud inventari kulud"/>
    <n v="500"/>
    <n v="0"/>
    <x v="8"/>
    <s v="Inventari kulud, v.a infotehnoloogia ja kaitseotstarbelised kulud"/>
    <n v="55"/>
    <s v="55"/>
    <x v="0"/>
    <x v="0"/>
    <s v="Põhitegevuse kulu"/>
    <n v="0"/>
  </r>
  <r>
    <x v="8"/>
    <x v="58"/>
    <x v="58"/>
    <s v="Põhihariduse otsekulud"/>
    <s v="Haridus"/>
    <s v="Laekvere õppehoone"/>
    <s v="toiduained"/>
    <n v="13965"/>
    <s v="Ped."/>
    <x v="19"/>
    <s v="Toiduained ja toitlustusteenused"/>
    <n v="55"/>
    <s v="55"/>
    <x v="0"/>
    <x v="0"/>
    <s v="Põhitegevuse kulu"/>
    <n v="0"/>
  </r>
  <r>
    <x v="8"/>
    <x v="58"/>
    <x v="58"/>
    <s v="Põhihariduse otsekulud"/>
    <s v="Haridus"/>
    <s v="Laekvere õppehoone"/>
    <s v="esmaabi"/>
    <n v="100"/>
    <n v="0"/>
    <x v="9"/>
    <s v="Meditsiinikulud ja hügieenitarbed"/>
    <n v="55"/>
    <s v="55"/>
    <x v="0"/>
    <x v="0"/>
    <s v="Põhitegevuse kulu"/>
    <n v="0"/>
  </r>
  <r>
    <x v="8"/>
    <x v="58"/>
    <x v="58"/>
    <s v="Põhihariduse otsekulud"/>
    <s v="Haridus"/>
    <s v="Laekvere õppehoone"/>
    <s v="hügieenivahendid"/>
    <n v="600"/>
    <n v="0"/>
    <x v="9"/>
    <s v="Meditsiinikulud ja hügieenitarbed"/>
    <n v="55"/>
    <s v="55"/>
    <x v="0"/>
    <x v="0"/>
    <s v="Põhitegevuse kulu"/>
    <n v="0"/>
  </r>
  <r>
    <x v="8"/>
    <x v="58"/>
    <x v="58"/>
    <s v="Põhihariduse otsekulud"/>
    <s v="Haridus"/>
    <s v="Laekvere õppehoone"/>
    <s v="tervisekontroll"/>
    <n v="50"/>
    <n v="0"/>
    <x v="9"/>
    <s v="Meditsiinikulud ja hügieenitarbed"/>
    <n v="55"/>
    <s v="55"/>
    <x v="0"/>
    <x v="0"/>
    <s v="Põhitegevuse kulu"/>
    <n v="0"/>
  </r>
  <r>
    <x v="8"/>
    <x v="58"/>
    <x v="58"/>
    <s v="Põhihariduse otsekulud"/>
    <s v="Haridus"/>
    <s v="Laekvere õppehoone"/>
    <s v="prillid"/>
    <n v="300"/>
    <n v="0"/>
    <x v="9"/>
    <s v="Meditsiinikulud ja hügieenitarbed"/>
    <n v="55"/>
    <s v="55"/>
    <x v="0"/>
    <x v="0"/>
    <s v="Põhitegevuse kulu"/>
    <n v="0"/>
  </r>
  <r>
    <x v="8"/>
    <x v="58"/>
    <x v="58"/>
    <s v="Põhihariduse otsekulud"/>
    <s v="Haridus"/>
    <s v="Laekvere õppehoone"/>
    <s v="õpikud, töövihikud"/>
    <n v="2788.58"/>
    <n v="0"/>
    <x v="20"/>
    <s v="Õppevahendid"/>
    <n v="55"/>
    <s v="55"/>
    <x v="0"/>
    <x v="0"/>
    <s v="Põhitegevuse kulu"/>
    <n v="0"/>
  </r>
  <r>
    <x v="8"/>
    <x v="58"/>
    <x v="58"/>
    <s v="Põhihariduse otsekulud"/>
    <s v="Haridus"/>
    <s v="Laekvere õppehoone"/>
    <s v="õppematerjalid"/>
    <n v="1400"/>
    <n v="0"/>
    <x v="20"/>
    <s v="Õppevahendid"/>
    <n v="55"/>
    <s v="55"/>
    <x v="0"/>
    <x v="0"/>
    <s v="Põhitegevuse kulu"/>
    <n v="0"/>
  </r>
  <r>
    <x v="8"/>
    <x v="58"/>
    <x v="58"/>
    <s v="Põhihariduse otsekulud"/>
    <s v="Haridus"/>
    <s v="Laekvere õppehoone"/>
    <s v="mänguasjad"/>
    <n v="0"/>
    <n v="0"/>
    <x v="20"/>
    <s v="Õppevahendid"/>
    <n v="55"/>
    <s v="55"/>
    <x v="0"/>
    <x v="0"/>
    <s v="Põhitegevuse kulu"/>
    <n v="0"/>
  </r>
  <r>
    <x v="8"/>
    <x v="58"/>
    <x v="58"/>
    <s v="Põhihariduse otsekulud"/>
    <s v="Haridus"/>
    <s v="Laekvere õppehoone"/>
    <s v="ühisüritused"/>
    <n v="600"/>
    <n v="0"/>
    <x v="14"/>
    <s v="Kommunikatsiooni-, kultuuri- ja vaba aja sisustamise kulud"/>
    <n v="55"/>
    <s v="55"/>
    <x v="0"/>
    <x v="0"/>
    <s v="Põhitegevuse kulu"/>
    <n v="0"/>
  </r>
  <r>
    <x v="8"/>
    <x v="58"/>
    <x v="58"/>
    <s v="Põhihariduse otsekulud"/>
    <s v="Haridus"/>
    <s v="Laekvere õppehoone"/>
    <s v="transport"/>
    <n v="4000"/>
    <n v="0"/>
    <x v="20"/>
    <s v="Õppevahendid"/>
    <n v="55"/>
    <s v="55"/>
    <x v="0"/>
    <x v="0"/>
    <s v="Põhitegevuse kulu"/>
    <n v="0"/>
  </r>
  <r>
    <x v="8"/>
    <x v="58"/>
    <x v="58"/>
    <s v="Põhihariduse otsekulud"/>
    <s v="Haridus"/>
    <s v="Laekvere õppehoone"/>
    <s v="ujumine"/>
    <n v="900"/>
    <n v="0"/>
    <x v="20"/>
    <s v="Õppevahendid"/>
    <n v="55"/>
    <s v="55"/>
    <x v="0"/>
    <x v="0"/>
    <s v="Põhitegevuse kulu"/>
    <n v="0"/>
  </r>
  <r>
    <x v="8"/>
    <x v="58"/>
    <x v="58"/>
    <s v="Põhihariduse otsekulud"/>
    <s v="Haridus"/>
    <s v="Laekvere õppehoone"/>
    <s v="etendused, kontserdid"/>
    <n v="150"/>
    <n v="0"/>
    <x v="14"/>
    <s v="Kommunikatsiooni-, kultuuri- ja vaba aja sisustamise kulud"/>
    <n v="55"/>
    <s v="55"/>
    <x v="0"/>
    <x v="0"/>
    <s v="Põhitegevuse kulu"/>
    <n v="0"/>
  </r>
  <r>
    <x v="8"/>
    <x v="58"/>
    <x v="58"/>
    <s v="Põhihariduse otsekulud"/>
    <s v="Haridus"/>
    <s v="Laekvere õppehoone"/>
    <s v="osalustasud"/>
    <n v="100"/>
    <n v="0"/>
    <x v="14"/>
    <s v="Kommunikatsiooni-, kultuuri- ja vaba aja sisustamise kulud"/>
    <n v="55"/>
    <s v="55"/>
    <x v="0"/>
    <x v="0"/>
    <s v="Põhitegevuse kulu"/>
    <n v="0"/>
  </r>
  <r>
    <x v="8"/>
    <x v="58"/>
    <x v="58"/>
    <s v="Põhihariduse otsekulud"/>
    <s v="Haridus"/>
    <s v="Laekvere õppehoone"/>
    <s v="aastapäevad"/>
    <n v="3000"/>
    <n v="0"/>
    <x v="14"/>
    <s v="Kommunikatsiooni-, kultuuri- ja vaba aja sisustamise kulud"/>
    <n v="55"/>
    <s v="55"/>
    <x v="0"/>
    <x v="0"/>
    <s v="Põhitegevuse kulu"/>
    <n v="0"/>
  </r>
  <r>
    <x v="8"/>
    <x v="58"/>
    <x v="58"/>
    <s v="Põhihariduse otsekulud"/>
    <s v="Haridus"/>
    <s v="Laekvere õppehoone"/>
    <s v="õpilaste üritused"/>
    <n v="2000"/>
    <n v="0"/>
    <x v="14"/>
    <s v="Kommunikatsiooni-, kultuuri- ja vaba aja sisustamise kulud"/>
    <n v="55"/>
    <s v="55"/>
    <x v="0"/>
    <x v="0"/>
    <s v="Põhitegevuse kulu"/>
    <n v="0"/>
  </r>
  <r>
    <x v="8"/>
    <x v="58"/>
    <x v="58"/>
    <s v="Põhihariduse otsekulud"/>
    <s v="Haridus"/>
    <s v="Laekvere õppehoone"/>
    <s v="programmid"/>
    <n v="1000"/>
    <n v="0"/>
    <x v="5"/>
    <s v="Info- ja kommunikatsioonitehnoliigised kulud"/>
    <n v="55"/>
    <s v="55"/>
    <x v="0"/>
    <x v="0"/>
    <s v="Põhitegevuse kulu"/>
    <n v="0"/>
  </r>
  <r>
    <x v="8"/>
    <x v="58"/>
    <x v="58"/>
    <s v="Põhihariduse otsekulud"/>
    <s v="Haridus"/>
    <s v="Laekvere õppehoone"/>
    <s v="soetamine"/>
    <n v="500"/>
    <n v="0"/>
    <x v="5"/>
    <s v="Info- ja kommunikatsioonitehnoliigised kulud"/>
    <n v="55"/>
    <s v="55"/>
    <x v="0"/>
    <x v="0"/>
    <s v="Põhitegevuse kulu"/>
    <n v="0"/>
  </r>
  <r>
    <x v="8"/>
    <x v="58"/>
    <x v="58"/>
    <s v="Põhihariduse otsekulud"/>
    <s v="Haridus"/>
    <s v="Laekvere õppehoone"/>
    <s v="andmeside"/>
    <n v="600"/>
    <n v="0"/>
    <x v="5"/>
    <s v="Info- ja kommunikatsioonitehnoliigised kulud"/>
    <n v="55"/>
    <s v="55"/>
    <x v="0"/>
    <x v="0"/>
    <s v="Põhitegevuse kulu"/>
    <n v="0"/>
  </r>
  <r>
    <x v="8"/>
    <x v="58"/>
    <x v="58"/>
    <s v="Põhihariduse otsekulud"/>
    <s v="Haridus"/>
    <s v="Laekvere õppehoone"/>
    <s v="remont ja hooldus"/>
    <n v="300"/>
    <n v="0"/>
    <x v="5"/>
    <s v="Info- ja kommunikatsioonitehnoliigised kulud"/>
    <n v="55"/>
    <s v="55"/>
    <x v="0"/>
    <x v="0"/>
    <s v="Põhitegevuse kulu"/>
    <n v="0"/>
  </r>
  <r>
    <x v="8"/>
    <x v="58"/>
    <x v="58"/>
    <s v="Põhihariduse otsekulud"/>
    <s v="Haridus"/>
    <s v="Laekvere õppehoone"/>
    <s v="Pedagoogilised koolitused"/>
    <n v="1384.56"/>
    <s v="Ped."/>
    <x v="2"/>
    <s v="Koolitu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Pedagoogilised õppevahendid"/>
    <n v="4311.42"/>
    <s v="Ped."/>
    <x v="20"/>
    <s v="Õppevahendid"/>
    <n v="55"/>
    <s v="55"/>
    <x v="0"/>
    <x v="0"/>
    <s v="Põhitegevuse kulu"/>
    <n v="0"/>
  </r>
  <r>
    <x v="8"/>
    <x v="58"/>
    <x v="58"/>
    <s v="Põhihariduse otsekulud"/>
    <s v="Haridus"/>
    <s v="Muuga õppehoone"/>
    <s v="küte"/>
    <n v="270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Muuga õppehoone"/>
    <s v="elekter"/>
    <n v="53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Muuga õppehoone"/>
    <s v="el.käitlus"/>
    <n v="4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Muuga õppehoone"/>
    <s v="korrashoid"/>
    <n v="20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Muuga õppehoone"/>
    <s v="prügi"/>
    <n v="5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Muuga õppehoone"/>
    <s v="korstnapühkija"/>
    <n v="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Muuga õppehoone"/>
    <s v="vesi kanalisatsioon"/>
    <n v="15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Muuga õppehoone"/>
    <s v="rem tööd"/>
    <n v="5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Muuga õppehoone"/>
    <s v="kindlustus"/>
    <n v="9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Muuga õppehoone"/>
    <s v="Muud kinnistukulud"/>
    <n v="7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Muuga õppehoone"/>
    <s v="ohutusvahendite kontroll"/>
    <n v="15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Muuga õppehoone"/>
    <s v="büroo"/>
    <n v="40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Muuga õppehoone"/>
    <s v="tahm"/>
    <n v="25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Muuga õppehoone"/>
    <s v="trükised"/>
    <n v="17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Muuga õppehoone"/>
    <s v="post"/>
    <n v="5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Muuga õppehoone"/>
    <s v="telefon"/>
    <n v="30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Muuga õppehoone"/>
    <s v="mobiiltel"/>
    <n v="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Muuga õppehoone"/>
    <s v="kingitused"/>
    <n v="15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Muuga õppehoone"/>
    <s v="esindamine"/>
    <n v="15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Muuga õppehoone"/>
    <s v="kuulutused"/>
    <n v="5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Muuga õppehoone"/>
    <s v="Muud admin.kulud"/>
    <n v="15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Muuga õppehoone"/>
    <s v="koolitused"/>
    <n v="184.64"/>
    <n v="0"/>
    <x v="2"/>
    <s v="Koolituskulud"/>
    <n v="55"/>
    <s v="55"/>
    <x v="0"/>
    <x v="0"/>
    <s v="Põhitegevuse kulu"/>
    <n v="0"/>
  </r>
  <r>
    <x v="8"/>
    <x v="58"/>
    <x v="58"/>
    <s v="Põhihariduse otsekulud"/>
    <s v="Haridus"/>
    <s v="Muuga õppehoone"/>
    <s v="isikliku sõiduki kasutamine"/>
    <n v="600"/>
    <n v="0"/>
    <x v="3"/>
    <s v="Sõidukite ülalpidamise kulud"/>
    <n v="55"/>
    <s v="55"/>
    <x v="0"/>
    <x v="0"/>
    <s v="Põhitegevuse kulu"/>
    <n v="0"/>
  </r>
  <r>
    <x v="8"/>
    <x v="58"/>
    <x v="58"/>
    <s v="Põhihariduse otsekulud"/>
    <s v="Haridus"/>
    <s v="Muuga õppehoone"/>
    <s v="Kooli bussi haldamine"/>
    <n v="3500"/>
    <n v="0"/>
    <x v="3"/>
    <s v="Sõidukite ülalpidamise kulud"/>
    <n v="55"/>
    <s v="55"/>
    <x v="0"/>
    <x v="0"/>
    <s v="Põhitegevuse kulu"/>
    <n v="0"/>
  </r>
  <r>
    <x v="8"/>
    <x v="58"/>
    <x v="58"/>
    <s v="Põhihariduse otsekulud"/>
    <s v="Haridus"/>
    <s v="Muuga õppehoone"/>
    <s v="hooldus ja remont"/>
    <n v="500"/>
    <n v="0"/>
    <x v="8"/>
    <s v="Inventari kulud, v.a infotehnoloogia ja kaitseotstarbelised kulud"/>
    <n v="55"/>
    <s v="55"/>
    <x v="0"/>
    <x v="0"/>
    <s v="Põhitegevuse kulu"/>
    <n v="0"/>
  </r>
  <r>
    <x v="8"/>
    <x v="58"/>
    <x v="58"/>
    <s v="Põhihariduse otsekulud"/>
    <s v="Haridus"/>
    <s v="Muuga õppehoone"/>
    <s v="muud inventari kulud"/>
    <n v="700"/>
    <n v="0"/>
    <x v="8"/>
    <s v="Inventari kulud, v.a infotehnoloogia ja kaitseotstarbelised kulud"/>
    <n v="55"/>
    <s v="55"/>
    <x v="0"/>
    <x v="0"/>
    <s v="Põhitegevuse kulu"/>
    <n v="0"/>
  </r>
  <r>
    <x v="8"/>
    <x v="58"/>
    <x v="58"/>
    <s v="Põhihariduse otsekulud"/>
    <s v="Haridus"/>
    <s v="Muuga õppehoone"/>
    <s v="rent"/>
    <n v="300"/>
    <n v="0"/>
    <x v="8"/>
    <s v="Inventari kulud, v.a infotehnoloogia ja kaitseotstarbelised kulud"/>
    <n v="55"/>
    <s v="55"/>
    <x v="0"/>
    <x v="0"/>
    <s v="Põhitegevuse kulu"/>
    <n v="0"/>
  </r>
  <r>
    <x v="8"/>
    <x v="58"/>
    <x v="58"/>
    <s v="Põhihariduse otsekulud"/>
    <s v="Haridus"/>
    <s v="Muuga õppehoone"/>
    <s v="Toiduained"/>
    <n v="5985"/>
    <s v="Ped."/>
    <x v="19"/>
    <s v="Toiduained ja toitlustusteenused"/>
    <n v="55"/>
    <s v="55"/>
    <x v="0"/>
    <x v="0"/>
    <s v="Põhitegevuse kulu"/>
    <n v="0"/>
  </r>
  <r>
    <x v="8"/>
    <x v="58"/>
    <x v="58"/>
    <s v="Põhihariduse otsekulud"/>
    <s v="Haridus"/>
    <s v="Muuga õppehoone"/>
    <s v="esmaabi"/>
    <n v="100"/>
    <n v="0"/>
    <x v="9"/>
    <s v="Meditsiinikulud ja hügieenitarbed"/>
    <n v="55"/>
    <s v="55"/>
    <x v="0"/>
    <x v="0"/>
    <s v="Põhitegevuse kulu"/>
    <n v="0"/>
  </r>
  <r>
    <x v="8"/>
    <x v="58"/>
    <x v="58"/>
    <s v="Põhihariduse otsekulud"/>
    <s v="Haridus"/>
    <s v="Muuga õppehoone"/>
    <s v="hügieenivahendid"/>
    <n v="600"/>
    <n v="0"/>
    <x v="9"/>
    <s v="Meditsiinikulud ja hügieenitarbed"/>
    <n v="55"/>
    <s v="55"/>
    <x v="0"/>
    <x v="0"/>
    <s v="Põhitegevuse kulu"/>
    <n v="0"/>
  </r>
  <r>
    <x v="8"/>
    <x v="58"/>
    <x v="58"/>
    <s v="Põhihariduse otsekulud"/>
    <s v="Haridus"/>
    <s v="Muuga õppehoone"/>
    <s v="tervisekontroll"/>
    <n v="50"/>
    <n v="0"/>
    <x v="9"/>
    <s v="Meditsiinikulud ja hügieenitarbed"/>
    <n v="55"/>
    <s v="55"/>
    <x v="0"/>
    <x v="0"/>
    <s v="Põhitegevuse kulu"/>
    <n v="0"/>
  </r>
  <r>
    <x v="8"/>
    <x v="58"/>
    <x v="58"/>
    <s v="Põhihariduse otsekulud"/>
    <s v="Haridus"/>
    <s v="Muuga õppehoone"/>
    <s v="prillid"/>
    <n v="300"/>
    <n v="0"/>
    <x v="9"/>
    <s v="Meditsiinikulud ja hügieenitarbed"/>
    <n v="55"/>
    <s v="55"/>
    <x v="0"/>
    <x v="0"/>
    <s v="Põhitegevuse kulu"/>
    <n v="0"/>
  </r>
  <r>
    <x v="8"/>
    <x v="58"/>
    <x v="58"/>
    <s v="Põhihariduse otsekulud"/>
    <s v="Haridus"/>
    <s v="Muuga õppehoone"/>
    <s v="õpikud, töövihikud"/>
    <n v="313.42000000000007"/>
    <n v="0"/>
    <x v="20"/>
    <s v="Õppevahendid"/>
    <n v="55"/>
    <s v="55"/>
    <x v="0"/>
    <x v="0"/>
    <s v="Põhitegevuse kulu"/>
    <n v="0"/>
  </r>
  <r>
    <x v="8"/>
    <x v="58"/>
    <x v="58"/>
    <s v="Põhihariduse otsekulud"/>
    <s v="Haridus"/>
    <s v="Muuga õppehoone"/>
    <s v="õppematerjalid"/>
    <n v="500"/>
    <n v="0"/>
    <x v="20"/>
    <s v="Õppevahendid"/>
    <n v="55"/>
    <s v="55"/>
    <x v="0"/>
    <x v="0"/>
    <s v="Põhitegevuse kulu"/>
    <n v="0"/>
  </r>
  <r>
    <x v="8"/>
    <x v="58"/>
    <x v="58"/>
    <s v="Põhihariduse otsekulud"/>
    <s v="Haridus"/>
    <s v="Muuga õppehoone"/>
    <s v="ühisüritused"/>
    <n v="500"/>
    <n v="0"/>
    <x v="14"/>
    <s v="Kommunikatsiooni-, kultuuri- ja vaba aja sisustamise kulud"/>
    <n v="55"/>
    <s v="55"/>
    <x v="0"/>
    <x v="0"/>
    <s v="Põhitegevuse kulu"/>
    <n v="0"/>
  </r>
  <r>
    <x v="8"/>
    <x v="58"/>
    <x v="58"/>
    <s v="Põhihariduse otsekulud"/>
    <s v="Haridus"/>
    <s v="Muuga õppehoone"/>
    <s v="transport"/>
    <n v="2800"/>
    <n v="0"/>
    <x v="20"/>
    <s v="Õppevahendid"/>
    <n v="55"/>
    <s v="55"/>
    <x v="0"/>
    <x v="0"/>
    <s v="Põhitegevuse kulu"/>
    <n v="0"/>
  </r>
  <r>
    <x v="8"/>
    <x v="58"/>
    <x v="58"/>
    <s v="Põhihariduse otsekulud"/>
    <s v="Haridus"/>
    <s v="Muuga õppehoone"/>
    <s v="ujumine"/>
    <n v="800"/>
    <n v="0"/>
    <x v="20"/>
    <s v="Õppevahendid"/>
    <n v="55"/>
    <s v="55"/>
    <x v="0"/>
    <x v="0"/>
    <s v="Põhitegevuse kulu"/>
    <n v="0"/>
  </r>
  <r>
    <x v="8"/>
    <x v="58"/>
    <x v="58"/>
    <s v="Põhihariduse otsekulud"/>
    <s v="Haridus"/>
    <s v="Muuga õppehoone"/>
    <s v="etendused, kontserdid"/>
    <n v="450"/>
    <n v="0"/>
    <x v="14"/>
    <s v="Kommunikatsiooni-, kultuuri- ja vaba aja sisustamise kulud"/>
    <n v="55"/>
    <s v="55"/>
    <x v="0"/>
    <x v="0"/>
    <s v="Põhitegevuse kulu"/>
    <n v="0"/>
  </r>
  <r>
    <x v="8"/>
    <x v="58"/>
    <x v="58"/>
    <s v="Põhihariduse otsekulud"/>
    <s v="Haridus"/>
    <s v="Muuga õppehoone"/>
    <s v="osalustasud"/>
    <n v="300"/>
    <n v="0"/>
    <x v="14"/>
    <s v="Kommunikatsiooni-, kultuuri- ja vaba aja sisustamise kulud"/>
    <n v="55"/>
    <s v="55"/>
    <x v="0"/>
    <x v="0"/>
    <s v="Põhitegevuse kulu"/>
    <n v="0"/>
  </r>
  <r>
    <x v="8"/>
    <x v="58"/>
    <x v="58"/>
    <s v="Põhihariduse otsekulud"/>
    <s v="Haridus"/>
    <s v="Muuga õppehoone"/>
    <s v="õpilaste üritused, autasud"/>
    <n v="750"/>
    <n v="0"/>
    <x v="14"/>
    <s v="Kommunikatsiooni-, kultuuri- ja vaba aja sisustamise kulud"/>
    <n v="55"/>
    <s v="55"/>
    <x v="0"/>
    <x v="0"/>
    <s v="Põhitegevuse kulu"/>
    <n v="0"/>
  </r>
  <r>
    <x v="8"/>
    <x v="58"/>
    <x v="58"/>
    <s v="Põhihariduse otsekulud"/>
    <s v="Haridus"/>
    <s v="Muuga õppehoone"/>
    <s v="programmid"/>
    <n v="1000"/>
    <n v="0"/>
    <x v="5"/>
    <s v="Info- ja kommunikatsioonitehnoliigised kulud"/>
    <n v="55"/>
    <s v="55"/>
    <x v="0"/>
    <x v="0"/>
    <s v="Põhitegevuse kulu"/>
    <n v="0"/>
  </r>
  <r>
    <x v="8"/>
    <x v="58"/>
    <x v="58"/>
    <s v="Põhihariduse otsekulud"/>
    <s v="Haridus"/>
    <s v="Muuga õppehoone"/>
    <s v="soetamine"/>
    <n v="500"/>
    <n v="0"/>
    <x v="5"/>
    <s v="Info- ja kommunikatsioonitehnoliigised kulud"/>
    <n v="55"/>
    <s v="55"/>
    <x v="0"/>
    <x v="0"/>
    <s v="Põhitegevuse kulu"/>
    <n v="0"/>
  </r>
  <r>
    <x v="8"/>
    <x v="58"/>
    <x v="58"/>
    <s v="Põhihariduse otsekulud"/>
    <s v="Haridus"/>
    <s v="Muuga õppehoone"/>
    <s v="andmeside"/>
    <n v="700"/>
    <n v="0"/>
    <x v="5"/>
    <s v="Info- ja kommunikatsioonitehnoliigised kulud"/>
    <n v="55"/>
    <s v="55"/>
    <x v="0"/>
    <x v="0"/>
    <s v="Põhitegevuse kulu"/>
    <n v="0"/>
  </r>
  <r>
    <x v="8"/>
    <x v="58"/>
    <x v="58"/>
    <s v="Põhihariduse otsekulud"/>
    <s v="Haridus"/>
    <s v="Muuga õppehoone"/>
    <s v="remont ja hooldus"/>
    <n v="300"/>
    <n v="0"/>
    <x v="5"/>
    <s v="Info- ja kommunikatsioonitehnoliigised kulud"/>
    <n v="55"/>
    <s v="55"/>
    <x v="0"/>
    <x v="0"/>
    <s v="Põhitegevuse kulu"/>
    <n v="0"/>
  </r>
  <r>
    <x v="8"/>
    <x v="58"/>
    <x v="58"/>
    <s v="Põhihariduse otsekulud"/>
    <s v="Haridus"/>
    <s v="Muuga õppehoone"/>
    <s v="rent"/>
    <n v="500"/>
    <n v="0"/>
    <x v="5"/>
    <s v="Info- ja kommunikatsioonitehnoliigised kulud"/>
    <n v="55"/>
    <s v="55"/>
    <x v="0"/>
    <x v="0"/>
    <s v="Põhitegevuse kulu"/>
    <n v="0"/>
  </r>
  <r>
    <x v="8"/>
    <x v="58"/>
    <x v="58"/>
    <s v="Põhihariduse otsekulud"/>
    <s v="Haridus"/>
    <s v="Muuga õppehoone"/>
    <s v="Pedagoogilised koolitused"/>
    <n v="615.36"/>
    <s v="Ped."/>
    <x v="2"/>
    <s v="Koolituskulud"/>
    <n v="55"/>
    <s v="55"/>
    <x v="0"/>
    <x v="0"/>
    <s v="Põhitegevuse kulu"/>
    <n v="0"/>
  </r>
  <r>
    <x v="8"/>
    <x v="58"/>
    <x v="58"/>
    <s v="Põhihariduse otsekulud"/>
    <s v="Haridus"/>
    <s v="Muuga õppehoone"/>
    <s v="Pedagoogilised õppevahendid"/>
    <n v="2186.58"/>
    <s v="Ped."/>
    <x v="20"/>
    <s v="Õppevahendi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telefonid ja internet"/>
    <n v="1140"/>
    <s v="95 x 12"/>
    <x v="0"/>
    <s v="Administreeri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postikulu, kuulutused"/>
    <n v="50"/>
    <n v="0"/>
    <x v="0"/>
    <s v="Administreeri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tahmakassetid (värviline, õp.tuba, kantselei, direktor, LA)"/>
    <n v="1200"/>
    <n v="0"/>
    <x v="0"/>
    <s v="Administreeri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veebimajutus"/>
    <n v="24"/>
    <n v="0"/>
    <x v="0"/>
    <s v="Administreeri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kantseleitarbed (kalendrid, pastapl., liim jne)"/>
    <n v="200"/>
    <n v="0"/>
    <x v="0"/>
    <s v="Administreeri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printeripaber"/>
    <n v="276"/>
    <s v="20 karpi"/>
    <x v="0"/>
    <s v="Administreeri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külalised"/>
    <n v="100"/>
    <n v="0"/>
    <x v="0"/>
    <s v="Administreeri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koolituste plaan"/>
    <n v="1650"/>
    <n v="0"/>
    <x v="2"/>
    <s v="Koolitu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bussi liikluskindlustus"/>
    <n v="620"/>
    <n v="0"/>
    <x v="3"/>
    <s v="Sõidukite ülalpidamise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kütus"/>
    <n v="2700"/>
    <n v="0"/>
    <x v="3"/>
    <s v="Sõidukite ülalpidamise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remont ja hooldus"/>
    <n v="1000"/>
    <n v="0"/>
    <x v="3"/>
    <s v="Sõidukite ülalpidamise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isikliku sõduauto kasutus"/>
    <n v="640"/>
    <s v="V. Klemmer (10 x 64)"/>
    <x v="3"/>
    <s v="Sõidukite ülalpidamise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isikliku sõduauto kasutus"/>
    <n v="640"/>
    <s v="M. Mirt (10 x 64)"/>
    <x v="3"/>
    <s v="Sõidukite ülalpidamise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isikliku sõduauto kasutus"/>
    <n v="640"/>
    <s v="H. Supper (10 x 64)"/>
    <x v="3"/>
    <s v="Sõidukite ülalpidamise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isikliku sõduauto kasutus"/>
    <n v="640"/>
    <s v="U. Kruusimägi (10 x 64)"/>
    <x v="3"/>
    <s v="Sõidukite ülalpidamise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isikliku sõduauto kasutus"/>
    <n v="704"/>
    <s v="S. Kalme (11 x 64)"/>
    <x v="3"/>
    <s v="Sõidukite ülalpidamise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klaverihäälestamine"/>
    <n v="200"/>
    <s v=" klaverit"/>
    <x v="8"/>
    <s v="Inventari kulud, v.a infotehnoloogia ja kaitseotstarbelised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seadmete remondid"/>
    <n v="200"/>
    <n v="0"/>
    <x v="8"/>
    <s v="Inventari kulud, v.a infotehnoloogia ja kaitseotstarbelised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ekraan + projektor(1 tk)"/>
    <n v="1000"/>
    <s v="aula"/>
    <x v="8"/>
    <s v="Inventari kulud, v.a infotehnoloogia ja kaitseotstarbelised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toiduained  "/>
    <n v="10675"/>
    <n v="0"/>
    <x v="19"/>
    <s v="Toiduained ja toitlustusteenuse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töötervishoiuarst"/>
    <n v="150"/>
    <s v="3 töötajat"/>
    <x v="9"/>
    <s v="Meditsiinikulud ja hügieenitarbe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plaastrid, sidemed jne"/>
    <n v="100"/>
    <n v="0"/>
    <x v="9"/>
    <s v="Meditsiinikulud ja hügieenitarbe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õpikud"/>
    <n v="200"/>
    <n v="0"/>
    <x v="20"/>
    <s v="Õppevahendi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töövihikud"/>
    <n v="3023"/>
    <s v="tellimislehti pole veel"/>
    <x v="20"/>
    <s v="Õppevahendi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õpetajate tööraamatud, CD"/>
    <n v="100"/>
    <n v="0"/>
    <x v="20"/>
    <s v="Õppevahendi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Õppevahendid"/>
    <n v="500"/>
    <s v="värvil.paber,joonistuspaber,värvid,mänguasjad"/>
    <x v="20"/>
    <s v="Õppevahendi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sporditarbed"/>
    <n v="500"/>
    <s v="pallid, kõrgushüppe postid, tõkked"/>
    <x v="20"/>
    <s v="Õppevahendi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poiste tööõpetus"/>
    <n v="100"/>
    <s v="kruvid, naelad, vineerisaelehed,liivapaber"/>
    <x v="20"/>
    <s v="Õppevahendi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kodundus"/>
    <n v="200"/>
    <s v="käsitöövahendid, toiduained"/>
    <x v="20"/>
    <s v="Õppevahendi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õppeköök"/>
    <n v="200"/>
    <s v="köögi tarvikud (pannid, kausid, noad)"/>
    <x v="20"/>
    <s v="Õppevahendi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ATV bensiin suusaradade hoolduseks ja korrashoid"/>
    <n v="150"/>
    <n v="0"/>
    <x v="20"/>
    <s v="Õppevahendi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lõpetamine (kingitused lõpetajatele)"/>
    <n v="150"/>
    <s v="kool + LA"/>
    <x v="14"/>
    <s v="Kommunikatsiooni-, kultuuri- ja vaba aja sisustamise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kooli logoga meened kingitusteks"/>
    <n v="150"/>
    <n v="0"/>
    <x v="14"/>
    <s v="Kommunikatsiooni-, kultuuri- ja vaba aja sisustamise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õpilaste premeerimine saavutuste puhul"/>
    <n v="150"/>
    <n v="0"/>
    <x v="14"/>
    <s v="Kommunikatsiooni-, kultuuri- ja vaba aja sisustamise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lilled ürituste dekoreerimiseks"/>
    <n v="200"/>
    <n v="0"/>
    <x v="14"/>
    <s v="Kommunikatsiooni-, kultuuri- ja vaba aja sisustamise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spordipäevade auhinnad"/>
    <n v="100"/>
    <n v="0"/>
    <x v="14"/>
    <s v="Kommunikatsiooni-, kultuuri- ja vaba aja sisustamise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õppeekskursioon õpetajatele"/>
    <n v="700"/>
    <n v="0"/>
    <x v="14"/>
    <s v="Kommunikatsiooni-, kultuuri- ja vaba aja sisustamise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küte"/>
    <n v="37000"/>
    <n v="0"/>
    <x v="4"/>
    <s v="Kinnistute, hoonete ja ruumide majanda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elekter"/>
    <n v="6500"/>
    <n v="0"/>
    <x v="4"/>
    <s v="Kinnistute, hoonete ja ruumide majanda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vesi + kanalisatsioon + san tehnilised tööd"/>
    <n v="4000"/>
    <n v="0"/>
    <x v="4"/>
    <s v="Kinnistute, hoonete ja ruumide majanda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prügi"/>
    <n v="489"/>
    <s v="14 x 20,50 + 12 x16,80 (konteineri laenutus)"/>
    <x v="4"/>
    <s v="Kinnistute, hoonete ja ruumide majanda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valvesignalisatsioon"/>
    <n v="850"/>
    <s v="4 x 153.40 + materjalid + G4S (200.-)"/>
    <x v="4"/>
    <s v="Kinnistute, hoonete ja ruumide majanda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el.käiduleping"/>
    <n v="800"/>
    <s v="48 x 12 + materjalid"/>
    <x v="4"/>
    <s v="Kinnistute, hoonete ja ruumide majanda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söökla ventilatsiooni puhastus"/>
    <n v="450"/>
    <s v="1 kord aastas kohustuslik"/>
    <x v="4"/>
    <s v="Kinnistute, hoonete ja ruumide majanda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söökla uhteproovid, vee analüüsid"/>
    <n v="106"/>
    <s v="2 x 53"/>
    <x v="4"/>
    <s v="Kinnistute, hoonete ja ruumide majanda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söökla kahjuritõrje"/>
    <n v="92"/>
    <s v="4 x 23.01"/>
    <x v="4"/>
    <s v="Kinnistute, hoonete ja ruumide majanda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tulekustutite kontroll"/>
    <n v="113"/>
    <s v="23 x 4,90"/>
    <x v="4"/>
    <s v="Kinnistute, hoonete ja ruumide majanda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korrashoiuvahendid"/>
    <n v="1400"/>
    <s v="WC paber, puhastusvahendid jne"/>
    <x v="4"/>
    <s v="Kinnistute, hoonete ja ruumide majanda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pisiremont (pahtel, värv jne)"/>
    <n v="4500"/>
    <n v="0"/>
    <x v="4"/>
    <s v="Kinnistute, hoonete ja ruumide majandami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e-kool"/>
    <n v="400"/>
    <s v="12 x 33,33"/>
    <x v="5"/>
    <s v="Info- ja kommunikatsioonitehnoliigised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arvutiprogrammid, hooldused"/>
    <n v="250"/>
    <s v="viiruse tõrje"/>
    <x v="5"/>
    <s v="Info- ja kommunikatsioonitehnoliigised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haridusserver"/>
    <n v="20"/>
    <n v="0"/>
    <x v="5"/>
    <s v="Info- ja kommunikatsioonitehnoliigised 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sülearvuti (2 tk)"/>
    <n v="1000"/>
    <s v="õpetajatele vanade asendamiseks"/>
    <x v="5"/>
    <s v="Info- ja kommunikatsioonitehnoliigised kulud"/>
    <n v="55"/>
    <s v="55"/>
    <x v="0"/>
    <x v="0"/>
    <s v="Põhitegevuse kulu"/>
    <n v="0"/>
  </r>
  <r>
    <x v="8"/>
    <x v="59"/>
    <x v="59"/>
    <s v="Põhihariduse otsekulud"/>
    <s v="Haridus"/>
    <s v="Roela kool"/>
    <s v="Signalisatsioon ühendada (LA, r/k, kool)"/>
    <n v="785.4"/>
    <s v="LA ja r/k signal. puudub"/>
    <x v="4"/>
    <s v="Kinnistute, hoonete ja ruumide majandamiskulud"/>
    <n v="55"/>
    <s v="55"/>
    <x v="0"/>
    <x v="0"/>
    <s v="Põhitegevuse kulu"/>
    <n v="0"/>
  </r>
  <r>
    <x v="8"/>
    <x v="59"/>
    <x v="59"/>
    <s v="Põhihariduse otsekulud"/>
    <s v="Haridus"/>
    <s v="Roela kool"/>
    <s v="Kooli ja LA juubel (40/45)"/>
    <n v="4580"/>
    <s v="Esinejad, toitlustamine, meened"/>
    <x v="14"/>
    <s v="Kommunikatsiooni-, kultuuri- ja vaba aja sisustamise kulud"/>
    <n v="55"/>
    <s v="55"/>
    <x v="0"/>
    <x v="0"/>
    <s v="Põhitegevuse kulu"/>
    <n v="0"/>
  </r>
  <r>
    <x v="8"/>
    <x v="59"/>
    <x v="59"/>
    <s v="Põhihariduse otsekulud"/>
    <s v="Haridus"/>
    <s v="Roela kool"/>
    <s v="1. klassi ujumise transport (19 x 40.-)"/>
    <n v="760"/>
    <s v="õppekavas ette nähtud"/>
    <x v="1"/>
    <s v="Mitmesugused majandu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Pedagoogilised koolitused"/>
    <n v="1100"/>
    <s v="Ped."/>
    <x v="2"/>
    <s v="Koolituskulud"/>
    <n v="55"/>
    <s v="55"/>
    <x v="0"/>
    <x v="0"/>
    <s v="Põhitegevuse kulu"/>
    <n v="0"/>
  </r>
  <r>
    <x v="8"/>
    <x v="59"/>
    <x v="59"/>
    <s v="Põhihariduse otsekulud"/>
    <s v="Haridus"/>
    <s v="Ferdinand von Wrangelli nim Roela Lasteaed-Põhikool"/>
    <s v="Pedagoogilised õppevahendid"/>
    <n v="3477"/>
    <s v="Ped."/>
    <x v="20"/>
    <s v="Õppevahendid"/>
    <n v="55"/>
    <s v="55"/>
    <x v="0"/>
    <x v="0"/>
    <s v="Põhitegevuse kulu"/>
    <n v="0"/>
  </r>
  <r>
    <x v="8"/>
    <x v="60"/>
    <x v="60"/>
    <s v="Põhihariduse otsekulud"/>
    <s v="Haridus"/>
    <s v="Tudu Põhikool"/>
    <s v="telefonid ja internet"/>
    <n v="800"/>
    <s v="EMT 200; lauatel+neti=600"/>
    <x v="0"/>
    <s v="Administreerimiskulud"/>
    <n v="55"/>
    <s v="55"/>
    <x v="0"/>
    <x v="0"/>
    <s v="Põhitegevuse kulu"/>
    <n v="0"/>
  </r>
  <r>
    <x v="8"/>
    <x v="60"/>
    <x v="60"/>
    <s v="Põhihariduse otsekulud"/>
    <s v="Haridus"/>
    <s v="Tudu Põhikool"/>
    <s v="postikulu"/>
    <n v="50"/>
    <n v="0"/>
    <x v="0"/>
    <s v="Administreerimiskulud"/>
    <n v="55"/>
    <s v="55"/>
    <x v="0"/>
    <x v="0"/>
    <s v="Põhitegevuse kulu"/>
    <n v="0"/>
  </r>
  <r>
    <x v="8"/>
    <x v="60"/>
    <x v="60"/>
    <s v="Põhihariduse otsekulud"/>
    <s v="Haridus"/>
    <s v="Tudu Põhikool"/>
    <s v="printeritahm ja tint"/>
    <n v="200"/>
    <n v="0"/>
    <x v="0"/>
    <s v="Administreerimiskulud"/>
    <n v="55"/>
    <s v="55"/>
    <x v="0"/>
    <x v="0"/>
    <s v="Põhitegevuse kulu"/>
    <n v="0"/>
  </r>
  <r>
    <x v="8"/>
    <x v="60"/>
    <x v="60"/>
    <s v="Põhihariduse otsekulud"/>
    <s v="Haridus"/>
    <s v="Tudu Põhikool"/>
    <s v="kantseleitarbed"/>
    <n v="200"/>
    <s v="paber, kladed, pliiatsid jne"/>
    <x v="0"/>
    <s v="Administreerimiskulud"/>
    <n v="55"/>
    <s v="55"/>
    <x v="0"/>
    <x v="0"/>
    <s v="Põhitegevuse kulu"/>
    <n v="0"/>
  </r>
  <r>
    <x v="8"/>
    <x v="60"/>
    <x v="60"/>
    <s v="Põhihariduse otsekulud"/>
    <s v="Haridus"/>
    <s v="Tudu Põhikool"/>
    <s v="kuulutused"/>
    <n v="50"/>
    <n v="0"/>
    <x v="0"/>
    <s v="Administreerimiskulud"/>
    <n v="55"/>
    <s v="55"/>
    <x v="0"/>
    <x v="0"/>
    <s v="Põhitegevuse kulu"/>
    <n v="0"/>
  </r>
  <r>
    <x v="8"/>
    <x v="60"/>
    <x v="60"/>
    <s v="Põhihariduse otsekulud"/>
    <s v="Haridus"/>
    <s v="Tudu Põhikool"/>
    <s v="ajakirjanduse tellimine"/>
    <n v="230"/>
    <s v="ajalehed"/>
    <x v="0"/>
    <s v="Administreerimiskulud"/>
    <n v="55"/>
    <s v="55"/>
    <x v="0"/>
    <x v="0"/>
    <s v="Põhitegevuse kulu"/>
    <n v="0"/>
  </r>
  <r>
    <x v="8"/>
    <x v="60"/>
    <x v="60"/>
    <s v="Põhihariduse otsekulud"/>
    <s v="Haridus"/>
    <s v="Tudu Põhikool"/>
    <s v="erivajadustega laste õpet"/>
    <n v="200"/>
    <n v="0"/>
    <x v="2"/>
    <s v="Koolituskulud"/>
    <n v="55"/>
    <s v="55"/>
    <x v="0"/>
    <x v="0"/>
    <s v="Põhitegevuse kulu"/>
    <n v="0"/>
  </r>
  <r>
    <x v="8"/>
    <x v="60"/>
    <x v="60"/>
    <s v="Põhihariduse otsekulud"/>
    <s v="Haridus"/>
    <s v="Tudu Põhikool"/>
    <s v="robootika ainetundides"/>
    <n v="100"/>
    <n v="0"/>
    <x v="2"/>
    <s v="Koolituskulud"/>
    <n v="55"/>
    <s v="55"/>
    <x v="0"/>
    <x v="0"/>
    <s v="Põhitegevuse kulu"/>
    <n v="0"/>
  </r>
  <r>
    <x v="8"/>
    <x v="60"/>
    <x v="60"/>
    <s v="Põhihariduse otsekulud"/>
    <s v="Haridus"/>
    <s v="Tudu Põhikool"/>
    <s v="enesekehtestamine"/>
    <n v="300"/>
    <n v="0"/>
    <x v="2"/>
    <s v="Koolituskulud"/>
    <n v="55"/>
    <s v="55"/>
    <x v="0"/>
    <x v="0"/>
    <s v="Põhitegevuse kulu"/>
    <n v="0"/>
  </r>
  <r>
    <x v="8"/>
    <x v="60"/>
    <x v="60"/>
    <s v="Põhihariduse otsekulud"/>
    <s v="Haridus"/>
    <s v="Tudu Põhikool"/>
    <s v="kindlustus"/>
    <n v="684"/>
    <n v="0"/>
    <x v="3"/>
    <s v="Sõidukite ülalpidamise kulud"/>
    <n v="55"/>
    <s v="55"/>
    <x v="0"/>
    <x v="0"/>
    <s v="Põhitegevuse kulu"/>
    <n v="0"/>
  </r>
  <r>
    <x v="8"/>
    <x v="60"/>
    <x v="60"/>
    <s v="Põhihariduse otsekulud"/>
    <s v="Haridus"/>
    <s v="Tudu Põhikool"/>
    <s v="hooldus"/>
    <n v="500"/>
    <n v="0"/>
    <x v="3"/>
    <s v="Sõidukite ülalpidamise kulud"/>
    <n v="55"/>
    <s v="55"/>
    <x v="0"/>
    <x v="0"/>
    <s v="Põhitegevuse kulu"/>
    <n v="0"/>
  </r>
  <r>
    <x v="8"/>
    <x v="60"/>
    <x v="60"/>
    <s v="Põhihariduse otsekulud"/>
    <s v="Haridus"/>
    <s v="Tudu Põhikool"/>
    <s v="kütus"/>
    <n v="5000"/>
    <n v="0"/>
    <x v="3"/>
    <s v="Sõidukite ülalpidamise kulud"/>
    <n v="55"/>
    <s v="55"/>
    <x v="0"/>
    <x v="0"/>
    <s v="Põhitegevuse kulu"/>
    <n v="0"/>
  </r>
  <r>
    <x v="8"/>
    <x v="60"/>
    <x v="60"/>
    <s v="Põhihariduse otsekulud"/>
    <s v="Haridus"/>
    <s v="Tudu Põhikool"/>
    <s v="autohüvitised"/>
    <n v="200"/>
    <n v="0"/>
    <x v="3"/>
    <s v="Sõidukite ülalpidamise kulud"/>
    <n v="55"/>
    <s v="55"/>
    <x v="0"/>
    <x v="0"/>
    <s v="Põhitegevuse kulu"/>
    <n v="0"/>
  </r>
  <r>
    <x v="8"/>
    <x v="60"/>
    <x v="60"/>
    <s v="Põhihariduse otsekulud"/>
    <s v="Haridus"/>
    <s v="Tudu Põhikool"/>
    <s v="liising"/>
    <n v="4824"/>
    <n v="0"/>
    <x v="3"/>
    <s v="Sõidukite ülalpidamise kulud"/>
    <n v="55"/>
    <s v="55"/>
    <x v="0"/>
    <x v="0"/>
    <s v="Põhitegevuse kulu"/>
    <n v="0"/>
  </r>
  <r>
    <x v="8"/>
    <x v="60"/>
    <x v="60"/>
    <s v="Põhihariduse otsekulud"/>
    <s v="Haridus"/>
    <s v="Tudu Põhikool"/>
    <s v="rehvivahetus"/>
    <n v="100"/>
    <n v="0"/>
    <x v="3"/>
    <s v="Sõidukite ülalpidamise kulud"/>
    <n v="55"/>
    <s v="55"/>
    <x v="0"/>
    <x v="0"/>
    <s v="Põhitegevuse kulu"/>
    <n v="0"/>
  </r>
  <r>
    <x v="8"/>
    <x v="60"/>
    <x v="60"/>
    <s v="Põhihariduse otsekulud"/>
    <s v="Haridus"/>
    <s v="Tudu Põhikool"/>
    <s v="robootika õppevah"/>
    <n v="160"/>
    <n v="0"/>
    <x v="20"/>
    <s v="Õppevahendid"/>
    <n v="55"/>
    <s v="55"/>
    <x v="0"/>
    <x v="0"/>
    <s v="Põhitegevuse kulu"/>
    <n v="0"/>
  </r>
  <r>
    <x v="8"/>
    <x v="60"/>
    <x v="60"/>
    <s v="Põhihariduse otsekulud"/>
    <s v="Haridus"/>
    <s v="Tudu Põhikool"/>
    <s v="muruniiduk"/>
    <n v="250"/>
    <n v="0"/>
    <x v="8"/>
    <s v="Inventari kulud, v.a infotehnoloogia ja kaitseotstarbelised kulud"/>
    <n v="55"/>
    <s v="55"/>
    <x v="0"/>
    <x v="0"/>
    <s v="Põhitegevuse kulu"/>
    <n v="0"/>
  </r>
  <r>
    <x v="8"/>
    <x v="60"/>
    <x v="60"/>
    <s v="Põhihariduse otsekulud"/>
    <s v="Haridus"/>
    <s v="Tudu Põhikool"/>
    <s v="köögikombain"/>
    <n v="150"/>
    <n v="0"/>
    <x v="8"/>
    <s v="Inventari kulud, v.a infotehnoloogia ja kaitseotstarbelised kulud"/>
    <n v="55"/>
    <s v="55"/>
    <x v="0"/>
    <x v="0"/>
    <s v="Põhitegevuse kulu"/>
    <n v="0"/>
  </r>
  <r>
    <x v="8"/>
    <x v="60"/>
    <x v="60"/>
    <s v="Põhihariduse otsekulud"/>
    <s v="Haridus"/>
    <s v="Tudu Põhikool"/>
    <s v="tolmuimeja"/>
    <n v="100"/>
    <n v="0"/>
    <x v="8"/>
    <s v="Inventari kulud, v.a infotehnoloogia ja kaitseotstarbelised kulud"/>
    <n v="55"/>
    <s v="55"/>
    <x v="0"/>
    <x v="0"/>
    <s v="Põhitegevuse kulu"/>
    <n v="0"/>
  </r>
  <r>
    <x v="8"/>
    <x v="60"/>
    <x v="60"/>
    <s v="Põhihariduse otsekulud"/>
    <s v="Haridus"/>
    <s v="Tudu Põhikool"/>
    <s v="kool"/>
    <n v="2275"/>
    <s v="Ped."/>
    <x v="19"/>
    <s v="Toiduained ja toitlustusteenused"/>
    <n v="55"/>
    <s v="55"/>
    <x v="0"/>
    <x v="0"/>
    <s v="Põhitegevuse kulu"/>
    <n v="0"/>
  </r>
  <r>
    <x v="8"/>
    <x v="60"/>
    <x v="60"/>
    <s v="Põhihariduse otsekulud"/>
    <s v="Haridus"/>
    <s v="Tudu Põhikool"/>
    <s v="tervisekontroll"/>
    <n v="50"/>
    <n v="0"/>
    <x v="9"/>
    <s v="Meditsiinikulud ja hügieenitarbed"/>
    <n v="55"/>
    <s v="55"/>
    <x v="0"/>
    <x v="0"/>
    <s v="Põhitegevuse kulu"/>
    <n v="0"/>
  </r>
  <r>
    <x v="8"/>
    <x v="60"/>
    <x v="60"/>
    <s v="Põhihariduse otsekulud"/>
    <s v="Haridus"/>
    <s v="Tudu Põhikool"/>
    <s v="esmaabi kapp"/>
    <n v="100"/>
    <n v="0"/>
    <x v="9"/>
    <s v="Meditsiinikulud ja hügieenitarbed"/>
    <n v="55"/>
    <s v="55"/>
    <x v="0"/>
    <x v="0"/>
    <s v="Põhitegevuse kulu"/>
    <n v="0"/>
  </r>
  <r>
    <x v="8"/>
    <x v="60"/>
    <x v="60"/>
    <s v="Põhihariduse otsekulud"/>
    <s v="Haridus"/>
    <s v="Tudu Põhikool"/>
    <s v="õpikud sh etunni mälupulgad õpet"/>
    <n v="1200"/>
    <n v="0"/>
    <x v="20"/>
    <s v="Õppevahendid"/>
    <n v="55"/>
    <s v="55"/>
    <x v="0"/>
    <x v="0"/>
    <s v="Põhitegevuse kulu"/>
    <n v="0"/>
  </r>
  <r>
    <x v="8"/>
    <x v="60"/>
    <x v="60"/>
    <s v="Põhihariduse otsekulud"/>
    <s v="Haridus"/>
    <s v="Tudu Põhikool"/>
    <s v="töövihikud"/>
    <n v="400"/>
    <n v="0"/>
    <x v="20"/>
    <s v="Õppevahendid"/>
    <n v="55"/>
    <s v="55"/>
    <x v="0"/>
    <x v="0"/>
    <s v="Põhitegevuse kulu"/>
    <n v="0"/>
  </r>
  <r>
    <x v="8"/>
    <x v="60"/>
    <x v="60"/>
    <s v="Põhihariduse otsekulud"/>
    <s v="Haridus"/>
    <s v="Tudu Põhikool"/>
    <s v="tehnoloogia, kodund õppev"/>
    <n v="300"/>
    <n v="0"/>
    <x v="20"/>
    <s v="Õppevahendid"/>
    <n v="55"/>
    <s v="55"/>
    <x v="0"/>
    <x v="0"/>
    <s v="Põhitegevuse kulu"/>
    <n v="0"/>
  </r>
  <r>
    <x v="8"/>
    <x v="60"/>
    <x v="60"/>
    <s v="Põhihariduse otsekulud"/>
    <s v="Haridus"/>
    <s v="Tudu Põhikool"/>
    <s v="eriped teenus"/>
    <n v="900"/>
    <n v="0"/>
    <x v="20"/>
    <s v="Õppevahendid"/>
    <n v="55"/>
    <s v="55"/>
    <x v="0"/>
    <x v="0"/>
    <s v="Põhitegevuse kulu"/>
    <n v="0"/>
  </r>
  <r>
    <x v="8"/>
    <x v="60"/>
    <x v="60"/>
    <s v="Põhihariduse otsekulud"/>
    <s v="Haridus"/>
    <s v="Tudu Põhikool"/>
    <s v="paber, värvid jm"/>
    <n v="100"/>
    <n v="0"/>
    <x v="20"/>
    <s v="Õppevahendid"/>
    <n v="55"/>
    <s v="55"/>
    <x v="0"/>
    <x v="0"/>
    <s v="Põhitegevuse kulu"/>
    <n v="0"/>
  </r>
  <r>
    <x v="8"/>
    <x v="60"/>
    <x v="60"/>
    <s v="Põhihariduse otsekulud"/>
    <s v="Haridus"/>
    <s v="Tudu Põhikool"/>
    <s v="vastlapäev"/>
    <n v="10"/>
    <n v="0"/>
    <x v="14"/>
    <s v="Kommunikatsiooni-, kultuuri- ja vaba aja sisustamise kulud"/>
    <n v="55"/>
    <s v="55"/>
    <x v="0"/>
    <x v="0"/>
    <s v="Põhitegevuse kulu"/>
    <n v="0"/>
  </r>
  <r>
    <x v="8"/>
    <x v="60"/>
    <x v="60"/>
    <s v="Põhihariduse otsekulud"/>
    <s v="Haridus"/>
    <s v="Tudu Põhikool"/>
    <s v="EV aastpäev"/>
    <n v="20"/>
    <n v="0"/>
    <x v="14"/>
    <s v="Kommunikatsiooni-, kultuuri- ja vaba aja sisustamise kulud"/>
    <n v="55"/>
    <s v="55"/>
    <x v="0"/>
    <x v="0"/>
    <s v="Põhitegevuse kulu"/>
    <n v="0"/>
  </r>
  <r>
    <x v="8"/>
    <x v="60"/>
    <x v="60"/>
    <s v="Põhihariduse otsekulud"/>
    <s v="Haridus"/>
    <s v="Tudu Põhikool"/>
    <s v="etenduse dekor"/>
    <n v="40"/>
    <n v="0"/>
    <x v="14"/>
    <s v="Kommunikatsiooni-, kultuuri- ja vaba aja sisustamise kulud"/>
    <n v="55"/>
    <s v="55"/>
    <x v="0"/>
    <x v="0"/>
    <s v="Põhitegevuse kulu"/>
    <n v="0"/>
  </r>
  <r>
    <x v="8"/>
    <x v="60"/>
    <x v="60"/>
    <s v="Põhihariduse otsekulud"/>
    <s v="Haridus"/>
    <s v="Tudu Põhikool"/>
    <s v="jõuluvana"/>
    <n v="75"/>
    <n v="0"/>
    <x v="14"/>
    <s v="Kommunikatsiooni-, kultuuri- ja vaba aja sisustamise kulud"/>
    <n v="55"/>
    <s v="55"/>
    <x v="0"/>
    <x v="0"/>
    <s v="Põhitegevuse kulu"/>
    <n v="0"/>
  </r>
  <r>
    <x v="8"/>
    <x v="60"/>
    <x v="60"/>
    <s v="Põhihariduse otsekulud"/>
    <s v="Haridus"/>
    <s v="Tudu Põhikool"/>
    <s v="isadepäev, emadepäev"/>
    <n v="50"/>
    <n v="0"/>
    <x v="14"/>
    <s v="Kommunikatsiooni-, kultuuri- ja vaba aja sisustamise kulud"/>
    <n v="55"/>
    <s v="55"/>
    <x v="0"/>
    <x v="0"/>
    <s v="Põhitegevuse kulu"/>
    <n v="0"/>
  </r>
  <r>
    <x v="8"/>
    <x v="60"/>
    <x v="60"/>
    <s v="Põhihariduse otsekulud"/>
    <s v="Haridus"/>
    <s v="Tudu Põhikool"/>
    <s v="ekskursioonid, õppepäevad"/>
    <n v="500"/>
    <n v="0"/>
    <x v="14"/>
    <s v="Kommunikatsiooni-, kultuuri- ja vaba aja sisustamise kulud"/>
    <n v="55"/>
    <s v="55"/>
    <x v="0"/>
    <x v="0"/>
    <s v="Põhitegevuse kulu"/>
    <n v="0"/>
  </r>
  <r>
    <x v="8"/>
    <x v="60"/>
    <x v="60"/>
    <s v="Põhihariduse otsekulud"/>
    <s v="Haridus"/>
    <s v="Tudu Põhikool"/>
    <s v="õa lõpetamine"/>
    <n v="30"/>
    <n v="0"/>
    <x v="14"/>
    <s v="Kommunikatsiooni-, kultuuri- ja vaba aja sisustamise kulud"/>
    <n v="55"/>
    <s v="55"/>
    <x v="0"/>
    <x v="0"/>
    <s v="Põhitegevuse kulu"/>
    <n v="0"/>
  </r>
  <r>
    <x v="8"/>
    <x v="60"/>
    <x v="60"/>
    <s v="Põhihariduse otsekulud"/>
    <s v="Haridus"/>
    <s v="Tudu Põhikool"/>
    <s v="õpetajate päev "/>
    <n v="20"/>
    <n v="0"/>
    <x v="14"/>
    <s v="Kommunikatsiooni-, kultuuri- ja vaba aja sisustamise kulud"/>
    <n v="55"/>
    <s v="55"/>
    <x v="0"/>
    <x v="0"/>
    <s v="Põhitegevuse kulu"/>
    <n v="0"/>
  </r>
  <r>
    <x v="8"/>
    <x v="60"/>
    <x v="60"/>
    <s v="Põhihariduse otsekulud"/>
    <s v="Haridus"/>
    <s v="Tudu Põhikool"/>
    <s v="Tudu hariduselu 170 tähist"/>
    <n v="200"/>
    <n v="0"/>
    <x v="14"/>
    <s v="Kommunikatsiooni-, kultuuri- ja vaba aja sisustamise kulud"/>
    <n v="55"/>
    <s v="55"/>
    <x v="0"/>
    <x v="0"/>
    <s v="Põhitegevuse kulu"/>
    <n v="0"/>
  </r>
  <r>
    <x v="8"/>
    <x v="60"/>
    <x v="60"/>
    <s v="Põhihariduse otsekulud"/>
    <s v="Haridus"/>
    <s v="Tudu Põhikool"/>
    <s v="küte"/>
    <n v="6500"/>
    <n v="0"/>
    <x v="4"/>
    <s v="Kinnistute, hoonete ja ruumide majandamiskulud"/>
    <n v="55"/>
    <s v="55"/>
    <x v="0"/>
    <x v="0"/>
    <s v="Põhitegevuse kulu"/>
    <n v="0"/>
  </r>
  <r>
    <x v="8"/>
    <x v="60"/>
    <x v="60"/>
    <s v="Põhihariduse otsekulud"/>
    <s v="Haridus"/>
    <s v="Tudu Põhikool"/>
    <s v="elekter"/>
    <n v="2700"/>
    <n v="0"/>
    <x v="4"/>
    <s v="Kinnistute, hoonete ja ruumide majandamiskulud"/>
    <n v="55"/>
    <s v="55"/>
    <x v="0"/>
    <x v="0"/>
    <s v="Põhitegevuse kulu"/>
    <n v="0"/>
  </r>
  <r>
    <x v="8"/>
    <x v="60"/>
    <x v="60"/>
    <s v="Põhihariduse otsekulud"/>
    <s v="Haridus"/>
    <s v="Tudu Põhikool"/>
    <s v="korrashoiuvahendid"/>
    <n v="300"/>
    <n v="0"/>
    <x v="4"/>
    <s v="Kinnistute, hoonete ja ruumide majandamiskulud"/>
    <n v="55"/>
    <s v="55"/>
    <x v="0"/>
    <x v="0"/>
    <s v="Põhitegevuse kulu"/>
    <n v="0"/>
  </r>
  <r>
    <x v="8"/>
    <x v="60"/>
    <x v="60"/>
    <s v="Põhihariduse otsekulud"/>
    <s v="Haridus"/>
    <s v="Tudu Põhikool"/>
    <s v="aknapesuteenus"/>
    <n v="500"/>
    <n v="0"/>
    <x v="4"/>
    <s v="Kinnistute, hoonete ja ruumide majandamiskulud"/>
    <n v="55"/>
    <s v="55"/>
    <x v="0"/>
    <x v="0"/>
    <s v="Põhitegevuse kulu"/>
    <n v="0"/>
  </r>
  <r>
    <x v="8"/>
    <x v="60"/>
    <x v="60"/>
    <s v="Põhihariduse otsekulud"/>
    <s v="Haridus"/>
    <s v="Tudu Põhikool"/>
    <s v="prügi"/>
    <n v="400"/>
    <n v="0"/>
    <x v="4"/>
    <s v="Kinnistute, hoonete ja ruumide majandamiskulud"/>
    <n v="55"/>
    <s v="55"/>
    <x v="0"/>
    <x v="0"/>
    <s v="Põhitegevuse kulu"/>
    <n v="0"/>
  </r>
  <r>
    <x v="8"/>
    <x v="60"/>
    <x v="60"/>
    <s v="Põhihariduse otsekulud"/>
    <s v="Haridus"/>
    <s v="Tudu Põhikool"/>
    <s v="elektritööd"/>
    <n v="600"/>
    <n v="0"/>
    <x v="4"/>
    <s v="Kinnistute, hoonete ja ruumide majandamiskulud"/>
    <n v="55"/>
    <s v="55"/>
    <x v="0"/>
    <x v="0"/>
    <s v="Põhitegevuse kulu"/>
    <n v="0"/>
  </r>
  <r>
    <x v="8"/>
    <x v="60"/>
    <x v="60"/>
    <s v="Põhihariduse otsekulud"/>
    <s v="Haridus"/>
    <s v="Tudu Põhikool"/>
    <s v="korstnapühkimine"/>
    <n v="200"/>
    <n v="0"/>
    <x v="4"/>
    <s v="Kinnistute, hoonete ja ruumide majandamiskulud"/>
    <n v="55"/>
    <s v="55"/>
    <x v="0"/>
    <x v="0"/>
    <s v="Põhitegevuse kulu"/>
    <n v="0"/>
  </r>
  <r>
    <x v="8"/>
    <x v="60"/>
    <x v="60"/>
    <s v="Põhihariduse otsekulud"/>
    <s v="Haridus"/>
    <s v="Tudu Põhikool"/>
    <s v="vee analüüsid"/>
    <n v="80"/>
    <n v="0"/>
    <x v="4"/>
    <s v="Kinnistute, hoonete ja ruumide majandamiskulud"/>
    <n v="55"/>
    <s v="55"/>
    <x v="0"/>
    <x v="0"/>
    <s v="Põhitegevuse kulu"/>
    <n v="0"/>
  </r>
  <r>
    <x v="8"/>
    <x v="60"/>
    <x v="60"/>
    <s v="Põhihariduse otsekulud"/>
    <s v="Haridus"/>
    <s v="Tudu Põhikool"/>
    <s v="vesi, kanalisatsioon"/>
    <n v="1100"/>
    <n v="0"/>
    <x v="4"/>
    <s v="Kinnistute, hoonete ja ruumide majandamiskulud"/>
    <n v="55"/>
    <s v="55"/>
    <x v="0"/>
    <x v="0"/>
    <s v="Põhitegevuse kulu"/>
    <n v="0"/>
  </r>
  <r>
    <x v="8"/>
    <x v="60"/>
    <x v="60"/>
    <s v="Põhihariduse otsekulud"/>
    <s v="Haridus"/>
    <s v="Tudu Põhikool"/>
    <s v="jooksev remont"/>
    <n v="600"/>
    <n v="0"/>
    <x v="4"/>
    <s v="Kinnistute, hoonete ja ruumide majandamiskulud"/>
    <n v="55"/>
    <s v="55"/>
    <x v="0"/>
    <x v="0"/>
    <s v="Põhitegevuse kulu"/>
    <n v="0"/>
  </r>
  <r>
    <x v="8"/>
    <x v="60"/>
    <x v="60"/>
    <s v="Põhihariduse otsekulud"/>
    <s v="Haridus"/>
    <s v="Tudu Põhikool"/>
    <s v="riigi sümboolika"/>
    <n v="150"/>
    <n v="0"/>
    <x v="4"/>
    <s v="Kinnistute, hoonete ja ruumide majandamiskulud"/>
    <n v="55"/>
    <s v="55"/>
    <x v="0"/>
    <x v="0"/>
    <s v="Põhitegevuse kulu"/>
    <n v="0"/>
  </r>
  <r>
    <x v="8"/>
    <x v="60"/>
    <x v="60"/>
    <s v="Põhihariduse otsekulud"/>
    <s v="Haridus"/>
    <s v="Tudu Põhikool"/>
    <s v="kooliaed(seemned, istikud)"/>
    <n v="150"/>
    <n v="0"/>
    <x v="4"/>
    <s v="Kinnistute, hoonete ja ruumide majandamiskulud"/>
    <n v="55"/>
    <s v="55"/>
    <x v="0"/>
    <x v="0"/>
    <s v="Põhitegevuse kulu"/>
    <n v="0"/>
  </r>
  <r>
    <x v="8"/>
    <x v="60"/>
    <x v="60"/>
    <s v="Põhihariduse otsekulud"/>
    <s v="Haridus"/>
    <s v="Tudu Põhikool"/>
    <s v="avariivalgustus"/>
    <n v="200"/>
    <n v="0"/>
    <x v="4"/>
    <s v="Kinnistute, hoonete ja ruumide majandamiskulud"/>
    <n v="55"/>
    <s v="55"/>
    <x v="0"/>
    <x v="0"/>
    <s v="Põhitegevuse kulu"/>
    <n v="0"/>
  </r>
  <r>
    <x v="8"/>
    <x v="60"/>
    <x v="60"/>
    <s v="Põhihariduse otsekulud"/>
    <s v="Haridus"/>
    <s v="Tudu Põhikool"/>
    <s v="ATS hooldus"/>
    <n v="500"/>
    <n v="0"/>
    <x v="4"/>
    <s v="Kinnistute, hoonete ja ruumide majandamiskulud"/>
    <n v="55"/>
    <s v="55"/>
    <x v="0"/>
    <x v="0"/>
    <s v="Põhitegevuse kulu"/>
    <n v="0"/>
  </r>
  <r>
    <x v="8"/>
    <x v="60"/>
    <x v="60"/>
    <s v="Põhihariduse otsekulud"/>
    <s v="Haridus"/>
    <s v="Tudu Põhikool"/>
    <s v="arvutiprogrammid, hooldused"/>
    <n v="650"/>
    <n v="0"/>
    <x v="5"/>
    <s v="Info- ja kommunikatsioonitehnoliigised kulud"/>
    <n v="55"/>
    <s v="55"/>
    <x v="0"/>
    <x v="0"/>
    <s v="Põhitegevuse kulu"/>
    <n v="0"/>
  </r>
  <r>
    <x v="8"/>
    <x v="60"/>
    <x v="60"/>
    <s v="Põhihariduse otsekulud"/>
    <s v="Haridus"/>
    <s v="Tudu Põhikool"/>
    <s v="IT-tarvikud"/>
    <n v="150"/>
    <n v="0"/>
    <x v="5"/>
    <s v="Info- ja kommunikatsioonitehnoliigised kulud"/>
    <n v="55"/>
    <s v="55"/>
    <x v="0"/>
    <x v="0"/>
    <s v="Põhitegevuse kulu"/>
    <n v="0"/>
  </r>
  <r>
    <x v="8"/>
    <x v="60"/>
    <x v="60"/>
    <s v="Põhihariduse otsekulud"/>
    <s v="Haridus"/>
    <s v="Tudu Põhikool"/>
    <s v="koopiamasin"/>
    <n v="100"/>
    <n v="0"/>
    <x v="5"/>
    <s v="Info- ja kommunikatsioonitehnoliigised kulud"/>
    <n v="55"/>
    <s v="55"/>
    <x v="0"/>
    <x v="0"/>
    <s v="Põhitegevuse kulu"/>
    <n v="0"/>
  </r>
  <r>
    <x v="8"/>
    <x v="60"/>
    <x v="60"/>
    <s v="Põhihariduse otsekulud"/>
    <s v="Haridus"/>
    <s v="Tudu Põhikool"/>
    <s v="Pedagoogilised koolitused"/>
    <n v="200"/>
    <s v="Ped."/>
    <x v="2"/>
    <s v="Koolituskulud"/>
    <n v="55"/>
    <s v="55"/>
    <x v="0"/>
    <x v="0"/>
    <s v="Põhitegevuse kulu"/>
    <n v="0"/>
  </r>
  <r>
    <x v="8"/>
    <x v="60"/>
    <x v="60"/>
    <s v="Põhihariduse otsekulud"/>
    <s v="Haridus"/>
    <s v="Tudu Põhikool"/>
    <s v="Pedagoogilised õppevahendid"/>
    <n v="741"/>
    <s v="Ped."/>
    <x v="20"/>
    <s v="Õppevahendi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telefonid ja internet "/>
    <n v="5940"/>
    <s v="Telia Ettevõted, internet ja telefonid"/>
    <x v="0"/>
    <s v="Administreeri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mobiilside"/>
    <n v="210"/>
    <s v="Telia "/>
    <x v="0"/>
    <s v="Administreeri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postikulu"/>
    <n v="250"/>
    <s v="aruanded jne "/>
    <x v="0"/>
    <s v="Administreeri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ajalehed ja muu teabekirjandus"/>
    <n v="750"/>
    <s v="päevaleht,õpetajate leht,virumaa teataja"/>
    <x v="0"/>
    <s v="Administreeri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raamatukogutarvikud"/>
    <n v="350"/>
    <s v="Deltmar(rmtk programm), raamatukile"/>
    <x v="0"/>
    <s v="Administreeri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veebimajutus"/>
    <n v="1320"/>
    <s v="andmesidevõrk 110 x 12"/>
    <x v="0"/>
    <s v="Administreeri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kuulutused"/>
    <n v="550"/>
    <s v="kaastunne, tööpakkumine"/>
    <x v="0"/>
    <s v="Administreeri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kantseleikaup"/>
    <n v="4000"/>
    <s v="paljundused, paber, pliiats jne"/>
    <x v="0"/>
    <s v="Administreeri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eKool"/>
    <n v="960"/>
    <s v="eKool 80 x 12"/>
    <x v="0"/>
    <s v="Administreeri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televisioon"/>
    <n v="150"/>
    <s v="kaabel TV, Telia"/>
    <x v="0"/>
    <s v="Administreeri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koolituste plaan"/>
    <n v="800"/>
    <s v="lisatud eraldi dokumendina"/>
    <x v="2"/>
    <s v="Koolitu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Kütus ja isikliku sõiduauto komp."/>
    <n v="7000"/>
    <s v="Kallaste 135,Albert 185,buss 200 x 12 kuud"/>
    <x v="3"/>
    <s v="Sõidukite ülalpidamise 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remont+liising"/>
    <n v="11000"/>
    <s v="Kallaste 249,Albert 220,buss 420x12 kuud "/>
    <x v="3"/>
    <s v="Sõidukite ülalpidamise 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kindlustus"/>
    <n v="1750"/>
    <s v="liiklus+kasko 3 autot"/>
    <x v="3"/>
    <s v="Sõidukite ülalpidamise 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autohüvitus(toiger,reimets)"/>
    <n v="1900"/>
    <s v="(40+150)x10kuud"/>
    <x v="3"/>
    <s v="Sõidukite ülalpidamise 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tehn.hoole"/>
    <n v="850"/>
    <s v="3 autot"/>
    <x v="3"/>
    <s v="Sõidukite ülalpidamise 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remonditööd ja hooldus"/>
    <n v="5000"/>
    <n v="0"/>
    <x v="8"/>
    <s v="Inventari kulud, v.a infotehnoloogia ja kaitseotstarbelised 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esmaabi vahendid,korral.med"/>
    <n v="1500"/>
    <s v="med.tõend, vaktsineerimised,esmaabi vahendid"/>
    <x v="9"/>
    <s v="Meditsiinikulud ja hügieenitarbe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õpik,töövihik,mänguasjad jm"/>
    <n v="35000"/>
    <n v="0"/>
    <x v="20"/>
    <s v="Õppevahendi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paljunduspaber"/>
    <n v="1700"/>
    <n v="0"/>
    <x v="20"/>
    <s v="Õppevahendi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õppetransport"/>
    <n v="20000"/>
    <n v="0"/>
    <x v="20"/>
    <s v="Õppevahendi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mälumängud,spordivõistlused jm"/>
    <n v="13000"/>
    <n v="0"/>
    <x v="14"/>
    <s v="Kommunikatsiooni-, kultuuri- ja vaba aja sisustamise 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meened"/>
    <n v="3500"/>
    <n v="0"/>
    <x v="14"/>
    <s v="Kommunikatsiooni-, kultuuri- ja vaba aja sisustamise 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küte"/>
    <n v="115000"/>
    <s v="1200 MWH x ???"/>
    <x v="4"/>
    <s v="Kinnistute, hoonete ja ruumide majanda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elekter"/>
    <n v="37894"/>
    <s v="24000 Kwa x"/>
    <x v="4"/>
    <s v="Kinnistute, hoonete ja ruumide majanda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vesi- ja kanalisatsioon"/>
    <n v="11000"/>
    <s v="aasta tarbimine 2800m3 x ???"/>
    <x v="4"/>
    <s v="Kinnistute, hoonete ja ruumide majanda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korrashoiuvahendid"/>
    <n v="10000"/>
    <s v="puh.vahendid, paber jne"/>
    <x v="4"/>
    <s v="Kinnistute, hoonete ja ruumide majanda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prügivedu"/>
    <n v="850"/>
    <n v="0"/>
    <x v="4"/>
    <s v="Kinnistute, hoonete ja ruumide majanda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Lindström vaipade pesu"/>
    <n v="986"/>
    <n v="0"/>
    <x v="4"/>
    <s v="Kinnistute, hoonete ja ruumide majanda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ATS hooldus"/>
    <n v="1420"/>
    <s v="KEK Elekter"/>
    <x v="4"/>
    <s v="Kinnistute, hoonete ja ruumide majanda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KH ENERGIA KONSULT"/>
    <n v="922"/>
    <n v="0"/>
    <x v="4"/>
    <s v="Kinnistute, hoonete ja ruumide majanda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G4S AS"/>
    <n v="940"/>
    <n v="0"/>
    <x v="4"/>
    <s v="Kinnistute, hoonete ja ruumide majanda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USS Securiry"/>
    <n v="385"/>
    <n v="0"/>
    <x v="4"/>
    <s v="Kinnistute, hoonete ja ruumide majanda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Rentokil-kahjuritõrjeteenus"/>
    <n v="260"/>
    <n v="0"/>
    <x v="4"/>
    <s v="Kinnistute, hoonete ja ruumide majanda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ventilatsiooni hooldus"/>
    <n v="2500"/>
    <s v="hooldus+filtrid"/>
    <x v="4"/>
    <s v="Kinnistute, hoonete ja ruumide majanda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remont"/>
    <n v="10000"/>
    <s v="pisiremont(san.remont)"/>
    <x v="4"/>
    <s v="Kinnistute, hoonete ja ruumide majanda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arvutite värskendus(mälu,kõvaketad"/>
    <n v="2000"/>
    <n v="0"/>
    <x v="5"/>
    <s v="Info- ja kommunikatsioonitehnoliigised 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tarkvara litsensid"/>
    <n v="2500"/>
    <n v="0"/>
    <x v="5"/>
    <s v="Info- ja kommunikatsioonitehnoliigised 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Toiduained"/>
    <n v="70525"/>
    <s v="Ped."/>
    <x v="19"/>
    <s v="Toiduained ja toitlustusteenuse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Spordiinventaar"/>
    <n v="10000"/>
    <s v="Matid on vanad ja vajavad vahetamist ning uuendamist,"/>
    <x v="8"/>
    <s v="Inventari kulud, v.a infotehnoloogia ja kaitseotstarbelised 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Projektorid"/>
    <n v="2500"/>
    <s v="5 projektorit vajavad vahetamist"/>
    <x v="8"/>
    <s v="Inventari kulud, v.a infotehnoloogia ja kaitseotstarbelised 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Võrguseadmed"/>
    <n v="1000"/>
    <s v="Sisevõrgu korrastamine ja uuendamine"/>
    <x v="5"/>
    <s v="Info- ja kommunikatsioonitehnoliigised 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Klassimööbel"/>
    <n v="8500"/>
    <s v="Õppevahendite hoiustamise kapid (6 klassi)"/>
    <x v="8"/>
    <s v="Inventari kulud, v.a infotehnoloogia ja kaitseotstarbelised 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Arvutipargi uuendus"/>
    <n v="2500"/>
    <s v="Vananevad arvutid vajavad uuendust ja vahetamist "/>
    <x v="5"/>
    <s v="Info- ja kommunikatsioonitehnoliigised 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Valveseadmed"/>
    <n v="1000"/>
    <s v="Valveseadmete korrastamine ja uuendamine"/>
    <x v="4"/>
    <s v="Kinnistute, hoonete ja ruumide majandami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Infotabloo"/>
    <n v="8000"/>
    <s v="Info edastamine õpilastele, õpetajatele ja vanematele"/>
    <x v="8"/>
    <s v="Inventari kulud, v.a infotehnoloogia ja kaitseotstarbelised 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Pedagoogilised koolitused"/>
    <n v="7036"/>
    <s v="Ped."/>
    <x v="2"/>
    <s v="Koolituskulud"/>
    <n v="55"/>
    <s v="55"/>
    <x v="0"/>
    <x v="0"/>
    <s v="Põhitegevuse kulu"/>
    <n v="0"/>
  </r>
  <r>
    <x v="8"/>
    <x v="61"/>
    <x v="61"/>
    <s v="Põhihariduse otsekulud"/>
    <s v="Haridus"/>
    <s v="Vinni-Pajusti Gümnaasium"/>
    <s v="Pedagoogilised õppevahendid"/>
    <n v="22971"/>
    <s v="Ped."/>
    <x v="20"/>
    <s v="Õppevahendid"/>
    <n v="55"/>
    <s v="55"/>
    <x v="0"/>
    <x v="0"/>
    <s v="Põhitegevuse kulu"/>
    <n v="0"/>
  </r>
  <r>
    <x v="8"/>
    <x v="62"/>
    <x v="57"/>
    <s v="Põhihariduse otsekulud"/>
    <s v="Haridus"/>
    <s v="Haridusnõunik"/>
    <s v="Kohatasud "/>
    <n v="87579"/>
    <s v="põhikool"/>
    <x v="20"/>
    <s v="Õppevahendid"/>
    <n v="55"/>
    <s v="55"/>
    <x v="0"/>
    <x v="0"/>
    <s v="Põhitegevuse kulu"/>
    <n v="0"/>
  </r>
  <r>
    <x v="8"/>
    <x v="63"/>
    <x v="62"/>
    <s v="Põhihariduse otsekulud"/>
    <s v="Haridus"/>
    <s v="Põlula kool"/>
    <s v="kontoritarbed"/>
    <n v="500"/>
    <n v="0"/>
    <x v="0"/>
    <s v="Administreerimiskulud"/>
    <n v="55"/>
    <s v="55"/>
    <x v="0"/>
    <x v="0"/>
    <s v="Põhitegevuse kulu"/>
    <n v="0"/>
  </r>
  <r>
    <x v="8"/>
    <x v="63"/>
    <x v="62"/>
    <s v="Põhihariduse otsekulud"/>
    <s v="Haridus"/>
    <s v="Põlula kool"/>
    <s v="koolitused"/>
    <n v="1300"/>
    <n v="0"/>
    <x v="2"/>
    <s v="Koolituskulud"/>
    <n v="55"/>
    <s v="55"/>
    <x v="0"/>
    <x v="0"/>
    <s v="Põhitegevuse kulu"/>
    <n v="0"/>
  </r>
  <r>
    <x v="8"/>
    <x v="63"/>
    <x v="62"/>
    <s v="Põhihariduse otsekulud"/>
    <s v="Haridus"/>
    <s v="Põlula kool"/>
    <s v="Pedagoogilised koolitused"/>
    <n v="200"/>
    <s v="Ped."/>
    <x v="2"/>
    <s v="Koolituskulud"/>
    <n v="55"/>
    <s v="55"/>
    <x v="0"/>
    <x v="0"/>
    <s v="Põhitegevuse kulu"/>
    <n v="0"/>
  </r>
  <r>
    <x v="8"/>
    <x v="63"/>
    <x v="62"/>
    <s v="Põhihariduse otsekulud"/>
    <s v="Haridus"/>
    <s v="Põlula kool"/>
    <s v="isikliku auto kasutus"/>
    <n v="2750"/>
    <n v="0"/>
    <x v="3"/>
    <s v="Sõidukite ülalpidamise kulud"/>
    <n v="55"/>
    <s v="55"/>
    <x v="0"/>
    <x v="0"/>
    <s v="Põhitegevuse kulu"/>
    <n v="0"/>
  </r>
  <r>
    <x v="8"/>
    <x v="63"/>
    <x v="62"/>
    <s v="Põhihariduse otsekulud"/>
    <s v="Haridus"/>
    <s v="Põlula kool"/>
    <s v="autopargi hooldus"/>
    <n v="100"/>
    <n v="0"/>
    <x v="3"/>
    <s v="Sõidukite ülalpidamise kulud"/>
    <n v="55"/>
    <s v="55"/>
    <x v="0"/>
    <x v="0"/>
    <s v="Põhitegevuse kulu"/>
    <n v="0"/>
  </r>
  <r>
    <x v="8"/>
    <x v="63"/>
    <x v="62"/>
    <s v="Põhihariduse otsekulud"/>
    <s v="Haridus"/>
    <s v="Põlula kool"/>
    <s v="muud ettenägematud kulud 200 eurot"/>
    <n v="200"/>
    <n v="0"/>
    <x v="8"/>
    <s v="Inventari kulud, v.a infotehnoloogia ja kaitseotstarbelised kulud"/>
    <n v="55"/>
    <s v="55"/>
    <x v="0"/>
    <x v="0"/>
    <s v="Põhitegevuse kulu"/>
    <n v="0"/>
  </r>
  <r>
    <x v="8"/>
    <x v="63"/>
    <x v="62"/>
    <s v="Põhihariduse otsekulud"/>
    <s v="Haridus"/>
    <s v="Põlula kool"/>
    <s v="nõudepesumasina hooldus 200 eurot"/>
    <n v="200"/>
    <n v="0"/>
    <x v="8"/>
    <s v="Inventari kulud, v.a infotehnoloogia ja kaitseotstarbelised kulud"/>
    <n v="55"/>
    <s v="55"/>
    <x v="0"/>
    <x v="0"/>
    <s v="Põhitegevuse kulu"/>
    <n v="0"/>
  </r>
  <r>
    <x v="8"/>
    <x v="63"/>
    <x v="62"/>
    <s v="Põhihariduse otsekulud"/>
    <s v="Haridus"/>
    <s v="Põlula kool"/>
    <s v="aiakäru soetus tk.1 100 eurot"/>
    <n v="100"/>
    <n v="0"/>
    <x v="8"/>
    <s v="Inventari kulud, v.a infotehnoloogia ja kaitseotstarbelised kulud"/>
    <n v="55"/>
    <s v="55"/>
    <x v="0"/>
    <x v="0"/>
    <s v="Põhitegevuse kulu"/>
    <n v="0"/>
  </r>
  <r>
    <x v="8"/>
    <x v="63"/>
    <x v="62"/>
    <s v="Põhihariduse otsekulud"/>
    <s v="Haridus"/>
    <s v="Põlula kool"/>
    <s v="murutrimmeri remont 100 eurot"/>
    <n v="100"/>
    <n v="0"/>
    <x v="8"/>
    <s v="Inventari kulud, v.a infotehnoloogia ja kaitseotstarbelised kulud"/>
    <n v="55"/>
    <s v="55"/>
    <x v="0"/>
    <x v="0"/>
    <s v="Põhitegevuse kulu"/>
    <n v="0"/>
  </r>
  <r>
    <x v="8"/>
    <x v="63"/>
    <x v="62"/>
    <s v="Põhihariduse otsekulud"/>
    <s v="Haridus"/>
    <s v="Põlula kool"/>
    <s v="Toiduained"/>
    <n v="3075"/>
    <n v="0"/>
    <x v="19"/>
    <s v="Toiduained ja toitlustusteenused"/>
    <n v="55"/>
    <s v="55"/>
    <x v="0"/>
    <x v="0"/>
    <s v="Põhitegevuse kulu"/>
    <n v="0"/>
  </r>
  <r>
    <x v="8"/>
    <x v="63"/>
    <x v="62"/>
    <s v="Põhihariduse otsekulud"/>
    <s v="Haridus"/>
    <s v="Põlula kool"/>
    <s v="Toiduained"/>
    <n v="1925"/>
    <s v="Ped."/>
    <x v="19"/>
    <s v="Toiduained ja toitlustusteenused"/>
    <n v="55"/>
    <s v="55"/>
    <x v="0"/>
    <x v="0"/>
    <s v="Põhitegevuse kulu"/>
    <n v="0"/>
  </r>
  <r>
    <x v="8"/>
    <x v="63"/>
    <x v="62"/>
    <s v="Põhihariduse otsekulud"/>
    <s v="Haridus"/>
    <s v="Põlula kool"/>
    <s v="esmaabivahendid 100 eurot"/>
    <n v="100"/>
    <n v="0"/>
    <x v="9"/>
    <s v="Meditsiinikulud ja hügieenitarbed"/>
    <n v="55"/>
    <s v="55"/>
    <x v="0"/>
    <x v="0"/>
    <s v="Põhitegevuse kulu"/>
    <n v="0"/>
  </r>
  <r>
    <x v="8"/>
    <x v="63"/>
    <x v="62"/>
    <s v="Põhihariduse otsekulud"/>
    <s v="Haridus"/>
    <s v="Põlula kool"/>
    <s v="muud õppevahendid 300 eurot"/>
    <n v="300"/>
    <n v="0"/>
    <x v="20"/>
    <s v="Õppevahendid"/>
    <n v="55"/>
    <s v="55"/>
    <x v="0"/>
    <x v="0"/>
    <s v="Põhitegevuse kulu"/>
    <n v="0"/>
  </r>
  <r>
    <x v="8"/>
    <x v="63"/>
    <x v="62"/>
    <s v="Põhihariduse otsekulud"/>
    <s v="Haridus"/>
    <s v="Põlula kool"/>
    <s v="värvitoonerid tk.3 300 eurot"/>
    <n v="300"/>
    <n v="0"/>
    <x v="0"/>
    <s v="Administreerimiskulud"/>
    <n v="55"/>
    <s v="55"/>
    <x v="0"/>
    <x v="0"/>
    <s v="Põhitegevuse kulu"/>
    <n v="0"/>
  </r>
  <r>
    <x v="8"/>
    <x v="63"/>
    <x v="62"/>
    <s v="Põhihariduse otsekulud"/>
    <s v="Haridus"/>
    <s v="Põlula kool"/>
    <s v="tavatoonerid tk. 5  400 eurot"/>
    <n v="400"/>
    <n v="0"/>
    <x v="0"/>
    <s v="Administreerimiskulud"/>
    <n v="55"/>
    <s v="55"/>
    <x v="0"/>
    <x v="0"/>
    <s v="Põhitegevuse kulu"/>
    <n v="0"/>
  </r>
  <r>
    <x v="8"/>
    <x v="63"/>
    <x v="62"/>
    <s v="Põhihariduse otsekulud"/>
    <s v="Haridus"/>
    <s v="Põlula kool"/>
    <s v="tööõpetuse abivahendid- 500 eurot"/>
    <n v="500"/>
    <n v="0"/>
    <x v="20"/>
    <s v="Õppevahendid"/>
    <n v="55"/>
    <s v="55"/>
    <x v="0"/>
    <x v="0"/>
    <s v="Põhitegevuse kulu"/>
    <n v="0"/>
  </r>
  <r>
    <x v="8"/>
    <x v="63"/>
    <x v="62"/>
    <s v="Põhihariduse otsekulud"/>
    <s v="Haridus"/>
    <s v="Põlula kool"/>
    <s v="õpikud, töövihikud  300 eurot"/>
    <n v="300"/>
    <n v="0"/>
    <x v="20"/>
    <s v="Õppevahendid"/>
    <n v="55"/>
    <s v="55"/>
    <x v="0"/>
    <x v="0"/>
    <s v="Põhitegevuse kulu"/>
    <n v="0"/>
  </r>
  <r>
    <x v="8"/>
    <x v="63"/>
    <x v="62"/>
    <s v="Põhihariduse otsekulud"/>
    <s v="Haridus"/>
    <s v="Põlula kool"/>
    <s v="koopiapaber 100 eurot, värviline paber 100 eurot, kunstitarbed 600 eurot"/>
    <n v="800"/>
    <n v="0"/>
    <x v="20"/>
    <s v="Õppevahendid"/>
    <n v="55"/>
    <s v="55"/>
    <x v="0"/>
    <x v="0"/>
    <s v="Põhitegevuse kulu"/>
    <n v="0"/>
  </r>
  <r>
    <x v="8"/>
    <x v="63"/>
    <x v="62"/>
    <s v="Põhihariduse otsekulud"/>
    <s v="Haridus"/>
    <s v="Põlula kool"/>
    <s v="Ürituste transport"/>
    <n v="1000"/>
    <n v="0"/>
    <x v="14"/>
    <s v="Kommunikatsiooni-, kultuuri- ja vaba aja sisustamise kulud"/>
    <n v="55"/>
    <s v="55"/>
    <x v="0"/>
    <x v="0"/>
    <s v="Põhitegevuse kulu"/>
    <n v="0"/>
  </r>
  <r>
    <x v="8"/>
    <x v="63"/>
    <x v="62"/>
    <s v="Põhihariduse otsekulud"/>
    <s v="Haridus"/>
    <s v="Põlula kool"/>
    <s v="hoonete kindlustus"/>
    <n v="600"/>
    <n v="0"/>
    <x v="4"/>
    <s v="Kinnistute, hoonete ja ruumide majandamiskulud"/>
    <n v="55"/>
    <s v="55"/>
    <x v="0"/>
    <x v="0"/>
    <s v="Põhitegevuse kulu"/>
    <n v="0"/>
  </r>
  <r>
    <x v="8"/>
    <x v="63"/>
    <x v="62"/>
    <s v="Põhihariduse otsekulud"/>
    <s v="Haridus"/>
    <s v="Põlula kool"/>
    <s v="majanduskaup kooli ja sööklasse"/>
    <n v="3000"/>
    <n v="0"/>
    <x v="4"/>
    <s v="Kinnistute, hoonete ja ruumide majandamiskulud"/>
    <n v="55"/>
    <s v="55"/>
    <x v="0"/>
    <x v="0"/>
    <s v="Põhitegevuse kulu"/>
    <n v="0"/>
  </r>
  <r>
    <x v="8"/>
    <x v="63"/>
    <x v="62"/>
    <s v="Põhihariduse otsekulud"/>
    <s v="Haridus"/>
    <s v="Põlula kool"/>
    <s v="elekter"/>
    <n v="17000"/>
    <n v="0"/>
    <x v="4"/>
    <s v="Kinnistute, hoonete ja ruumide majandamiskulud"/>
    <n v="55"/>
    <s v="55"/>
    <x v="0"/>
    <x v="0"/>
    <s v="Põhitegevuse kulu"/>
    <n v="0"/>
  </r>
  <r>
    <x v="8"/>
    <x v="63"/>
    <x v="62"/>
    <s v="Põhihariduse otsekulud"/>
    <s v="Haridus"/>
    <s v="Põlula kool"/>
    <s v="valvesignalisatsioon"/>
    <n v="1500"/>
    <n v="0"/>
    <x v="4"/>
    <s v="Kinnistute, hoonete ja ruumide majandamiskulud"/>
    <n v="55"/>
    <s v="55"/>
    <x v="0"/>
    <x v="0"/>
    <s v="Põhitegevuse kulu"/>
    <n v="0"/>
  </r>
  <r>
    <x v="8"/>
    <x v="63"/>
    <x v="62"/>
    <s v="Põhihariduse otsekulud"/>
    <s v="Haridus"/>
    <s v="Põlula kool"/>
    <s v="prügi vedu"/>
    <n v="600"/>
    <n v="0"/>
    <x v="4"/>
    <s v="Kinnistute, hoonete ja ruumide majandamiskulud"/>
    <n v="55"/>
    <s v="55"/>
    <x v="0"/>
    <x v="0"/>
    <s v="Põhitegevuse kulu"/>
    <n v="0"/>
  </r>
  <r>
    <x v="8"/>
    <x v="63"/>
    <x v="62"/>
    <s v="Põhihariduse otsekulud"/>
    <s v="Haridus"/>
    <s v="Põlula kool"/>
    <s v="laboratoorsed analüüsid"/>
    <n v="500"/>
    <n v="0"/>
    <x v="4"/>
    <s v="Kinnistute, hoonete ja ruumide majandamiskulud"/>
    <n v="55"/>
    <s v="55"/>
    <x v="0"/>
    <x v="0"/>
    <s v="Põhitegevuse kulu"/>
    <n v="0"/>
  </r>
  <r>
    <x v="8"/>
    <x v="63"/>
    <x v="62"/>
    <s v="Põhihariduse otsekulud"/>
    <s v="Haridus"/>
    <s v="Põlula kool"/>
    <s v="käiduteenus"/>
    <n v="500"/>
    <n v="0"/>
    <x v="4"/>
    <s v="Kinnistute, hoonete ja ruumide majandamiskulud"/>
    <n v="55"/>
    <s v="55"/>
    <x v="0"/>
    <x v="0"/>
    <s v="Põhitegevuse kulu"/>
    <n v="0"/>
  </r>
  <r>
    <x v="8"/>
    <x v="63"/>
    <x v="62"/>
    <s v="Põhihariduse otsekulud"/>
    <s v="Haridus"/>
    <s v="Põlula kool"/>
    <s v="IT alased hooldustööd"/>
    <n v="2500"/>
    <n v="0"/>
    <x v="5"/>
    <s v="Info- ja kommunikatsioonitehnoliigised kulud"/>
    <n v="55"/>
    <s v="55"/>
    <x v="0"/>
    <x v="0"/>
    <s v="Põhitegevuse kulu"/>
    <n v="0"/>
  </r>
  <r>
    <x v="8"/>
    <x v="63"/>
    <x v="62"/>
    <s v="Põhihariduse otsekulud"/>
    <s v="Haridus"/>
    <s v="Põlula kool"/>
    <s v="Pedagoogilised õppevahendid"/>
    <n v="627"/>
    <s v="Ped."/>
    <x v="20"/>
    <s v="Õppevahendid"/>
    <n v="55"/>
    <s v="55"/>
    <x v="0"/>
    <x v="0"/>
    <s v="Põhitegevuse kulu"/>
    <n v="0"/>
  </r>
  <r>
    <x v="8"/>
    <x v="64"/>
    <x v="57"/>
    <s v="Üldkeskhariduse otsekulud"/>
    <s v="Haridus"/>
    <s v="Haridusnõunik"/>
    <s v="Kohatasud "/>
    <n v="64104.399999999994"/>
    <s v="gümnaasium"/>
    <x v="20"/>
    <s v="Õppevahendid"/>
    <n v="55"/>
    <s v="55"/>
    <x v="0"/>
    <x v="0"/>
    <s v="Põhitegevuse kulu"/>
    <n v="0"/>
  </r>
  <r>
    <x v="8"/>
    <x v="65"/>
    <x v="63"/>
    <s v="Noorte huviharidus ja huvitegevus"/>
    <s v="Haridus"/>
    <s v="Haridusnõunik"/>
    <s v="huvitegevuse kompensatsioon lastevanematele"/>
    <n v="0"/>
    <n v="0"/>
    <x v="20"/>
    <s v="Õppevahendid"/>
    <n v="55"/>
    <s v="55"/>
    <x v="0"/>
    <x v="0"/>
    <s v="Põhitegevuse kulu"/>
    <n v="0"/>
  </r>
  <r>
    <x v="8"/>
    <x v="65"/>
    <x v="63"/>
    <s v="Noorte huviharidus ja huvitegevus"/>
    <s v="Haridus"/>
    <s v="Haridusnõunik"/>
    <s v="arvlemine muusikakoolidega"/>
    <n v="35000"/>
    <n v="0"/>
    <x v="20"/>
    <s v="Õppevahendid"/>
    <n v="55"/>
    <s v="55"/>
    <x v="0"/>
    <x v="0"/>
    <s v="Põhitegevuse kulu"/>
    <n v="0"/>
  </r>
  <r>
    <x v="8"/>
    <x v="65"/>
    <x v="63"/>
    <s v="Noorte huviharidus ja huvitegevus"/>
    <s v="Haridus"/>
    <s v="Haridusnõunik"/>
    <s v="huvitegevusinventari soetus, arenguprojektid jms"/>
    <n v="20000"/>
    <n v="0"/>
    <x v="1"/>
    <s v="Mitmesugused majanduskulud"/>
    <n v="55"/>
    <s v="55"/>
    <x v="0"/>
    <x v="0"/>
    <s v="Põhitegevuse kulu"/>
    <n v="0"/>
  </r>
  <r>
    <x v="8"/>
    <x v="65"/>
    <x v="63"/>
    <s v="Noorte huviharidus ja huvitegevus"/>
    <s v="Haridus"/>
    <s v="Noorsoo- ja spordinõunik"/>
    <s v="Transport(buss)"/>
    <n v="4020"/>
    <s v="huviharidus-ujumistreeningud Vinni Spordikompleksis 2020. - Tudu, Roela, V-Jaagupi, Pajusti, Vinni lapsed 7-26 a."/>
    <x v="1"/>
    <s v="Mitmesugused majanduskulud"/>
    <n v="55"/>
    <s v="55"/>
    <x v="0"/>
    <x v="0"/>
    <s v="Põhitegevuse kulu"/>
    <n v="0"/>
  </r>
  <r>
    <x v="8"/>
    <x v="65"/>
    <x v="63"/>
    <s v="Noorte huviharidus ja huvitegevus"/>
    <s v="Haridus"/>
    <s v="Noorsoo- ja spordinõunik"/>
    <s v="Ujula kasutus"/>
    <n v="4540"/>
    <s v="huviharidus-ujumistreeningud Vinni Spordikompleksis 2020. - Tudu, Roela, V-Jaagupi, Pajusti, Vinni lapsed 7-26 a."/>
    <x v="1"/>
    <s v="Mitmesugused majanduskulud"/>
    <n v="55"/>
    <s v="55"/>
    <x v="0"/>
    <x v="0"/>
    <s v="Põhitegevuse kulu"/>
    <n v="0"/>
  </r>
  <r>
    <x v="8"/>
    <x v="65"/>
    <x v="63"/>
    <s v="Noorte huviharidus ja huvitegevus"/>
    <s v="Haridus"/>
    <s v="Noorsoo- ja spordinõunik"/>
    <s v="Transport(buss)"/>
    <n v="2450"/>
    <s v="huviharidus-ujumistreeningud Vinni Spordikompleksis 2020. - Laekvere, Muuga lapsed 7-26a."/>
    <x v="1"/>
    <s v="Mitmesugused majanduskulud"/>
    <n v="55"/>
    <s v="55"/>
    <x v="0"/>
    <x v="0"/>
    <s v="Põhitegevuse kulu"/>
    <n v="0"/>
  </r>
  <r>
    <x v="8"/>
    <x v="65"/>
    <x v="63"/>
    <s v="Noorte huviharidus ja huvitegevus"/>
    <s v="Haridus"/>
    <s v="Noorsoo- ja spordinõunik"/>
    <s v="Ujula kasutus"/>
    <n v="2110"/>
    <s v="huviharidus-ujumistreeningud Vinni Spordikompleksis 2020. - Laekvere, Muuga lapsed 7-26a."/>
    <x v="1"/>
    <s v="Mitmesugused majanduskulud"/>
    <n v="55"/>
    <s v="55"/>
    <x v="0"/>
    <x v="0"/>
    <s v="Põhitegevuse kulu"/>
    <n v="0"/>
  </r>
  <r>
    <x v="8"/>
    <x v="66"/>
    <x v="64"/>
    <s v="Koolitransport"/>
    <s v="Haridus"/>
    <s v="Teede- ja ühistranspordinõunik"/>
    <s v="Liising "/>
    <n v="37152"/>
    <s v="12x3096"/>
    <x v="3"/>
    <s v="Sõidukite ülalpidamise kulud"/>
    <n v="55"/>
    <s v="55"/>
    <x v="0"/>
    <x v="0"/>
    <s v="Põhitegevuse kulu"/>
    <n v="0"/>
  </r>
  <r>
    <x v="8"/>
    <x v="66"/>
    <x v="64"/>
    <s v="Koolitransport"/>
    <s v="Haridus"/>
    <s v="Teede- ja ühistranspordinõunik"/>
    <s v="Kasko ja liikluskindlustus"/>
    <n v="3100"/>
    <s v="2600+450 käesoleval aastal"/>
    <x v="3"/>
    <s v="Sõidukite ülalpidamise kulud"/>
    <n v="55"/>
    <s v="55"/>
    <x v="0"/>
    <x v="0"/>
    <s v="Põhitegevuse kulu"/>
    <n v="0"/>
  </r>
  <r>
    <x v="8"/>
    <x v="66"/>
    <x v="64"/>
    <s v="Koolitransport"/>
    <s v="Haridus"/>
    <s v="Teede- ja ühistranspordinõunik"/>
    <s v="Remont ja hooldus"/>
    <n v="3000"/>
    <n v="0"/>
    <x v="3"/>
    <s v="Sõidukite ülalpidamise kulud"/>
    <n v="55"/>
    <s v="55"/>
    <x v="0"/>
    <x v="0"/>
    <s v="Põhitegevuse kulu"/>
    <n v="0"/>
  </r>
  <r>
    <x v="8"/>
    <x v="66"/>
    <x v="64"/>
    <s v="Koolitransport"/>
    <s v="Haridus"/>
    <s v="Teede- ja ühistranspordinõunik"/>
    <s v="Navigaatori või tahvelarvuti soetamine"/>
    <n v="300"/>
    <s v="On olnud plaanis, aga pole sellel aastal tehtud"/>
    <x v="8"/>
    <s v="Inventari kulud, v.a infotehnoloogia ja kaitseotstarbelised kulud"/>
    <n v="55"/>
    <s v="55"/>
    <x v="0"/>
    <x v="0"/>
    <s v="Põhitegevuse kulu"/>
    <n v="0"/>
  </r>
  <r>
    <x v="8"/>
    <x v="66"/>
    <x v="64"/>
    <s v="Koolitransport"/>
    <s v="Haridus"/>
    <s v="Teede- ja ühistranspordinõunik"/>
    <s v="Tervise- ja spordiarendamise hüvitis"/>
    <n v="400"/>
    <n v="0"/>
    <x v="1"/>
    <s v="Mitmesugused majanduskulud"/>
    <n v="55"/>
    <s v="55"/>
    <x v="0"/>
    <x v="0"/>
    <s v="Põhitegevuse kulu"/>
    <n v="0"/>
  </r>
  <r>
    <x v="8"/>
    <x v="66"/>
    <x v="64"/>
    <s v="Koolitransport"/>
    <s v="Haridus"/>
    <s v="Teede- ja ühistranspordinõunik"/>
    <s v="Sideteenused"/>
    <n v="120"/>
    <s v="bussijuhi mobiil"/>
    <x v="0"/>
    <s v="Administreerimiskulud"/>
    <n v="55"/>
    <s v="55"/>
    <x v="0"/>
    <x v="0"/>
    <s v="Põhitegevuse kulu"/>
    <n v="0"/>
  </r>
  <r>
    <x v="8"/>
    <x v="66"/>
    <x v="64"/>
    <s v="Koolitransport"/>
    <s v="Haridus"/>
    <s v="Teede- ja ühistranspordinõunik"/>
    <s v="Õpilastranspot Põlula ja VPG (RTX Lines OÜ leping)"/>
    <n v="25000"/>
    <n v="0"/>
    <x v="21"/>
    <s v="Õppetoetused"/>
    <n v="413"/>
    <s v="41"/>
    <x v="1"/>
    <x v="4"/>
    <s v="Põhitegevuse kulu"/>
    <n v="0"/>
  </r>
  <r>
    <x v="8"/>
    <x v="66"/>
    <x v="64"/>
    <s v="Koolitransport"/>
    <s v="Haridus"/>
    <s v="Teede- ja ühistranspordinõunik"/>
    <s v="Õpilastranspot Põlula ja VPG (TA Bussid leping)"/>
    <n v="56000"/>
    <n v="0"/>
    <x v="21"/>
    <s v="Õppetoetused"/>
    <n v="413"/>
    <s v="41"/>
    <x v="1"/>
    <x v="4"/>
    <s v="Põhitegevuse kulu"/>
    <n v="0"/>
  </r>
  <r>
    <x v="8"/>
    <x v="66"/>
    <x v="64"/>
    <s v="Koolitransport"/>
    <s v="Haridus"/>
    <s v="Teede- ja ühistranspordinõunik"/>
    <s v="Õpilastransport Muuga ja Laekvere (MK Reis leping)"/>
    <n v="42000"/>
    <n v="0"/>
    <x v="21"/>
    <s v="Õppetoetused"/>
    <n v="413"/>
    <s v="41"/>
    <x v="1"/>
    <x v="4"/>
    <s v="Põhitegevuse kulu"/>
    <n v="0"/>
  </r>
  <r>
    <x v="8"/>
    <x v="66"/>
    <x v="64"/>
    <s v="Koolitransport"/>
    <s v="Haridus"/>
    <s v="Teede- ja ühistranspordinõunik"/>
    <s v="Kütus"/>
    <n v="23700"/>
    <s v="50000km*36l/100le*1,3eur/l"/>
    <x v="3"/>
    <s v="Sõidukite ülalpidamise kulud"/>
    <n v="55"/>
    <s v="55"/>
    <x v="0"/>
    <x v="0"/>
    <s v="Põhitegevuse kulu"/>
    <n v="0"/>
  </r>
  <r>
    <x v="8"/>
    <x v="67"/>
    <x v="65"/>
    <s v="Öömaja"/>
    <s v="Haridus"/>
    <s v="Roela Õpilaskodu"/>
    <s v="telefon, internet"/>
    <n v="576"/>
    <s v="internet 46 x 12 = 552"/>
    <x v="0"/>
    <s v="Administreerimiskulud"/>
    <n v="55"/>
    <s v="55"/>
    <x v="0"/>
    <x v="0"/>
    <s v="Põhitegevuse kulu"/>
    <n v="0"/>
  </r>
  <r>
    <x v="8"/>
    <x v="67"/>
    <x v="65"/>
    <s v="Öömaja"/>
    <s v="Haridus"/>
    <s v="Roela Õpilaskodu"/>
    <s v="mobiili kuulimiit 20 eurot"/>
    <n v="60"/>
    <s v="20 x 12"/>
    <x v="0"/>
    <s v="Administreerimiskulud"/>
    <n v="55"/>
    <s v="55"/>
    <x v="0"/>
    <x v="0"/>
    <s v="Põhitegevuse kulu"/>
    <n v="0"/>
  </r>
  <r>
    <x v="8"/>
    <x v="67"/>
    <x v="65"/>
    <s v="Öömaja"/>
    <s v="Haridus"/>
    <s v="Roela Õpilaskodu"/>
    <s v="printeri tahm"/>
    <n v="50"/>
    <n v="0"/>
    <x v="0"/>
    <s v="Administreerimiskulud"/>
    <n v="55"/>
    <s v="55"/>
    <x v="0"/>
    <x v="0"/>
    <s v="Põhitegevuse kulu"/>
    <n v="0"/>
  </r>
  <r>
    <x v="8"/>
    <x v="67"/>
    <x v="65"/>
    <s v="Öömaja"/>
    <s v="Haridus"/>
    <s v="Roela Õpilaskodu"/>
    <s v="kalendrid, paber jne"/>
    <n v="50"/>
    <n v="0"/>
    <x v="0"/>
    <s v="Administreerimiskulud"/>
    <n v="55"/>
    <s v="55"/>
    <x v="0"/>
    <x v="0"/>
    <s v="Põhitegevuse kulu"/>
    <n v="0"/>
  </r>
  <r>
    <x v="8"/>
    <x v="67"/>
    <x v="65"/>
    <s v="Öömaja"/>
    <s v="Haridus"/>
    <s v="Roela Õpilaskodu"/>
    <s v="seadmete remont"/>
    <n v="200"/>
    <s v="pesukuivati, pesumasin"/>
    <x v="8"/>
    <s v="Inventari kulud, v.a infotehnoloogia ja kaitseotstarbelised kulud"/>
    <n v="55"/>
    <s v="55"/>
    <x v="0"/>
    <x v="0"/>
    <s v="Põhitegevuse kulu"/>
    <n v="0"/>
  </r>
  <r>
    <x v="8"/>
    <x v="67"/>
    <x v="65"/>
    <s v="Öömaja"/>
    <s v="Haridus"/>
    <s v="Roela Õpilaskodu"/>
    <s v="isikliku sõiduauto kasutus"/>
    <n v="352"/>
    <s v="32 x 11 (Tiina Alavere)"/>
    <x v="3"/>
    <s v="Sõidukite ülalpidamise kulud"/>
    <n v="55"/>
    <s v="55"/>
    <x v="0"/>
    <x v="0"/>
    <s v="Põhitegevuse kulu"/>
    <n v="0"/>
  </r>
  <r>
    <x v="8"/>
    <x v="67"/>
    <x v="65"/>
    <s v="Öömaja"/>
    <s v="Haridus"/>
    <s v="Roela Õpilaskodu"/>
    <s v="voodikast 9 tk"/>
    <n v="500"/>
    <n v="0"/>
    <x v="8"/>
    <s v="Inventari kulud, v.a infotehnoloogia ja kaitseotstarbelised kulud"/>
    <n v="55"/>
    <s v="55"/>
    <x v="0"/>
    <x v="0"/>
    <s v="Põhitegevuse kulu"/>
    <n v="0"/>
  </r>
  <r>
    <x v="8"/>
    <x v="67"/>
    <x v="65"/>
    <s v="Öömaja"/>
    <s v="Haridus"/>
    <s v="Roela Õpilaskodu"/>
    <s v="köögitaburet 12 tk"/>
    <n v="250"/>
    <n v="0"/>
    <x v="8"/>
    <s v="Inventari kulud, v.a infotehnoloogia ja kaitseotstarbelised kulud"/>
    <n v="55"/>
    <s v="55"/>
    <x v="0"/>
    <x v="0"/>
    <s v="Põhitegevuse kulu"/>
    <n v="0"/>
  </r>
  <r>
    <x v="8"/>
    <x v="67"/>
    <x v="65"/>
    <s v="Öömaja"/>
    <s v="Haridus"/>
    <s v="Roela Õpilaskodu"/>
    <s v="televiisor 1 tk"/>
    <n v="600"/>
    <n v="0"/>
    <x v="8"/>
    <s v="Inventari kulud, v.a infotehnoloogia ja kaitseotstarbelised kulud"/>
    <n v="55"/>
    <s v="55"/>
    <x v="0"/>
    <x v="0"/>
    <s v="Põhitegevuse kulu"/>
    <n v="0"/>
  </r>
  <r>
    <x v="8"/>
    <x v="67"/>
    <x v="65"/>
    <s v="Öömaja"/>
    <s v="Haridus"/>
    <s v="Roela Õpilaskodu"/>
    <s v="toiduained"/>
    <n v="3600"/>
    <n v="0"/>
    <x v="19"/>
    <s v="Toiduained ja toitlustusteenused"/>
    <n v="55"/>
    <s v="55"/>
    <x v="0"/>
    <x v="0"/>
    <s v="Põhitegevuse kulu"/>
    <n v="0"/>
  </r>
  <r>
    <x v="8"/>
    <x v="67"/>
    <x v="65"/>
    <s v="Öömaja"/>
    <s v="Haridus"/>
    <s v="Roela Õpilaskodu"/>
    <s v="ravimid"/>
    <n v="150"/>
    <n v="0"/>
    <x v="9"/>
    <s v="Meditsiinikulud ja hügieenitarbed"/>
    <n v="55"/>
    <s v="55"/>
    <x v="0"/>
    <x v="0"/>
    <s v="Põhitegevuse kulu"/>
    <n v="0"/>
  </r>
  <r>
    <x v="8"/>
    <x v="67"/>
    <x v="65"/>
    <s v="Öömaja"/>
    <s v="Haridus"/>
    <s v="Roela Õpilaskodu"/>
    <s v="vihikud, pliiatsid, värvid jne"/>
    <n v="150"/>
    <n v="0"/>
    <x v="20"/>
    <s v="Õppevahendid"/>
    <n v="55"/>
    <s v="55"/>
    <x v="0"/>
    <x v="0"/>
    <s v="Põhitegevuse kulu"/>
    <n v="0"/>
  </r>
  <r>
    <x v="8"/>
    <x v="67"/>
    <x v="65"/>
    <s v="Öömaja"/>
    <s v="Haridus"/>
    <s v="Roela Õpilaskodu"/>
    <s v="mängud"/>
    <n v="150"/>
    <n v="0"/>
    <x v="20"/>
    <s v="Õppevahendid"/>
    <n v="55"/>
    <s v="55"/>
    <x v="0"/>
    <x v="0"/>
    <s v="Põhitegevuse kulu"/>
    <n v="0"/>
  </r>
  <r>
    <x v="8"/>
    <x v="67"/>
    <x v="65"/>
    <s v="Öömaja"/>
    <s v="Haridus"/>
    <s v="Roela Õpilaskodu"/>
    <s v="väljasõidud"/>
    <n v="200"/>
    <n v="0"/>
    <x v="14"/>
    <s v="Kommunikatsiooni-, kultuuri- ja vaba aja sisustamise kulud"/>
    <n v="55"/>
    <s v="55"/>
    <x v="0"/>
    <x v="0"/>
    <s v="Põhitegevuse kulu"/>
    <n v="0"/>
  </r>
  <r>
    <x v="8"/>
    <x v="67"/>
    <x v="65"/>
    <s v="Öömaja"/>
    <s v="Haridus"/>
    <s v="Roela Õpilaskodu"/>
    <s v="üritused"/>
    <n v="200"/>
    <n v="0"/>
    <x v="14"/>
    <s v="Kommunikatsiooni-, kultuuri- ja vaba aja sisustamise kulud"/>
    <n v="55"/>
    <s v="55"/>
    <x v="0"/>
    <x v="0"/>
    <s v="Põhitegevuse kulu"/>
    <n v="0"/>
  </r>
  <r>
    <x v="8"/>
    <x v="67"/>
    <x v="65"/>
    <s v="Öömaja"/>
    <s v="Haridus"/>
    <s v="Roela Õpilaskodu"/>
    <s v="küte"/>
    <n v="2300"/>
    <n v="0"/>
    <x v="4"/>
    <s v="Kinnistute, hoonete ja ruumide majandamiskulud"/>
    <n v="55"/>
    <s v="55"/>
    <x v="0"/>
    <x v="0"/>
    <s v="Põhitegevuse kulu"/>
    <n v="0"/>
  </r>
  <r>
    <x v="8"/>
    <x v="67"/>
    <x v="65"/>
    <s v="Öömaja"/>
    <s v="Haridus"/>
    <s v="Roela Õpilaskodu"/>
    <s v="elekter"/>
    <n v="1000"/>
    <n v="0"/>
    <x v="4"/>
    <s v="Kinnistute, hoonete ja ruumide majandamiskulud"/>
    <n v="55"/>
    <s v="55"/>
    <x v="0"/>
    <x v="0"/>
    <s v="Põhitegevuse kulu"/>
    <n v="0"/>
  </r>
  <r>
    <x v="8"/>
    <x v="67"/>
    <x v="65"/>
    <s v="Öömaja"/>
    <s v="Haridus"/>
    <s v="Roela Õpilaskodu"/>
    <s v="vesi- ja kanalisatsioon"/>
    <n v="400"/>
    <n v="0"/>
    <x v="4"/>
    <s v="Kinnistute, hoonete ja ruumide majandamiskulud"/>
    <n v="55"/>
    <s v="55"/>
    <x v="0"/>
    <x v="0"/>
    <s v="Põhitegevuse kulu"/>
    <n v="0"/>
  </r>
  <r>
    <x v="8"/>
    <x v="67"/>
    <x v="65"/>
    <s v="Öömaja"/>
    <s v="Haridus"/>
    <s v="Roela Õpilaskodu"/>
    <s v="prügi"/>
    <n v="216"/>
    <n v="0"/>
    <x v="4"/>
    <s v="Kinnistute, hoonete ja ruumide majandamiskulud"/>
    <n v="55"/>
    <s v="55"/>
    <x v="0"/>
    <x v="0"/>
    <s v="Põhitegevuse kulu"/>
    <n v="0"/>
  </r>
  <r>
    <x v="8"/>
    <x v="67"/>
    <x v="65"/>
    <s v="Öömaja"/>
    <s v="Haridus"/>
    <s v="Roela Õpilaskodu"/>
    <s v="korrashoiuvahendid"/>
    <n v="400"/>
    <n v="0"/>
    <x v="4"/>
    <s v="Kinnistute, hoonete ja ruumide majandamiskulud"/>
    <n v="55"/>
    <s v="55"/>
    <x v="0"/>
    <x v="0"/>
    <s v="Põhitegevuse kulu"/>
    <n v="0"/>
  </r>
  <r>
    <x v="8"/>
    <x v="68"/>
    <x v="23"/>
    <s v="Muu haridus, sh hariduse haldus"/>
    <s v="Vabaaeg, kultuur ja religioon"/>
    <s v="Haridusnõunik"/>
    <s v="Valla hariduskapitali taastamine"/>
    <n v="1100"/>
    <s v="(1*350.- + 3*125.-- 5*75.- )"/>
    <x v="14"/>
    <s v="Kommunikatsiooni-, kultuuri- ja vaba aja sisustamise kulud"/>
    <n v="55"/>
    <s v="55"/>
    <x v="0"/>
    <x v="0"/>
    <s v="Põhitegevuse kulu"/>
    <n v="0"/>
  </r>
  <r>
    <x v="8"/>
    <x v="68"/>
    <x v="23"/>
    <s v="Muu haridus, sh hariduse haldus"/>
    <s v="Vabaaeg, kultuur ja religioon"/>
    <s v="Haridusnõunik"/>
    <s v="Õpilaste ja õpetajate vastuvõtt"/>
    <n v="5000"/>
    <s v="150 inimest: tänukirjad, meened, fotod, lilled, esinejad, suupisted"/>
    <x v="14"/>
    <s v="Kommunikatsiooni-, kultuuri- ja vaba aja sisustamise kulud"/>
    <n v="55"/>
    <s v="55"/>
    <x v="0"/>
    <x v="0"/>
    <s v="Põhitegevuse kulu"/>
    <n v="0"/>
  </r>
  <r>
    <x v="8"/>
    <x v="68"/>
    <x v="23"/>
    <s v="Muu haridus, sh hariduse haldus"/>
    <s v="Vabaaeg, kultuur ja religioon"/>
    <s v="Haridusnõunik"/>
    <s v="Õppeaasta lõpetamine"/>
    <n v="3500"/>
    <s v="Lilled , meened( 75 LA+31 PK +14 G+õpetajad)"/>
    <x v="14"/>
    <s v="Kommunikatsiooni-, kultuuri- ja vaba aja sisustamise kulud"/>
    <n v="55"/>
    <s v="55"/>
    <x v="0"/>
    <x v="0"/>
    <s v="Põhitegevuse kulu"/>
    <n v="0"/>
  </r>
  <r>
    <x v="8"/>
    <x v="68"/>
    <x v="23"/>
    <s v="Muu haridus, sh hariduse haldus"/>
    <s v="Vabaaeg, kultuur ja religioon"/>
    <s v="Haridusnõunik"/>
    <s v="Õppeaasta alustamine"/>
    <n v="1000"/>
    <s v="lilled 11 maja+ meened 1.klassile(75)"/>
    <x v="14"/>
    <s v="Kommunikatsiooni-, kultuuri- ja vaba aja sisustamise kulud"/>
    <n v="55"/>
    <s v="55"/>
    <x v="0"/>
    <x v="0"/>
    <s v="Põhitegevuse kulu"/>
    <n v="0"/>
  </r>
  <r>
    <x v="8"/>
    <x v="68"/>
    <x v="23"/>
    <s v="Muu haridus, sh hariduse haldus"/>
    <s v="Vabaaeg, kultuur ja religioon"/>
    <s v="Haridusnõunik"/>
    <s v="Õpetajatepäev"/>
    <n v="7000"/>
    <s v="üritus 175-le inimesele( kontsert, teater vms., transport, lilled, suupisted)"/>
    <x v="14"/>
    <s v="Kommunikatsiooni-, kultuuri- ja vaba aja sisustamise kulud"/>
    <n v="55"/>
    <s v="55"/>
    <x v="0"/>
    <x v="0"/>
    <s v="Põhitegevuse kulu"/>
    <n v="0"/>
  </r>
  <r>
    <x v="8"/>
    <x v="68"/>
    <x v="23"/>
    <s v="Muu haridus, sh hariduse haldus"/>
    <s v="Vabaaeg, kultuur ja religioon"/>
    <s v="Haridusnõunik"/>
    <s v="Muud haridusüritused"/>
    <n v="25000"/>
    <s v="valla laste- ja noortepäev, haridusasutuste taidluspäevad jm ülevallalised üritused vastavalt kokkulepitud kultuurikavale"/>
    <x v="14"/>
    <s v="Kommunikatsiooni-, kultuuri- ja vaba aja sisustamise kulud"/>
    <n v="55"/>
    <s v="55"/>
    <x v="0"/>
    <x v="0"/>
    <s v="Põhitegevuse kulu"/>
    <n v="0"/>
  </r>
  <r>
    <x v="8"/>
    <x v="69"/>
    <x v="66"/>
    <s v="Muu haridus, sh hariduse haldus"/>
    <s v="Haridus"/>
    <s v="Haridusnõunik"/>
    <s v="LVHJ lähetused+  3 töötaja koolitused"/>
    <n v="3000"/>
    <n v="0"/>
    <x v="2"/>
    <s v="Koolituskulud"/>
    <n v="55"/>
    <s v="55"/>
    <x v="0"/>
    <x v="0"/>
    <s v="Põhitegevuse kulu"/>
    <n v="0"/>
  </r>
  <r>
    <x v="8"/>
    <x v="69"/>
    <x v="66"/>
    <s v="Muu haridus, sh hariduse haldus"/>
    <s v="Haridus"/>
    <s v="Haridusnõunik"/>
    <s v="Isikliku sõiduauto komp."/>
    <n v="8300"/>
    <s v="(300+250+250) 2*10 kuud 1 *11 kuud"/>
    <x v="3"/>
    <s v="Sõidukite ülalpidamise kulud"/>
    <n v="55"/>
    <s v="55"/>
    <x v="0"/>
    <x v="0"/>
    <s v="Põhitegevuse kulu"/>
    <n v="0"/>
  </r>
  <r>
    <x v="8"/>
    <x v="69"/>
    <x v="66"/>
    <s v="Muu haridus, sh hariduse haldus"/>
    <s v="Haridus"/>
    <s v="Haridusnõunik"/>
    <s v="eripedagoogi töövahendid"/>
    <n v="1000"/>
    <n v="0"/>
    <x v="20"/>
    <s v="Õppevahendid"/>
    <n v="55"/>
    <s v="55"/>
    <x v="0"/>
    <x v="0"/>
    <s v="Põhitegevuse kulu"/>
    <n v="0"/>
  </r>
  <r>
    <x v="8"/>
    <x v="69"/>
    <x v="66"/>
    <s v="Muu haridus, sh hariduse haldus"/>
    <s v="Haridus"/>
    <s v="Haridusnõunik"/>
    <s v="laualambid jms alushariduse spets"/>
    <n v="300"/>
    <n v="0"/>
    <x v="8"/>
    <s v="Inventari kulud, v.a infotehnoloogia ja kaitseotstarbelised kulud"/>
    <n v="55"/>
    <s v="55"/>
    <x v="0"/>
    <x v="0"/>
    <s v="Põhitegevuse kulu"/>
    <n v="0"/>
  </r>
  <r>
    <x v="8"/>
    <x v="69"/>
    <x v="66"/>
    <s v="Muu haridus, sh hariduse haldus"/>
    <s v="Haridus"/>
    <s v="Haridusnõunik"/>
    <s v="Sideteenused"/>
    <n v="540"/>
    <n v="0"/>
    <x v="0"/>
    <s v="Administreerimiskulud"/>
    <n v="55"/>
    <s v="55"/>
    <x v="0"/>
    <x v="0"/>
    <s v="Põhitegevuse kulu"/>
    <n v="0"/>
  </r>
  <r>
    <x v="8"/>
    <x v="70"/>
    <x v="67"/>
    <s v="Muu haridus, sh hariduse haldus"/>
    <s v="Haridus"/>
    <s v="Haridusnõunik"/>
    <s v="Õpetajate ühiskoolitused"/>
    <n v="10000"/>
    <s v="koolivaheaegadel kõikidele valla õpetajatele korraldatud koolitused(4) "/>
    <x v="2"/>
    <s v="Koolituskulud"/>
    <n v="55"/>
    <s v="55"/>
    <x v="0"/>
    <x v="0"/>
    <s v="Põhitegevuse kulu"/>
    <n v="0"/>
  </r>
  <r>
    <x v="8"/>
    <x v="70"/>
    <x v="67"/>
    <s v="Muu haridus, sh hariduse haldus"/>
    <s v="Haridus"/>
    <s v="Haridusnõunik"/>
    <s v="lastevanemate koolitused"/>
    <n v="10000"/>
    <n v="0"/>
    <x v="2"/>
    <s v="Koolituskulud"/>
    <n v="55"/>
    <s v="55"/>
    <x v="0"/>
    <x v="0"/>
    <s v="Põhitegevuse kulu"/>
    <n v="0"/>
  </r>
  <r>
    <x v="9"/>
    <x v="71"/>
    <x v="68"/>
    <s v="Haigete sotsiaalne kaitse"/>
    <s v="Sotsiaalne kaitse"/>
    <s v="Sotsiaalosakond"/>
    <s v="Vähihaigete Liit"/>
    <n v="300"/>
    <n v="0"/>
    <x v="18"/>
    <s v="Sihtotstarbelised eraldised jooksvateks kuludeks"/>
    <n v="4500"/>
    <s v="45"/>
    <x v="1"/>
    <x v="3"/>
    <s v="Põhitegevuse kulu"/>
    <n v="0"/>
  </r>
  <r>
    <x v="9"/>
    <x v="71"/>
    <x v="68"/>
    <s v="Haigete sotsiaalne kaitse"/>
    <s v="Sotsiaalne kaitse"/>
    <s v="Sotsiaalosakond"/>
    <s v="Lääne-Virumaa Sclerosis Multipleksi Ühing"/>
    <n v="700"/>
    <n v="0"/>
    <x v="18"/>
    <s v="Sihtotstarbelised eraldised jooksvateks kuludeks"/>
    <n v="4500"/>
    <s v="45"/>
    <x v="1"/>
    <x v="3"/>
    <s v="Põhitegevuse kulu"/>
    <n v="0"/>
  </r>
  <r>
    <x v="9"/>
    <x v="71"/>
    <x v="68"/>
    <s v="Haigete sotsiaalne kaitse"/>
    <s v="Sotsiaalne kaitse"/>
    <s v="Sotsiaalosakond"/>
    <s v="Lääne Virumaa Kurtide Ühing"/>
    <n v="250"/>
    <n v="0"/>
    <x v="18"/>
    <s v="Sihtotstarbelised eraldised jooksvateks kuludeks"/>
    <n v="4500"/>
    <s v="45"/>
    <x v="1"/>
    <x v="3"/>
    <s v="Põhitegevuse kulu"/>
    <n v="0"/>
  </r>
  <r>
    <x v="9"/>
    <x v="71"/>
    <x v="68"/>
    <s v="Haigete sotsiaalne kaitse"/>
    <s v="Sotsiaalne kaitse"/>
    <s v="Sotsiaalosakond"/>
    <s v="MTÜ Õendus-hoolduskeskus Loojang"/>
    <n v="7000"/>
    <n v="0"/>
    <x v="18"/>
    <s v="Sihtotstarbelised eraldised jooksvateks kuludeks"/>
    <n v="4500"/>
    <s v="45"/>
    <x v="1"/>
    <x v="3"/>
    <s v="Põhitegevuse kulu"/>
    <n v="0"/>
  </r>
  <r>
    <x v="9"/>
    <x v="72"/>
    <x v="69"/>
    <s v="Puuetega inimeste sotsiaalhoolekandeasutused"/>
    <s v="Sotsiaalne kaitse"/>
    <s v="Sotsiaalosakond"/>
    <s v="Lääne-Virumaa Puuetega Inimeste Koda"/>
    <n v="1500"/>
    <n v="0"/>
    <x v="18"/>
    <s v="Sihtotstarbelised eraldised jooksvateks kuludeks"/>
    <n v="4500"/>
    <s v="45"/>
    <x v="1"/>
    <x v="3"/>
    <s v="Põhitegevuse kulu"/>
    <n v="0"/>
  </r>
  <r>
    <x v="9"/>
    <x v="72"/>
    <x v="69"/>
    <s v="Puuetega inimeste sotsiaalhoolekandeasutused"/>
    <s v="Sotsiaalne kaitse"/>
    <s v="Sotsiaalosakond"/>
    <s v="MTÜ Johanna projektid"/>
    <n v="1000"/>
    <n v="0"/>
    <x v="18"/>
    <s v="Sihtotstarbelised eraldised jooksvateks kuludeks"/>
    <n v="4500"/>
    <s v="45"/>
    <x v="1"/>
    <x v="3"/>
    <s v="Põhitegevuse kulu"/>
    <n v="0"/>
  </r>
  <r>
    <x v="9"/>
    <x v="72"/>
    <x v="69"/>
    <s v="Puuetega inimeste sotsiaalhoolekandeasutused"/>
    <s v="Sotsiaalne kaitse"/>
    <s v="Sotsiaalosakond"/>
    <s v="MTÜ Johanna tegevustoetus"/>
    <n v="3800"/>
    <n v="0"/>
    <x v="18"/>
    <s v="Sihtotstarbelised eraldised jooksvateks kuludeks"/>
    <n v="4500"/>
    <s v="45"/>
    <x v="1"/>
    <x v="3"/>
    <s v="Põhitegevuse kulu"/>
    <n v="0"/>
  </r>
  <r>
    <x v="9"/>
    <x v="72"/>
    <x v="69"/>
    <s v="Puuetega inimeste sotsiaalhoolekandeasutused"/>
    <s v="Sotsiaalne kaitse"/>
    <s v="Sotsiaalosakond"/>
    <s v="Maakonna projekt Erivajadustega inimeste tugiteenused osal"/>
    <n v="1632"/>
    <n v="0"/>
    <x v="3"/>
    <s v="Sõidukite ülalpidamise kulud"/>
    <n v="55"/>
    <s v="55"/>
    <x v="0"/>
    <x v="0"/>
    <s v="Põhitegevuse kulu"/>
    <n v="0"/>
  </r>
  <r>
    <x v="9"/>
    <x v="73"/>
    <x v="70"/>
    <s v="Muu puuetega inimeste sotsiaalne kaitse"/>
    <s v="Sotsiaalne kaitse"/>
    <s v="Sotsiaalosakond"/>
    <s v="Toetus ravimitele, abivah.,proteesid"/>
    <n v="11000"/>
    <n v="0"/>
    <x v="22"/>
    <s v="Proteesid, ortopeedilised ja muud abivahendid puuetega inimestele"/>
    <n v="413"/>
    <s v="41"/>
    <x v="1"/>
    <x v="4"/>
    <s v="Põhitegevuse kulu"/>
    <n v="0"/>
  </r>
  <r>
    <x v="9"/>
    <x v="74"/>
    <x v="71"/>
    <s v="Muu puuetega inimeste sotsiaalne kaitse"/>
    <s v="Sotsiaalne kaitse"/>
    <s v="Sotsiaalosakond"/>
    <s v="Invatranspordis osalemine/teenus"/>
    <n v="45500"/>
    <s v="sh. Laekvere eakate seltsing Meenutuse transpordi kulud"/>
    <x v="23"/>
    <s v="Muud toetused puuetega inimestele ja nende hooldajatele"/>
    <n v="413"/>
    <s v="41"/>
    <x v="1"/>
    <x v="4"/>
    <s v="Põhitegevuse kulu"/>
    <n v="0"/>
  </r>
  <r>
    <x v="9"/>
    <x v="75"/>
    <x v="72"/>
    <s v="Muu puuetega inimeste sotsiaalne kaitse"/>
    <s v="Sotsiaalne kaitse"/>
    <s v="Sotsiaalosakond"/>
    <s v="Puuetega täiskanvanute hooldaja toetus"/>
    <n v="110000"/>
    <n v="0"/>
    <x v="24"/>
    <s v="Puudega inimese hooldaja toetus"/>
    <n v="413"/>
    <s v="41"/>
    <x v="1"/>
    <x v="4"/>
    <s v="Põhitegevuse kulu"/>
    <n v="0"/>
  </r>
  <r>
    <x v="9"/>
    <x v="75"/>
    <x v="72"/>
    <s v="Muu puuetega inimeste sotsiaalne kaitse"/>
    <s v="Sotsiaalne kaitse"/>
    <s v="Sotsiaalosakond"/>
    <s v="Puuetega inimeste eest makstav sotsiaalmaks"/>
    <n v="51600"/>
    <n v="0"/>
    <x v="25"/>
    <s v="Erijuhtudel riigi poolt makstavad maksud"/>
    <n v="413"/>
    <s v="41"/>
    <x v="1"/>
    <x v="4"/>
    <s v="Põhitegevuse kulu"/>
    <n v="0"/>
  </r>
  <r>
    <x v="9"/>
    <x v="76"/>
    <x v="73"/>
    <s v="Muu puuetega inimeste sotsiaalne kaitse"/>
    <s v="Sotsiaalne kaitse"/>
    <s v="Sotsiaalosakond"/>
    <s v="Täiendavad toetused (ujumine, ühiselamu)"/>
    <n v="3800"/>
    <n v="0"/>
    <x v="26"/>
    <s v="Sotsiaalteenused"/>
    <n v="55"/>
    <s v="55"/>
    <x v="0"/>
    <x v="0"/>
    <s v="Põhitegevuse kulu"/>
    <n v="0"/>
  </r>
  <r>
    <x v="9"/>
    <x v="76"/>
    <x v="73"/>
    <s v="Muu puuetega inimeste sotsiaalne kaitse"/>
    <s v="Sotsiaalne kaitse"/>
    <s v="Sotsiaalosakond"/>
    <s v="Sõidukulude kompenseerimise toetus"/>
    <n v="3500"/>
    <n v="0"/>
    <x v="23"/>
    <s v="Muud toetused puuetega inimestele ja nende hooldajatele"/>
    <n v="413"/>
    <s v="41"/>
    <x v="1"/>
    <x v="4"/>
    <s v="Põhitegevuse kulu"/>
    <n v="0"/>
  </r>
  <r>
    <x v="9"/>
    <x v="76"/>
    <x v="73"/>
    <s v="Muu puuetega inimeste sotsiaalne kaitse"/>
    <s v="Sotsiaalne kaitse"/>
    <s v="Sotsiaalosakond"/>
    <s v="Viipekeele tõlk"/>
    <n v="800"/>
    <n v="0"/>
    <x v="23"/>
    <s v="Muud toetused puuetega inimestele ja nende hooldajatele"/>
    <n v="413"/>
    <s v="41"/>
    <x v="1"/>
    <x v="4"/>
    <s v="Põhitegevuse kulu"/>
    <n v="0"/>
  </r>
  <r>
    <x v="9"/>
    <x v="76"/>
    <x v="73"/>
    <s v="Muu puuetega inimeste sotsiaalne kaitse"/>
    <s v="Sotsiaalne kaitse"/>
    <s v="Sotsiaalosakond"/>
    <s v="Muud toetused (juhtkoera toit)"/>
    <n v="300"/>
    <n v="0"/>
    <x v="23"/>
    <s v="Muud toetused puuetega inimestele ja nende hooldajatele"/>
    <n v="413"/>
    <s v="41"/>
    <x v="1"/>
    <x v="4"/>
    <s v="Põhitegevuse kulu"/>
    <n v="0"/>
  </r>
  <r>
    <x v="9"/>
    <x v="76"/>
    <x v="73"/>
    <s v="Muu puuetega inimeste sotsiaalne kaitse"/>
    <s v="Sotsiaalne kaitse"/>
    <s v="Sotsiaalosakond"/>
    <s v="Muud toetused (ühekordsed)"/>
    <n v="7000"/>
    <n v="0"/>
    <x v="23"/>
    <s v="Muud toetused puuetega inimestele ja nende hooldajatele"/>
    <n v="413"/>
    <s v="41"/>
    <x v="1"/>
    <x v="4"/>
    <s v="Põhitegevuse kulu"/>
    <n v="0"/>
  </r>
  <r>
    <x v="9"/>
    <x v="76"/>
    <x v="73"/>
    <s v="Muu puuetega inimeste sotsiaalne kaitse"/>
    <s v="Sotsiaalne kaitse"/>
    <s v="Sotsiaalosakond"/>
    <s v="Tõlgiteenus"/>
    <n v="1000"/>
    <n v="0"/>
    <x v="26"/>
    <s v="Sotsiaalteenused"/>
    <n v="55"/>
    <s v="55"/>
    <x v="0"/>
    <x v="0"/>
    <s v="Põhitegevuse kulu"/>
    <n v="0"/>
  </r>
  <r>
    <x v="9"/>
    <x v="76"/>
    <x v="73"/>
    <s v="Muu puuetega inimeste sotsiaalne kaitse"/>
    <s v="Sotsiaalne kaitse"/>
    <s v="Sotsiaalosakond"/>
    <s v="Projekt &quot;Puuetega in. Kodude kohandamine&quot;"/>
    <n v="5000"/>
    <n v="0"/>
    <x v="4"/>
    <s v="Kinnistute, hoonete ja ruumide majandamiskulud"/>
    <n v="55"/>
    <s v="55"/>
    <x v="0"/>
    <x v="0"/>
    <s v="Põhitegevuse kulu"/>
    <n v="0"/>
  </r>
  <r>
    <x v="9"/>
    <x v="77"/>
    <x v="74"/>
    <s v="Muu puuetega inimeste sotsiaalne kaitse"/>
    <s v="Sotsiaalne kaitse"/>
    <s v="Sotsiaalosakond"/>
    <s v="AS Hoolekandeteenused osalemine"/>
    <n v="840"/>
    <n v="0"/>
    <x v="26"/>
    <s v="Sotsiaalteenused"/>
    <n v="55"/>
    <s v="55"/>
    <x v="0"/>
    <x v="0"/>
    <s v="Põhitegevuse kulu"/>
    <n v="0"/>
  </r>
  <r>
    <x v="9"/>
    <x v="78"/>
    <x v="75"/>
    <s v="Muu puuetega inimeste sotsiaalne kaitse"/>
    <s v="Sotsiaalne kaitse"/>
    <s v="Sotsiaalosakond"/>
    <s v="Puuetega laste hooldaja toetus"/>
    <n v="17831"/>
    <s v="Toetusfond"/>
    <x v="24"/>
    <s v="Puudega inimese hooldaja toetus"/>
    <n v="413"/>
    <s v="41"/>
    <x v="1"/>
    <x v="4"/>
    <s v="Põhitegevuse kulu"/>
    <n v="0"/>
  </r>
  <r>
    <x v="9"/>
    <x v="79"/>
    <x v="76"/>
    <s v="Eakate sotsiaalhoolekande asutused"/>
    <s v="Sotsiaalne kaitse"/>
    <s v="Tammiku kodu"/>
    <s v="telefonid ja internet, TV"/>
    <n v="2000"/>
    <n v="0"/>
    <x v="0"/>
    <s v="Administreerimis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ajaleht "/>
    <n v="150"/>
    <s v="Virumaa Teataja                                               "/>
    <x v="0"/>
    <s v="Administreerimis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tahm, paber, kirjatarbed"/>
    <n v="174"/>
    <s v="tint 30x4; paber, kirjatarbed                              "/>
    <x v="0"/>
    <s v="Administreerimis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kodulehekülg"/>
    <n v="76"/>
    <s v="Elkada Oü 19x44                                                 "/>
    <x v="0"/>
    <s v="Administreerimis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koolituste plaan"/>
    <n v="50"/>
    <s v="juhataja koolitus                                                "/>
    <x v="2"/>
    <s v="Koolitus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plaanilised koolitused"/>
    <n v="150"/>
    <s v="hooldajate, kokkade koolitused                         "/>
    <x v="2"/>
    <s v="Koolitus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el.auto tehnhool, kindlustus, remont"/>
    <n v="800"/>
    <n v="0"/>
    <x v="3"/>
    <s v="Sõidukite ülalpidamise 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sotsiaaltranspordi teenus"/>
    <n v="432"/>
    <n v="0"/>
    <x v="3"/>
    <s v="Sõidukite ülalpidamise 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toidukaup"/>
    <n v="19535"/>
    <s v="24 in x 365 p x 2,30                                  "/>
    <x v="19"/>
    <s v="Toiduained ja toitlustusteenuse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Tervisekontroll"/>
    <n v="100"/>
    <s v="Töötajad                                                     "/>
    <x v="9"/>
    <s v="Meditsiinikulud ja hügieenitarbe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Pereõe külastus"/>
    <n v="1000"/>
    <s v="Riina Sinisoo 1x kuus                                  "/>
    <x v="9"/>
    <s v="Meditsiinikulud ja hügieenitarbe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Ravimid"/>
    <n v="1850"/>
    <s v="Retsepti-ja vabamüügiravimid             "/>
    <x v="9"/>
    <s v="Meditsiinikulud ja hügieenitarbe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Hügieenitarbed"/>
    <n v="2060"/>
    <s v="1x linad, pesemiskindad, mähkmed jm      "/>
    <x v="9"/>
    <s v="Meditsiinikulud ja hügieenitarbe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Haiglatasud"/>
    <n v="300"/>
    <s v="Haigla voodi-ja visiiditasud                           "/>
    <x v="9"/>
    <s v="Meditsiinikulud ja hügieenitarbe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Üritused, sünnipäevad, esinejad"/>
    <n v="1000"/>
    <n v="0"/>
    <x v="14"/>
    <s v="Kommunikatsiooni-, kultuuri- ja vaba aja sisustamise 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Ettenägematud soetused"/>
    <n v="940"/>
    <n v="0"/>
    <x v="1"/>
    <s v="Mitmesugused majandus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küte"/>
    <n v="1500"/>
    <s v="35 m2 puid Tammiku Kodule                           "/>
    <x v="4"/>
    <s v="Kinnistute, hoonete ja ruumide majandamis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elekter"/>
    <n v="4150"/>
    <s v="Obja k peamaja ja 2 korterit Roelas             "/>
    <x v="4"/>
    <s v="Kinnistute, hoonete ja ruumide majandamis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vesi ja kanalisatsioon"/>
    <n v="2760"/>
    <s v="Fixum 230 eurot kuus                                                      "/>
    <x v="4"/>
    <s v="Kinnistute, hoonete ja ruumide majandamis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korrashoiuvahendid, voodipesud, käterätid jms"/>
    <n v="4100"/>
    <s v="pesuvahendid, puhastustarbed jm         "/>
    <x v="4"/>
    <s v="Kinnistute, hoonete ja ruumide majandamis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KÜ maksud"/>
    <n v="4300"/>
    <s v="Järve 2-10 ja Järve 6-21          "/>
    <x v="4"/>
    <s v="Kinnistute, hoonete ja ruumide majandamis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Valve ATS hooldus"/>
    <n v="288"/>
    <s v="4x72 GAS Eesti                                            "/>
    <x v="4"/>
    <s v="Kinnistute, hoonete ja ruumide majandamis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vee analüüsid"/>
    <n v="150"/>
    <s v="Terviseamet                                               "/>
    <x v="4"/>
    <s v="Kinnistute, hoonete ja ruumide majandamis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korstna-ja ventilatsiooni puhastus"/>
    <n v="654"/>
    <s v="Päästeameti nõue                                         "/>
    <x v="4"/>
    <s v="Kinnistute, hoonete ja ruumide majandamis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kahjuritõrje, prügi"/>
    <n v="296"/>
    <s v="Rentokil 35x4, prügi 13x12                 "/>
    <x v="4"/>
    <s v="Kinnistute, hoonete ja ruumide majandamis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kütus muruniidukile, niiduki õli ja remont"/>
    <n v="180"/>
    <s v="20 l kuus 240, õli, remont 150                                                                   "/>
    <x v="4"/>
    <s v="Kinnistute, hoonete ja ruumide majandamiskulud"/>
    <n v="55"/>
    <s v="55"/>
    <x v="0"/>
    <x v="0"/>
    <s v="Põhitegevuse kulu"/>
    <n v="0"/>
  </r>
  <r>
    <x v="9"/>
    <x v="79"/>
    <x v="76"/>
    <s v="Eakate sotsiaalhoolekande asutused"/>
    <s v="Sotsiaalne kaitse"/>
    <s v="Tammiku kodu"/>
    <s v="TV, arvutid"/>
    <n v="1100"/>
    <n v="0"/>
    <x v="5"/>
    <s v="Info- ja kommunikatsioonitehnoliigised 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bürootarbed"/>
    <n v="120"/>
    <n v="0"/>
    <x v="0"/>
    <s v="Administreerimis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ajalehed( virumaa teataja, kodutohter "/>
    <n v="170"/>
    <n v="0"/>
    <x v="0"/>
    <s v="Administreerimis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esinduskulu"/>
    <n v="200"/>
    <n v="0"/>
    <x v="0"/>
    <s v="Administreerimis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koolitused"/>
    <n v="650"/>
    <n v="0"/>
    <x v="2"/>
    <s v="Koolitus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isikliku sõiduauto komp."/>
    <n v="1650"/>
    <s v="sõidukite kulud 11kuud * 150"/>
    <x v="3"/>
    <s v="Sõidukite ülalpidamise 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voodikapp lauaga 2 tk  "/>
    <n v="600"/>
    <n v="0"/>
    <x v="8"/>
    <s v="Inventari kulud, v.a infotehnoloogia ja kaitseotstarbelised 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riidekapp 1 tk"/>
    <n v="230"/>
    <n v="0"/>
    <x v="8"/>
    <s v="Inventari kulud, v.a infotehnoloogia ja kaitseotstarbelised 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voodipesu 30"/>
    <n v="600"/>
    <n v="0"/>
    <x v="8"/>
    <s v="Inventari kulud, v.a infotehnoloogia ja kaitseotstarbelised 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köögitarvikud (potid, pannid) kööki, hooldus, remont"/>
    <n v="500"/>
    <n v="0"/>
    <x v="8"/>
    <s v="Inventari kulud, v.a infotehnoloogia ja kaitseotstarbelised 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nõudepesumasin"/>
    <n v="0"/>
    <s v="Lisavajadustes"/>
    <x v="8"/>
    <s v="Inventari kulud, v.a infotehnoloogia ja kaitseotstarbelised 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madrats 2tk"/>
    <n v="200"/>
    <n v="0"/>
    <x v="8"/>
    <s v="Inventari kulud, v.a infotehnoloogia ja kaitseotstarbelised 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pesukuivati"/>
    <n v="0"/>
    <s v="Lisavajadustes"/>
    <x v="8"/>
    <s v="Inventari kulud, v.a infotehnoloogia ja kaitseotstarbelised 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Toiduained"/>
    <n v="24012"/>
    <n v="0"/>
    <x v="19"/>
    <s v="Toiduained ja toitlustusteenuse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Personalitoit"/>
    <n v="2200"/>
    <n v="0"/>
    <x v="19"/>
    <s v="Toiduained ja toitlustusteenuse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Ravimid, mähkmed"/>
    <n v="200"/>
    <n v="0"/>
    <x v="9"/>
    <s v="Meditsiinikulud ja hügieenitarbe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kaldtee "/>
    <n v="0"/>
    <s v="Lisavajadustes"/>
    <x v="4"/>
    <s v="Kinnistute, hoonete ja ruumide majandamis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üritused, huvitegevus, lilled"/>
    <n v="1600"/>
    <n v="0"/>
    <x v="14"/>
    <s v="Kommunikatsiooni-, kultuuri- ja vaba aja sisustamise 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Tööriided  "/>
    <n v="500"/>
    <n v="0"/>
    <x v="12"/>
    <s v="Eri- ja vormiriietus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sõiduabi (transport haiglast koju)"/>
    <n v="300"/>
    <n v="0"/>
    <x v="26"/>
    <s v="Sotsiaalteenuse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tervishoiuteenuse ostmine ( pereõde)"/>
    <n v="1000"/>
    <s v="uus teenus"/>
    <x v="26"/>
    <s v="Sotsiaalteenuse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soojusenergia ( küte)"/>
    <n v="9000"/>
    <n v="0"/>
    <x v="4"/>
    <s v="Kinnistute, hoonete ja ruumide majandamis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elekter"/>
    <n v="6000"/>
    <n v="0"/>
    <x v="4"/>
    <s v="Kinnistute, hoonete ja ruumide majandamis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vesi ja kanalisatsioon"/>
    <n v="2400"/>
    <n v="0"/>
    <x v="4"/>
    <s v="Kinnistute, hoonete ja ruumide majandamis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korrashoid ja remont tubades"/>
    <n v="1000"/>
    <n v="0"/>
    <x v="4"/>
    <s v="Kinnistute, hoonete ja ruumide majandamis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prügi vedu+energia kontroll)"/>
    <n v="900"/>
    <n v="0"/>
    <x v="4"/>
    <s v="Kinnistute, hoonete ja ruumide majandamis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ruumide korrashoid, pesu pesemine"/>
    <n v="6000"/>
    <n v="0"/>
    <x v="4"/>
    <s v="Kinnistute, hoonete ja ruumide majandamis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ettevõttekindlustus"/>
    <n v="180"/>
    <n v="0"/>
    <x v="4"/>
    <s v="Kinnistute, hoonete ja ruumide majandamis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internet ja teler, telefon"/>
    <n v="650"/>
    <n v="0"/>
    <x v="5"/>
    <s v="Info- ja kommunikatsioonitehnoliigised 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tarkvara hooldus"/>
    <n v="100"/>
    <n v="0"/>
    <x v="5"/>
    <s v="Info- ja kommunikatsioonitehnoliigised kulu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Personalitoit"/>
    <n v="-2200"/>
    <s v="Töötajad tasuvad ise tagasi"/>
    <x v="19"/>
    <s v="Toiduained ja toitlustusteenuse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Ravimid, mähkmed"/>
    <n v="12000"/>
    <n v="0"/>
    <x v="9"/>
    <s v="Meditsiinikulud ja hügieenitarbed"/>
    <n v="55"/>
    <s v="55"/>
    <x v="0"/>
    <x v="0"/>
    <s v="Põhitegevuse kulu"/>
    <n v="0"/>
  </r>
  <r>
    <x v="9"/>
    <x v="80"/>
    <x v="77"/>
    <s v="Eakate sotsiaalhoolekande asutused"/>
    <s v="Sotsiaalne kaitse"/>
    <s v="Ulvi kodu"/>
    <s v="Ravimid, mähkmed"/>
    <n v="-12000"/>
    <s v="Kulu kaetakse hooldajate pere poolt"/>
    <x v="9"/>
    <s v="Meditsiinikulud ja hügieenitarbed"/>
    <n v="55"/>
    <s v="55"/>
    <x v="0"/>
    <x v="0"/>
    <s v="Põhitegevuse kulu"/>
    <n v="0"/>
  </r>
  <r>
    <x v="9"/>
    <x v="81"/>
    <x v="78"/>
    <s v="Eakate sotsiaalhoolekande asutused"/>
    <s v="Sotsiaalne kaitse"/>
    <s v="Sotsiaalosakond"/>
    <s v="Üldtüüpi hooldekodusse paigut.in.ülalp.kulud"/>
    <n v="70000"/>
    <n v="0"/>
    <x v="26"/>
    <s v="Sotsiaalteenused"/>
    <n v="55"/>
    <s v="55"/>
    <x v="0"/>
    <x v="0"/>
    <s v="Põhitegevuse kulu"/>
    <n v="0"/>
  </r>
  <r>
    <x v="9"/>
    <x v="82"/>
    <x v="79"/>
    <s v="Eakate sotsiaalhoolekande asutused"/>
    <s v="Sotsiaalne kaitse"/>
    <s v="Vinni Päevakeskus"/>
    <s v="tahm, paber"/>
    <n v="40"/>
    <n v="0"/>
    <x v="0"/>
    <s v="Administreerimiskulud"/>
    <n v="55"/>
    <s v="55"/>
    <x v="0"/>
    <x v="0"/>
    <s v="Põhitegevuse kulu"/>
    <n v="0"/>
  </r>
  <r>
    <x v="9"/>
    <x v="82"/>
    <x v="79"/>
    <s v="Eakate sotsiaalhoolekande asutused"/>
    <s v="Sotsiaalne kaitse"/>
    <s v="Vinni Päevakeskus"/>
    <s v="ajakirjad (Tervendaja ja 60+)"/>
    <n v="50"/>
    <n v="0"/>
    <x v="0"/>
    <s v="Administreerimiskulud"/>
    <n v="55"/>
    <s v="55"/>
    <x v="0"/>
    <x v="0"/>
    <s v="Põhitegevuse kulu"/>
    <n v="0"/>
  </r>
  <r>
    <x v="9"/>
    <x v="82"/>
    <x v="79"/>
    <s v="Eakate sotsiaalhoolekande asutused"/>
    <s v="Sotsiaalne kaitse"/>
    <s v="Vinni Päevakeskus"/>
    <s v="lilled"/>
    <n v="200"/>
    <n v="0"/>
    <x v="0"/>
    <s v="Administreerimiskulud"/>
    <n v="55"/>
    <s v="55"/>
    <x v="0"/>
    <x v="0"/>
    <s v="Põhitegevuse kulu"/>
    <n v="0"/>
  </r>
  <r>
    <x v="9"/>
    <x v="82"/>
    <x v="79"/>
    <s v="Eakate sotsiaalhoolekande asutused"/>
    <s v="Sotsiaalne kaitse"/>
    <s v="Vinni Päevakeskus"/>
    <s v="Koolituskulud"/>
    <n v="50"/>
    <n v="0"/>
    <x v="2"/>
    <s v="Koolituskulud"/>
    <n v="55"/>
    <s v="55"/>
    <x v="0"/>
    <x v="0"/>
    <s v="Põhitegevuse kulu"/>
    <n v="0"/>
  </r>
  <r>
    <x v="9"/>
    <x v="82"/>
    <x v="79"/>
    <s v="Eakate sotsiaalhoolekande asutused"/>
    <s v="Sotsiaalne kaitse"/>
    <s v="Vinni Päevakeskus"/>
    <s v="Isikliku sõiduauto komp."/>
    <n v="760"/>
    <n v="0"/>
    <x v="3"/>
    <s v="Sõidukite ülalpidamise kulud"/>
    <n v="55"/>
    <s v="55"/>
    <x v="0"/>
    <x v="0"/>
    <s v="Põhitegevuse kulu"/>
    <n v="0"/>
  </r>
  <r>
    <x v="9"/>
    <x v="82"/>
    <x v="79"/>
    <s v="Eakate sotsiaalhoolekande asutused"/>
    <s v="Sotsiaalne kaitse"/>
    <s v="Vinni Päevakeskus"/>
    <s v="eakate päev, jõulud ja kevadpidu"/>
    <n v="200"/>
    <n v="0"/>
    <x v="14"/>
    <s v="Kommunikatsiooni-, kultuuri- ja vaba aja sisustamise kulud"/>
    <n v="55"/>
    <s v="55"/>
    <x v="0"/>
    <x v="0"/>
    <s v="Põhitegevuse kulu"/>
    <n v="0"/>
  </r>
  <r>
    <x v="9"/>
    <x v="82"/>
    <x v="79"/>
    <s v="Eakate sotsiaalhoolekande asutused"/>
    <s v="Sotsiaalne kaitse"/>
    <s v="Vinni Päevakeskus"/>
    <s v="käeline tegevus (materjalid)"/>
    <n v="100"/>
    <n v="0"/>
    <x v="14"/>
    <s v="Kommunikatsiooni-, kultuuri- ja vaba aja sisustamise kulud"/>
    <n v="55"/>
    <s v="55"/>
    <x v="0"/>
    <x v="0"/>
    <s v="Põhitegevuse kulu"/>
    <n v="0"/>
  </r>
  <r>
    <x v="9"/>
    <x v="82"/>
    <x v="79"/>
    <s v="Eakate sotsiaalhoolekande asutused"/>
    <s v="Sotsiaalne kaitse"/>
    <s v="Vinni Päevakeskus"/>
    <s v="mälutreening 2xkuus, 16x40,00"/>
    <n v="640"/>
    <n v="0"/>
    <x v="14"/>
    <s v="Kommunikatsiooni-, kultuuri- ja vaba aja sisustamise kulud"/>
    <n v="55"/>
    <s v="55"/>
    <x v="0"/>
    <x v="0"/>
    <s v="Põhitegevuse kulu"/>
    <n v="0"/>
  </r>
  <r>
    <x v="9"/>
    <x v="82"/>
    <x v="79"/>
    <s v="Eakate sotsiaalhoolekande asutused"/>
    <s v="Sotsiaalne kaitse"/>
    <s v="Vinni Päevakeskus"/>
    <s v="võimlemine 4x kuus, 30x 45,00"/>
    <n v="1350"/>
    <n v="0"/>
    <x v="14"/>
    <s v="Kommunikatsiooni-, kultuuri- ja vaba aja sisustamise kulud"/>
    <n v="55"/>
    <s v="55"/>
    <x v="0"/>
    <x v="0"/>
    <s v="Põhitegevuse kulu"/>
    <n v="0"/>
  </r>
  <r>
    <x v="9"/>
    <x v="82"/>
    <x v="79"/>
    <s v="Eakate sotsiaalhoolekande asutused"/>
    <s v="Sotsiaalne kaitse"/>
    <s v="Vinni Päevakeskus"/>
    <s v="laulmine"/>
    <n v="500"/>
    <n v="0"/>
    <x v="14"/>
    <s v="Kommunikatsiooni-, kultuuri- ja vaba aja sisustamise kulud"/>
    <n v="55"/>
    <s v="55"/>
    <x v="0"/>
    <x v="0"/>
    <s v="Põhitegevuse kulu"/>
    <n v="0"/>
  </r>
  <r>
    <x v="9"/>
    <x v="82"/>
    <x v="79"/>
    <s v="Eakate sotsiaalhoolekande asutused"/>
    <s v="Sotsiaalne kaitse"/>
    <s v="Vinni Päevakeskus"/>
    <s v="ettearvamatud"/>
    <n v="100"/>
    <n v="0"/>
    <x v="4"/>
    <s v="Kinnistute, hoonete ja ruumide majandamiskulud"/>
    <n v="55"/>
    <s v="55"/>
    <x v="0"/>
    <x v="0"/>
    <s v="Põhitegevuse kulu"/>
    <n v="0"/>
  </r>
  <r>
    <x v="9"/>
    <x v="82"/>
    <x v="79"/>
    <s v="Eakate sotsiaalhoolekande asutused"/>
    <s v="Sotsiaalne kaitse"/>
    <s v="Vinni Päevakeskus"/>
    <s v="vesi ja kanalisatsioon"/>
    <n v="50"/>
    <n v="0"/>
    <x v="4"/>
    <s v="Kinnistute, hoonete ja ruumide majandamiskulud"/>
    <n v="55"/>
    <s v="55"/>
    <x v="0"/>
    <x v="0"/>
    <s v="Põhitegevuse kulu"/>
    <n v="0"/>
  </r>
  <r>
    <x v="9"/>
    <x v="82"/>
    <x v="79"/>
    <s v="Eakate sotsiaalhoolekande asutused"/>
    <s v="Sotsiaalne kaitse"/>
    <s v="Vinni Päevakeskus"/>
    <s v="puhastus vahendid"/>
    <n v="50"/>
    <n v="0"/>
    <x v="4"/>
    <s v="Kinnistute, hoonete ja ruumide majandamiskulud"/>
    <n v="55"/>
    <s v="55"/>
    <x v="0"/>
    <x v="0"/>
    <s v="Põhitegevuse kulu"/>
    <n v="0"/>
  </r>
  <r>
    <x v="9"/>
    <x v="83"/>
    <x v="72"/>
    <s v="Muu eakate sotsiaalne kaitse"/>
    <s v="Sotsiaalne kaitse"/>
    <s v="Sotsiaalosakond"/>
    <s v="Hooldustöötaja el.auto hooldus, remont, jms"/>
    <n v="1000"/>
    <s v="sh. Kredex laadimistasud"/>
    <x v="3"/>
    <s v="Sõidukite ülalpidamise kulud"/>
    <n v="55"/>
    <s v="55"/>
    <x v="0"/>
    <x v="0"/>
    <s v="Põhitegevuse kulu"/>
    <n v="0"/>
  </r>
  <r>
    <x v="9"/>
    <x v="83"/>
    <x v="72"/>
    <s v="Muu eakate sotsiaalne kaitse"/>
    <s v="Sotsiaalne kaitse"/>
    <s v="Sotsiaalosakond"/>
    <s v="Hooldustöötajate koolitused"/>
    <n v="600"/>
    <n v="0"/>
    <x v="2"/>
    <s v="Koolituskulud"/>
    <n v="55"/>
    <s v="55"/>
    <x v="0"/>
    <x v="0"/>
    <s v="Põhitegevuse kulu"/>
    <n v="0"/>
  </r>
  <r>
    <x v="9"/>
    <x v="83"/>
    <x v="72"/>
    <s v="Muu eakate sotsiaalne kaitse"/>
    <s v="Sotsiaalne kaitse"/>
    <s v="Sotsiaalosakond"/>
    <s v="Inventar"/>
    <n v="900"/>
    <s v="el.jalgratta hooldus( akud) jms"/>
    <x v="8"/>
    <s v="Inventari kulud, v.a infotehnoloogia ja kaitseotstarbelised kulud"/>
    <n v="55"/>
    <s v="55"/>
    <x v="0"/>
    <x v="0"/>
    <s v="Põhitegevuse kulu"/>
    <n v="0"/>
  </r>
  <r>
    <x v="9"/>
    <x v="84"/>
    <x v="80"/>
    <s v="Muu eakate sotsiaalne kaitse"/>
    <s v="Sotsiaalne kaitse"/>
    <s v="Sotsiaalosakond"/>
    <s v="Ühekordsed toetused"/>
    <n v="35500"/>
    <n v="0"/>
    <x v="27"/>
    <s v="Toetused eakatele"/>
    <n v="413"/>
    <s v="41"/>
    <x v="1"/>
    <x v="4"/>
    <s v="Põhitegevuse kulu"/>
    <n v="0"/>
  </r>
  <r>
    <x v="9"/>
    <x v="85"/>
    <x v="81"/>
    <s v="Muu eakate sotsiaalne kaitse"/>
    <s v="Sotsiaalne kaitse"/>
    <s v="Sotsiaalosakond"/>
    <s v="Juubelitoetused (+ lilled)"/>
    <n v="9500"/>
    <n v="0"/>
    <x v="27"/>
    <s v="Toetused eakatele"/>
    <n v="413"/>
    <s v="41"/>
    <x v="1"/>
    <x v="4"/>
    <s v="Põhitegevuse kulu"/>
    <n v="0"/>
  </r>
  <r>
    <x v="9"/>
    <x v="84"/>
    <x v="80"/>
    <s v="Muu eakate sotsiaalne kaitse"/>
    <s v="Sotsiaalne kaitse"/>
    <s v="Sotsiaalosakond"/>
    <s v="Täiendav ravimite toetus"/>
    <n v="3000"/>
    <n v="0"/>
    <x v="27"/>
    <s v="Toetused eakatele"/>
    <n v="413"/>
    <s v="41"/>
    <x v="1"/>
    <x v="4"/>
    <s v="Põhitegevuse kulu"/>
    <n v="0"/>
  </r>
  <r>
    <x v="9"/>
    <x v="86"/>
    <x v="82"/>
    <s v="Laste ja noorte sotsiaalhoolekande asutused"/>
    <s v="Sotsiaalne kaitse"/>
    <s v="Vinni Perekodu"/>
    <s v="telefon, internet, TV "/>
    <n v="4000"/>
    <n v="0"/>
    <x v="0"/>
    <s v="Administreerimis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postikulu"/>
    <n v="80"/>
    <n v="0"/>
    <x v="0"/>
    <s v="Administreerimis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kantseleikulu"/>
    <n v="1300"/>
    <n v="0"/>
    <x v="0"/>
    <s v="Administreerimis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mobiilkõned"/>
    <n v="420"/>
    <n v="0"/>
    <x v="0"/>
    <s v="Administreerimis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koolituste plaan"/>
    <n v="2500"/>
    <n v="0"/>
    <x v="2"/>
    <s v="Koolitus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liising, kasko"/>
    <n v="11200"/>
    <n v="0"/>
    <x v="3"/>
    <s v="Sõidukite ülalpidamise 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kütus"/>
    <n v="2800"/>
    <n v="0"/>
    <x v="3"/>
    <s v="Sõidukite ülalpidamise 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Inventar "/>
    <n v="3000"/>
    <n v="0"/>
    <x v="8"/>
    <s v="Inventari kulud, v.a infotehnoloogia ja kaitseotstarbelised 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riided , jalanõud"/>
    <n v="13920"/>
    <s v="29 last x 40€kuusx 12 kuud"/>
    <x v="8"/>
    <s v="Inventari kulud, v.a infotehnoloogia ja kaitseotstarbelised 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toitlustamine kodus"/>
    <n v="42340"/>
    <s v="29 last x 4 € päev x 365 päeva"/>
    <x v="19"/>
    <s v="Toiduained ja toitlustusteenuse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lasteaed, kaugel õppijad, väljas"/>
    <n v="1500"/>
    <n v="0"/>
    <x v="19"/>
    <s v="Toiduained ja toitlustusteenuse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ravimid, hügieen"/>
    <n v="6200"/>
    <n v="0"/>
    <x v="9"/>
    <s v="Meditsiinikulud ja hügieenitarbe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eriarstide vastuvõtt"/>
    <n v="1040"/>
    <n v="0"/>
    <x v="9"/>
    <s v="Meditsiinikulud ja hügieenitarbe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kohatasu lasteaed "/>
    <n v="960"/>
    <n v="0"/>
    <x v="20"/>
    <s v="Õppevahendi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sünnipäev, jõulukink"/>
    <n v="200"/>
    <n v="0"/>
    <x v="14"/>
    <s v="Kommunikatsiooni-, kultuuri- ja vaba aja sisustamise 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koolide väljasõidud"/>
    <n v="1500"/>
    <n v="0"/>
    <x v="14"/>
    <s v="Kommunikatsiooni-, kultuuri- ja vaba aja sisustamise 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trenn/hobi"/>
    <n v="1540"/>
    <n v="0"/>
    <x v="14"/>
    <s v="Kommunikatsiooni-, kultuuri- ja vaba aja sisustamise 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koolitarbed (sh eririietus, ...."/>
    <n v="5220"/>
    <s v="29 last  x 15 € x 12 kuud"/>
    <x v="10"/>
    <s v="Teavikud ja kunstieseme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2019. aasta eelarve prognoositav jääk"/>
    <n v="-21410.4399999999"/>
    <n v="0"/>
    <x v="19"/>
    <s v="Toiduained ja toitlustusteenuse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Taskurahad"/>
    <n v="480"/>
    <s v="Eelkooliealised"/>
    <x v="28"/>
    <s v="Muud sotsiaalabitoetused ja hüvitised"/>
    <n v="413"/>
    <s v="41"/>
    <x v="1"/>
    <x v="4"/>
    <s v="Põhitegevuse kulu"/>
    <n v="0"/>
  </r>
  <r>
    <x v="9"/>
    <x v="86"/>
    <x v="82"/>
    <s v="Laste ja noorte sotsiaalhoolekande asutused"/>
    <s v="Sotsiaalne kaitse"/>
    <s v="Vinni Perekodu"/>
    <s v="Taskurahad"/>
    <n v="1980"/>
    <s v="1-4 klassi lapsed"/>
    <x v="28"/>
    <s v="Muud sotsiaalabitoetused ja hüvitised"/>
    <n v="413"/>
    <s v="41"/>
    <x v="1"/>
    <x v="4"/>
    <s v="Põhitegevuse kulu"/>
    <n v="0"/>
  </r>
  <r>
    <x v="9"/>
    <x v="86"/>
    <x v="82"/>
    <s v="Laste ja noorte sotsiaalhoolekande asutused"/>
    <s v="Sotsiaalne kaitse"/>
    <s v="Vinni Perekodu"/>
    <s v="Taskurahad"/>
    <n v="3840"/>
    <s v="5-.. Lapsed"/>
    <x v="28"/>
    <s v="Muud sotsiaalabitoetused ja hüvitised"/>
    <n v="413"/>
    <s v="41"/>
    <x v="1"/>
    <x v="4"/>
    <s v="Põhitegevuse kulu"/>
    <n v="0"/>
  </r>
  <r>
    <x v="9"/>
    <x v="86"/>
    <x v="82"/>
    <s v="Laste ja noorte sotsiaalhoolekande asutused"/>
    <s v="Sotsiaalne kaitse"/>
    <s v="Vinni Perekodu"/>
    <s v="elekter"/>
    <n v="19000"/>
    <n v="0"/>
    <x v="4"/>
    <s v="Kinnistute, hoonete ja ruumide majandamis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vesi-kanalisatsioon"/>
    <n v="7000"/>
    <n v="0"/>
    <x v="4"/>
    <s v="Kinnistute, hoonete ja ruumide majandamis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korrashoiuvah."/>
    <n v="4500"/>
    <n v="0"/>
    <x v="4"/>
    <s v="Kinnistute, hoonete ja ruumide majandamis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ühiselamumaksud"/>
    <n v="900"/>
    <n v="0"/>
    <x v="4"/>
    <s v="Kinnistute, hoonete ja ruumide majandamis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prügi"/>
    <n v="900"/>
    <n v="0"/>
    <x v="4"/>
    <s v="Kinnistute, hoonete ja ruumide majandamis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signalisatsioon"/>
    <n v="320"/>
    <n v="0"/>
    <x v="4"/>
    <s v="Kinnistute, hoonete ja ruumide majandamis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el. Käidu leping"/>
    <n v="600"/>
    <n v="0"/>
    <x v="4"/>
    <s v="Kinnistute, hoonete ja ruumide majandamiskulud"/>
    <n v="55"/>
    <s v="55"/>
    <x v="0"/>
    <x v="0"/>
    <s v="Põhitegevuse kulu"/>
    <n v="0"/>
  </r>
  <r>
    <x v="9"/>
    <x v="86"/>
    <x v="82"/>
    <s v="Laste ja noorte sotsiaalhoolekande asutused"/>
    <s v="Sotsiaalne kaitse"/>
    <s v="Vinni Perekodu"/>
    <s v="tehnoseadmed"/>
    <n v="2955"/>
    <n v="0"/>
    <x v="4"/>
    <s v="Kinnistute, hoonete ja ruumide majandamiskulud"/>
    <n v="55"/>
    <s v="55"/>
    <x v="0"/>
    <x v="0"/>
    <s v="Põhitegevuse kulu"/>
    <n v="0"/>
  </r>
  <r>
    <x v="9"/>
    <x v="87"/>
    <x v="78"/>
    <s v="Laste ja noorte sotsiaalhoolekande asutused"/>
    <s v="Sotsiaalne kaitse"/>
    <s v="Sotsiaalosakond"/>
    <s v="Keila SOS lastekodu täiendav toetus"/>
    <n v="800"/>
    <n v="0"/>
    <x v="15"/>
    <s v="Sihtotstarbelised eraldised muudele residentidele"/>
    <n v="4500"/>
    <s v="45"/>
    <x v="1"/>
    <x v="3"/>
    <s v="Põhitegevuse kulu"/>
    <n v="0"/>
  </r>
  <r>
    <x v="9"/>
    <x v="87"/>
    <x v="78"/>
    <s v="Laste ja noorte sotsiaalhoolekande asutused"/>
    <s v="Sotsiaalne kaitse"/>
    <s v="Sotsiaalosakond"/>
    <s v="Sõidukompensatsioon + Porkuni leping"/>
    <n v="2820"/>
    <n v="0"/>
    <x v="26"/>
    <s v="Sotsiaalteenused"/>
    <n v="55"/>
    <s v="55"/>
    <x v="0"/>
    <x v="0"/>
    <s v="Põhitegevuse kulu"/>
    <n v="0"/>
  </r>
  <r>
    <x v="9"/>
    <x v="87"/>
    <x v="78"/>
    <s v="Laste ja noorte sotsiaalhoolekande asutused"/>
    <s v="Sotsiaalne kaitse"/>
    <s v="Sotsiaalosakond"/>
    <s v="L-Viru Suurte perede Ühendus"/>
    <n v="3000"/>
    <n v="0"/>
    <x v="18"/>
    <s v="Sihtotstarbelised eraldised jooksvateks kuludeks"/>
    <n v="4500"/>
    <s v="45"/>
    <x v="1"/>
    <x v="3"/>
    <s v="Põhitegevuse kulu"/>
    <n v="0"/>
  </r>
  <r>
    <x v="9"/>
    <x v="87"/>
    <x v="78"/>
    <s v="Laste ja noorte sotsiaalhoolekande asutused"/>
    <s v="Sotsiaalne kaitse"/>
    <s v="Sotsiaalosakond"/>
    <s v="Vinni Perekodu "/>
    <n v="4000"/>
    <n v="0"/>
    <x v="26"/>
    <s v="Sotsiaalteenused"/>
    <n v="55"/>
    <s v="55"/>
    <x v="0"/>
    <x v="0"/>
    <s v="Põhitegevuse kulu"/>
    <n v="0"/>
  </r>
  <r>
    <x v="9"/>
    <x v="87"/>
    <x v="78"/>
    <s v="Laste ja noorte sotsiaalhoolekande asutused"/>
    <s v="Sotsiaalne kaitse"/>
    <s v="Sotsiaalosakond"/>
    <s v="Tõlgiteenus"/>
    <n v="1000"/>
    <n v="0"/>
    <x v="26"/>
    <s v="Sotsiaalteenused"/>
    <n v="55"/>
    <s v="55"/>
    <x v="0"/>
    <x v="0"/>
    <s v="Põhitegevuse kulu"/>
    <n v="0"/>
  </r>
  <r>
    <x v="9"/>
    <x v="87"/>
    <x v="78"/>
    <s v="Laste ja noorte sotsiaalhoolekande asutused"/>
    <s v="Sotsiaalne kaitse"/>
    <s v="Sotsiaalosakond"/>
    <s v="Asenduskodu+turvakoduteenus"/>
    <n v="1000"/>
    <n v="0"/>
    <x v="28"/>
    <s v="Muud sotsiaalabitoetused ja hüvitised"/>
    <n v="413"/>
    <s v="41"/>
    <x v="1"/>
    <x v="4"/>
    <s v="Põhitegevuse kulu"/>
    <n v="0"/>
  </r>
  <r>
    <x v="9"/>
    <x v="87"/>
    <x v="78"/>
    <s v="Laste ja noorte sotsiaalhoolekande asutused"/>
    <s v="Sotsiaalne kaitse"/>
    <s v="Sotsiaalosakond"/>
    <s v="Asendus- ja järelhooldus-teenuse toetus"/>
    <n v="151700"/>
    <s v="Toetusfond"/>
    <x v="26"/>
    <s v="Sotsiaalteenused"/>
    <n v="55"/>
    <s v="55"/>
    <x v="0"/>
    <x v="0"/>
    <s v="Põhitegevuse kulu"/>
    <n v="0"/>
  </r>
  <r>
    <x v="9"/>
    <x v="88"/>
    <x v="83"/>
    <s v="Muu perekondade ja laste sotsiaalne kaitse"/>
    <s v="Sotsiaalne kaitse"/>
    <s v="Sotsiaalosakond"/>
    <s v="Matusetoetus"/>
    <n v="26000"/>
    <s v="valla poolne finantseering"/>
    <x v="29"/>
    <s v="Matusetoetus"/>
    <n v="413"/>
    <s v="41"/>
    <x v="1"/>
    <x v="4"/>
    <s v="Põhitegevuse kulu"/>
    <n v="0"/>
  </r>
  <r>
    <x v="9"/>
    <x v="88"/>
    <x v="83"/>
    <s v="Muu perekondade ja laste sotsiaalne kaitse"/>
    <s v="Sotsiaalne kaitse"/>
    <s v="Sotsiaalosakond"/>
    <s v="Matusetoetus"/>
    <n v="22403"/>
    <s v="Toetusfond"/>
    <x v="29"/>
    <s v="Matusetoetus"/>
    <n v="413"/>
    <s v="41"/>
    <x v="1"/>
    <x v="4"/>
    <s v="Põhitegevuse kulu"/>
    <n v="0"/>
  </r>
  <r>
    <x v="9"/>
    <x v="89"/>
    <x v="84"/>
    <s v="Muu perekondade ja laste sotsiaalne kaitse"/>
    <s v="Sotsiaalne kaitse"/>
    <s v="Sotsiaalosakond"/>
    <s v="Ranitsatoetus"/>
    <n v="9100"/>
    <n v="0"/>
    <x v="30"/>
    <s v="Muud peretoetused"/>
    <n v="413"/>
    <s v="41"/>
    <x v="1"/>
    <x v="4"/>
    <s v="Põhitegevuse kulu"/>
    <n v="0"/>
  </r>
  <r>
    <x v="9"/>
    <x v="89"/>
    <x v="84"/>
    <s v="Muu perekondade ja laste sotsiaalne kaitse"/>
    <s v="Sotsiaalne kaitse"/>
    <s v="Sotsiaalosakond"/>
    <s v="Ühekorded toetused + perede koolituse toetus"/>
    <n v="21000"/>
    <n v="0"/>
    <x v="30"/>
    <s v="Muud peretoetused"/>
    <n v="413"/>
    <s v="41"/>
    <x v="1"/>
    <x v="4"/>
    <s v="Põhitegevuse kulu"/>
    <n v="0"/>
  </r>
  <r>
    <x v="9"/>
    <x v="89"/>
    <x v="84"/>
    <s v="Muu perekondade ja laste sotsiaalne kaitse"/>
    <s v="Sotsiaalne kaitse"/>
    <s v="Sotsiaalosakond"/>
    <s v="Prillid"/>
    <n v="3000"/>
    <n v="0"/>
    <x v="30"/>
    <s v="Muud peretoetused"/>
    <n v="413"/>
    <s v="41"/>
    <x v="1"/>
    <x v="4"/>
    <s v="Põhitegevuse kulu"/>
    <n v="0"/>
  </r>
  <r>
    <x v="9"/>
    <x v="89"/>
    <x v="84"/>
    <s v="Muu perekondade ja laste sotsiaalne kaitse"/>
    <s v="Sotsiaalne kaitse"/>
    <s v="Sotsiaalosakond"/>
    <s v="Täiendav perede toetus 3 ja enama lapse puhul"/>
    <n v="15000"/>
    <n v="0"/>
    <x v="30"/>
    <s v="Muud peretoetused"/>
    <n v="413"/>
    <s v="41"/>
    <x v="1"/>
    <x v="4"/>
    <s v="Põhitegevuse kulu"/>
    <n v="0"/>
  </r>
  <r>
    <x v="9"/>
    <x v="90"/>
    <x v="85"/>
    <s v="Muu perekondade ja laste sotsiaalne kaitse"/>
    <s v="Sotsiaalne kaitse"/>
    <s v="Sotsiaalosakond"/>
    <s v="tervisega seotud kulutused"/>
    <n v="2500"/>
    <n v="0"/>
    <x v="30"/>
    <s v="Muud peretoetused"/>
    <n v="413"/>
    <s v="41"/>
    <x v="1"/>
    <x v="4"/>
    <s v="Põhitegevuse kulu"/>
    <n v="0"/>
  </r>
  <r>
    <x v="9"/>
    <x v="91"/>
    <x v="86"/>
    <s v="Muu perekondade ja laste sotsiaalne kaitse"/>
    <s v="Sotsiaalne kaitse"/>
    <s v="Sotsiaalosakond"/>
    <s v="Sünnitoetus  "/>
    <n v="40000"/>
    <n v="0"/>
    <x v="31"/>
    <s v="Sünnitoetus"/>
    <n v="413"/>
    <s v="41"/>
    <x v="1"/>
    <x v="4"/>
    <s v="Põhitegevuse kulu"/>
    <n v="0"/>
  </r>
  <r>
    <x v="9"/>
    <x v="91"/>
    <x v="86"/>
    <s v="Muu perekondade ja laste sotsiaalne kaitse"/>
    <s v="Sotsiaalne kaitse"/>
    <s v="Sotsiaalosakond"/>
    <s v="Lusikapidu ja karud"/>
    <n v="5600"/>
    <n v="0"/>
    <x v="30"/>
    <s v="Muud peretoetused"/>
    <n v="413"/>
    <s v="41"/>
    <x v="1"/>
    <x v="4"/>
    <s v="Põhitegevuse kulu"/>
    <n v="0"/>
  </r>
  <r>
    <x v="9"/>
    <x v="92"/>
    <x v="87"/>
    <s v="Muu perekondade ja laste sotsiaalne kaitse"/>
    <s v="Sotsiaalne kaitse"/>
    <s v="Sotsiaalosakond"/>
    <s v="Hoolduspere toetus (tugiisik)"/>
    <n v="11200"/>
    <n v="0"/>
    <x v="30"/>
    <s v="Muud peretoetused"/>
    <n v="413"/>
    <s v="41"/>
    <x v="1"/>
    <x v="4"/>
    <s v="Põhitegevuse kulu"/>
    <n v="0"/>
  </r>
  <r>
    <x v="9"/>
    <x v="92"/>
    <x v="87"/>
    <s v="Muu perekondade ja laste sotsiaalne kaitse"/>
    <s v="Sotsiaalne kaitse"/>
    <s v="Sotsiaalosakond"/>
    <s v="Tugiisiku teenus"/>
    <n v="2400"/>
    <s v="200x12 Mari-Liisa"/>
    <x v="30"/>
    <s v="Muud peretoetused"/>
    <n v="413"/>
    <s v="41"/>
    <x v="1"/>
    <x v="4"/>
    <s v="Põhitegevuse kulu"/>
    <n v="0"/>
  </r>
  <r>
    <x v="9"/>
    <x v="93"/>
    <x v="88"/>
    <s v="Muu perekondade ja laste sotsiaalne kaitse"/>
    <s v="Sotsiaalne kaitse"/>
    <s v="Sotsiaalosakond"/>
    <s v="Laagritoetus"/>
    <n v="1760"/>
    <s v="16 x 110 madala sissetulekuga pere last"/>
    <x v="30"/>
    <s v="Muud peretoetused"/>
    <n v="413"/>
    <s v="41"/>
    <x v="1"/>
    <x v="4"/>
    <s v="Põhitegevuse kulu"/>
    <n v="0"/>
  </r>
  <r>
    <x v="9"/>
    <x v="93"/>
    <x v="88"/>
    <s v="Muu perekondade ja laste sotsiaalne kaitse"/>
    <s v="Sotsiaalne kaitse"/>
    <s v="Sotsiaalosakond"/>
    <s v="Toetus toidule (koolid, lasteaiad), ühiselamu üür"/>
    <n v="400"/>
    <n v="0"/>
    <x v="30"/>
    <s v="Muud peretoetused"/>
    <n v="413"/>
    <s v="41"/>
    <x v="1"/>
    <x v="4"/>
    <s v="Põhitegevuse kulu"/>
    <n v="0"/>
  </r>
  <r>
    <x v="9"/>
    <x v="93"/>
    <x v="88"/>
    <s v="Muu perekondade ja laste sotsiaalne kaitse"/>
    <s v="Sotsiaalne kaitse"/>
    <s v="Sotsiaalosakond"/>
    <s v="Muud toetused (kriisit.teenuse ost)"/>
    <n v="2400"/>
    <s v="3 last"/>
    <x v="30"/>
    <s v="Muud peretoetused"/>
    <n v="413"/>
    <s v="41"/>
    <x v="1"/>
    <x v="4"/>
    <s v="Põhitegevuse kulu"/>
    <n v="0"/>
  </r>
  <r>
    <x v="9"/>
    <x v="93"/>
    <x v="88"/>
    <s v="Muu perekondade ja laste sotsiaalne kaitse"/>
    <s v="Sotsiaalne kaitse"/>
    <s v="Sotsiaalosakond"/>
    <s v="Projektis osalemine a la &quot;Imelised aastad.....&quot;"/>
    <n v="2800"/>
    <n v="0"/>
    <x v="30"/>
    <s v="Muud peretoetused"/>
    <n v="413"/>
    <s v="41"/>
    <x v="1"/>
    <x v="4"/>
    <s v="Põhitegevuse kulu"/>
    <n v="0"/>
  </r>
  <r>
    <x v="9"/>
    <x v="93"/>
    <x v="88"/>
    <s v="Muu perekondade ja laste sotsiaalne kaitse"/>
    <s v="Sotsiaalne kaitse"/>
    <s v="Sotsiaalosakond"/>
    <s v="Projektis osalemine &quot;Kunstilaager...&quot;"/>
    <n v="800"/>
    <n v="0"/>
    <x v="30"/>
    <s v="Muud peretoetused"/>
    <n v="413"/>
    <s v="41"/>
    <x v="1"/>
    <x v="4"/>
    <s v="Põhitegevuse kulu"/>
    <n v="0"/>
  </r>
  <r>
    <x v="9"/>
    <x v="93"/>
    <x v="88"/>
    <s v="Muu perekondade ja laste sotsiaalne kaitse"/>
    <s v="Sotsiaalne kaitse"/>
    <s v="Sotsiaalosakond"/>
    <s v="Noortemajadele, õpilaskodule"/>
    <n v="600"/>
    <n v="0"/>
    <x v="26"/>
    <s v="Sotsiaalteenused"/>
    <n v="55"/>
    <s v="55"/>
    <x v="0"/>
    <x v="0"/>
    <s v="Põhitegevuse kulu"/>
    <n v="0"/>
  </r>
  <r>
    <x v="9"/>
    <x v="93"/>
    <x v="88"/>
    <s v="Muu perekondade ja laste sotsiaalne kaitse"/>
    <s v="Sotsiaalne kaitse"/>
    <s v="Sotsiaalosakond"/>
    <s v="laste kommipakid"/>
    <n v="8000"/>
    <n v="0"/>
    <x v="14"/>
    <s v="Kommunikatsiooni-, kultuuri- ja vaba aja sisustamise kulud"/>
    <n v="55"/>
    <s v="55"/>
    <x v="0"/>
    <x v="0"/>
    <s v="Põhitegevuse kulu"/>
    <n v="0"/>
  </r>
  <r>
    <x v="9"/>
    <x v="93"/>
    <x v="88"/>
    <s v="Muu perekondade ja laste sotsiaalne kaitse"/>
    <s v="Sotsiaalne kaitse"/>
    <s v="Sotsiaalosakond"/>
    <s v="Lääne-Virumaa Suurte Perede ühenduse toetamine"/>
    <n v="600"/>
    <n v="0"/>
    <x v="18"/>
    <s v="Sihtotstarbelised eraldised jooksvateks kuludeks"/>
    <n v="4500"/>
    <s v="45"/>
    <x v="1"/>
    <x v="3"/>
    <s v="Põhitegevuse kulu"/>
    <n v="0"/>
  </r>
  <r>
    <x v="9"/>
    <x v="93"/>
    <x v="88"/>
    <s v="Muu perekondade ja laste sotsiaalne kaitse"/>
    <s v="Sotsiaalne kaitse"/>
    <s v="Sotsiaalosakond"/>
    <s v="Porkuni kool"/>
    <n v="3000"/>
    <n v="0"/>
    <x v="30"/>
    <s v="Muud peretoetused"/>
    <n v="413"/>
    <s v="41"/>
    <x v="1"/>
    <x v="4"/>
    <s v="Põhitegevuse kulu"/>
    <n v="0"/>
  </r>
  <r>
    <x v="9"/>
    <x v="94"/>
    <x v="89"/>
    <s v="Töötute sotsiaalne kaitse"/>
    <s v="Sotsiaalne kaitse"/>
    <s v="Sotsiaalosakond"/>
    <s v="Muud toetused töötutele (ühekordsed toetused)"/>
    <n v="3000"/>
    <n v="0"/>
    <x v="32"/>
    <s v="Muud toetused töötutele"/>
    <n v="413"/>
    <s v="41"/>
    <x v="1"/>
    <x v="4"/>
    <s v="Põhitegevuse kulu"/>
    <n v="0"/>
  </r>
  <r>
    <x v="9"/>
    <x v="94"/>
    <x v="89"/>
    <s v="Töötute sotsiaalne kaitse"/>
    <s v="Sotsiaalne kaitse"/>
    <s v="Sotsiaalosakond"/>
    <s v="Töötute sotsiaalne kaitse (töötamine)"/>
    <n v="1200"/>
    <n v="0"/>
    <x v="32"/>
    <s v="Muud toetused töötutele"/>
    <n v="413"/>
    <s v="41"/>
    <x v="1"/>
    <x v="4"/>
    <s v="Põhitegevuse kulu"/>
    <n v="0"/>
  </r>
  <r>
    <x v="9"/>
    <x v="94"/>
    <x v="89"/>
    <s v="Töötute sotsiaalne kaitse"/>
    <s v="Sotsiaalne kaitse"/>
    <s v="Sotsiaalosakond"/>
    <s v="Ravikindlustuseta kindlustamata isikud"/>
    <n v="1200"/>
    <n v="0"/>
    <x v="32"/>
    <s v="Muud toetused töötutele"/>
    <n v="413"/>
    <s v="41"/>
    <x v="1"/>
    <x v="4"/>
    <s v="Põhitegevuse kulu"/>
    <n v="0"/>
  </r>
  <r>
    <x v="9"/>
    <x v="95"/>
    <x v="90"/>
    <s v="Eluasemeteenused sotsiaalsetele riskirühmadele"/>
    <s v="Sotsiaalne kaitse"/>
    <s v="Sotsiaalosakond"/>
    <s v="Küttetoetus"/>
    <n v="16000"/>
    <n v="0"/>
    <x v="28"/>
    <s v="Muud sotsiaalabitoetused ja hüvitised"/>
    <n v="413"/>
    <s v="41"/>
    <x v="1"/>
    <x v="4"/>
    <s v="Põhitegevuse kulu"/>
    <n v="0"/>
  </r>
  <r>
    <x v="9"/>
    <x v="95"/>
    <x v="90"/>
    <s v="Eluasemeteenused sotsiaalsetele riskirühmadele"/>
    <s v="Sotsiaalne kaitse"/>
    <s v="Sotsiaalosakond"/>
    <s v="Sotsiaalkorterite remont"/>
    <n v="18385"/>
    <n v="0"/>
    <x v="4"/>
    <s v="Kinnistute, hoonete ja ruumide majandamiskulud"/>
    <n v="55"/>
    <s v="55"/>
    <x v="0"/>
    <x v="0"/>
    <s v="Põhitegevuse kulu"/>
    <n v="0"/>
  </r>
  <r>
    <x v="9"/>
    <x v="96"/>
    <x v="91"/>
    <s v="Riiklik toimetulekutoetus"/>
    <s v="Sotsiaalne kaitse"/>
    <s v="Sotsiaalosakond"/>
    <s v="Toimetulekutoetus"/>
    <n v="70350"/>
    <s v="Toetusfond"/>
    <x v="33"/>
    <s v="Toimetulekutoetus ja täiendavad sotsiaaltoetused"/>
    <n v="413"/>
    <s v="41"/>
    <x v="1"/>
    <x v="4"/>
    <s v="Põhitegevuse kulu"/>
    <n v="0"/>
  </r>
  <r>
    <x v="9"/>
    <x v="97"/>
    <x v="92"/>
    <s v="Muu sotsiaalsete riskirühmade kaitse"/>
    <s v="Sotsiaalne kaitse"/>
    <s v="Sotsiaalosakond"/>
    <s v="Vältimatu sotsiaalabi"/>
    <n v="2000"/>
    <n v="0"/>
    <x v="28"/>
    <s v="Muud sotsiaalabitoetused ja hüvitised"/>
    <n v="413"/>
    <s v="41"/>
    <x v="1"/>
    <x v="4"/>
    <s v="Põhitegevuse kulu"/>
    <n v="0"/>
  </r>
  <r>
    <x v="9"/>
    <x v="97"/>
    <x v="92"/>
    <s v="Muu sotsiaalsete riskirühmade kaitse"/>
    <s v="Sotsiaalne kaitse"/>
    <s v="Sotsiaalosakond"/>
    <s v="Erakorraline toetus"/>
    <n v="20000"/>
    <n v="0"/>
    <x v="28"/>
    <s v="Muud sotsiaalabitoetused ja hüvitised"/>
    <n v="413"/>
    <s v="41"/>
    <x v="1"/>
    <x v="4"/>
    <s v="Põhitegevuse kulu"/>
    <n v="0"/>
  </r>
  <r>
    <x v="9"/>
    <x v="97"/>
    <x v="92"/>
    <s v="Muu sotsiaalsete riskirühmade kaitse"/>
    <s v="Sotsiaalne kaitse"/>
    <s v="Sotsiaalosakond"/>
    <s v="Rakvere Kodutute Varjupaik - teenuse ost"/>
    <n v="800"/>
    <n v="0"/>
    <x v="28"/>
    <s v="Muud sotsiaalabitoetused ja hüvitised"/>
    <n v="413"/>
    <s v="41"/>
    <x v="1"/>
    <x v="4"/>
    <s v="Põhitegevuse kulu"/>
    <n v="0"/>
  </r>
  <r>
    <x v="9"/>
    <x v="97"/>
    <x v="92"/>
    <s v="Muu sotsiaalsete riskirühmade kaitse"/>
    <s v="Sotsiaalne kaitse"/>
    <s v="Sotsiaalosakond"/>
    <s v="Varjupaik + Naiste Varjupaik"/>
    <n v="3000"/>
    <n v="0"/>
    <x v="28"/>
    <s v="Muud sotsiaalabitoetused ja hüvitised"/>
    <n v="413"/>
    <s v="41"/>
    <x v="1"/>
    <x v="4"/>
    <s v="Põhitegevuse kulu"/>
    <n v="0"/>
  </r>
  <r>
    <x v="9"/>
    <x v="97"/>
    <x v="92"/>
    <s v="Muu sotsiaalsete riskirühmade kaitse"/>
    <s v="Sotsiaalne kaitse"/>
    <s v="Sotsiaalosakond"/>
    <s v="Kauplusauto"/>
    <n v="7440"/>
    <s v="VKK Kaubandus; "/>
    <x v="28"/>
    <s v="Muud sotsiaalabitoetused ja hüvitised"/>
    <n v="413"/>
    <s v="41"/>
    <x v="1"/>
    <x v="4"/>
    <s v="Põhitegevuse kulu"/>
    <n v="0"/>
  </r>
  <r>
    <x v="9"/>
    <x v="98"/>
    <x v="93"/>
    <s v="Muu sotsiaalne kaitse, sh sotsiaalse kaitse haldus"/>
    <s v="Sotsiaalne kaitse"/>
    <s v="Sotsiaalosakond"/>
    <s v="Sotsiaali autode kulud+kompensatsioon"/>
    <n v="18500"/>
    <s v="kütus, liising, hooldused, kindlustus"/>
    <x v="3"/>
    <s v="Sõidukite ülalpidamise kulud"/>
    <n v="55"/>
    <s v="55"/>
    <x v="0"/>
    <x v="0"/>
    <s v="Põhitegevuse kulu"/>
    <n v="0"/>
  </r>
  <r>
    <x v="9"/>
    <x v="98"/>
    <x v="93"/>
    <s v="Muu sotsiaalne kaitse, sh sotsiaalse kaitse haldus"/>
    <s v="Sotsiaalne kaitse"/>
    <s v="Sotsiaalosakond"/>
    <s v="Mobiiltelefoni kulu "/>
    <n v="816"/>
    <n v="0"/>
    <x v="0"/>
    <s v="Administreerimiskulud"/>
    <n v="55"/>
    <s v="55"/>
    <x v="0"/>
    <x v="0"/>
    <s v="Põhitegevuse kulu"/>
    <n v="0"/>
  </r>
  <r>
    <x v="9"/>
    <x v="98"/>
    <x v="93"/>
    <s v="Muu sotsiaalne kaitse, sh sotsiaalse kaitse haldus"/>
    <s v="Sotsiaalne kaitse"/>
    <s v="Sotsiaalosakond"/>
    <s v="Koolituskulud"/>
    <n v="1500"/>
    <n v="0"/>
    <x v="2"/>
    <s v="Koolituskulud"/>
    <n v="55"/>
    <s v="55"/>
    <x v="0"/>
    <x v="0"/>
    <s v="Põhitegevuse kulu"/>
    <n v="0"/>
  </r>
  <r>
    <x v="9"/>
    <x v="98"/>
    <x v="93"/>
    <s v="Muu sotsiaalne kaitse, sh sotsiaalse kaitse haldus"/>
    <s v="Sotsiaalne kaitse"/>
    <s v="Sotsiaalosakond"/>
    <s v="Inventar"/>
    <n v="300"/>
    <n v="0"/>
    <x v="8"/>
    <s v="Inventari kulud, v.a infotehnoloogia ja kaitseotstarbelised kulud"/>
    <n v="55"/>
    <s v="55"/>
    <x v="0"/>
    <x v="0"/>
    <s v="Põhitegevuse kulu"/>
    <n v="0"/>
  </r>
  <r>
    <x v="9"/>
    <x v="98"/>
    <x v="93"/>
    <s v="Muu sotsiaalne kaitse, sh sotsiaalse kaitse haldus"/>
    <s v="Sotsiaalne kaitse"/>
    <s v="Sotsiaalosakond"/>
    <s v="Riigilõiv (20 in eestkoste vormistamiseks)"/>
    <n v="1000"/>
    <s v="+ lisatud MTÜ Eestkoste teenused riigilõiv 50€/kuu"/>
    <x v="17"/>
    <s v="Maksu-, riigilõivu- ja trahvikulud"/>
    <n v="60"/>
    <s v="60"/>
    <x v="0"/>
    <x v="2"/>
    <s v="Põhitegevuse kulu"/>
    <n v="0"/>
  </r>
  <r>
    <x v="9"/>
    <x v="98"/>
    <x v="93"/>
    <s v="Muu sotsiaalne kaitse, sh sotsiaalse kaitse haldus"/>
    <s v="Sotsiaalne kaitse"/>
    <s v="Sotsiaalosakond"/>
    <s v="Projektides osalemised"/>
    <n v="2000"/>
    <n v="0"/>
    <x v="18"/>
    <s v="Sihtotstarbelised eraldised jooksvateks kuludeks"/>
    <n v="4500"/>
    <s v="45"/>
    <x v="1"/>
    <x v="3"/>
    <s v="Põhitegevuse kulu"/>
    <n v="0"/>
  </r>
  <r>
    <x v="9"/>
    <x v="98"/>
    <x v="93"/>
    <s v="Muu sotsiaalne kaitse, sh sotsiaalse kaitse haldus"/>
    <s v="Sotsiaalne kaitse"/>
    <s v="Sotsiaalosakond"/>
    <s v="Spordikulude hüvitamine"/>
    <n v="1600"/>
    <n v="0"/>
    <x v="1"/>
    <s v="Mitmesugused majanduskulud"/>
    <n v="55"/>
    <s v="55"/>
    <x v="0"/>
    <x v="0"/>
    <s v="Põhitegevuse kulu"/>
    <n v="0"/>
  </r>
  <r>
    <x v="9"/>
    <x v="98"/>
    <x v="93"/>
    <s v="Muu sotsiaalne kaitse, sh sotsiaalse kaitse haldus"/>
    <s v="Sotsiaalne kaitse"/>
    <s v="Sotsiaalosakond"/>
    <s v="IT vahendid"/>
    <n v="300"/>
    <n v="0"/>
    <x v="5"/>
    <s v="Info- ja kommunikatsioonitehnoliigised kulud"/>
    <n v="55"/>
    <s v="55"/>
    <x v="0"/>
    <x v="0"/>
    <s v="Põhitegevuse kulu"/>
    <n v="0"/>
  </r>
  <r>
    <x v="9"/>
    <x v="98"/>
    <x v="93"/>
    <s v="Muu sotsiaalne kaitse, sh sotsiaalse kaitse haldus"/>
    <s v="Sotsiaalne kaitse"/>
    <s v="Sotsiaalosakond"/>
    <s v="Kingitused valdkonna asutustele"/>
    <n v="1000"/>
    <n v="0"/>
    <x v="0"/>
    <s v="Administreeri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Laekvere Põhikooli dušši- ja riietusruumide ehitamine"/>
    <n v="6000"/>
    <n v="0"/>
    <x v="4"/>
    <s v="Kinnistute, hoonete ja ruumide majandamiskulud"/>
    <n v="55"/>
    <s v="55"/>
    <x v="0"/>
    <x v="0"/>
    <s v="Põhitegevuse kulu"/>
    <n v="0"/>
  </r>
  <r>
    <x v="8"/>
    <x v="58"/>
    <x v="58"/>
    <s v="Põhihariduse otsekulud"/>
    <s v="Haridus"/>
    <s v="Laekvere õppehoone"/>
    <s v="Muuga-Laekvere koolile eraldatud katuseraha  Inventari soetamine"/>
    <n v="5000"/>
    <n v="0"/>
    <x v="20"/>
    <s v="Õppevahendid"/>
    <n v="55"/>
    <s v="55"/>
    <x v="0"/>
    <x v="0"/>
    <s v="Põhitegevuse kulu"/>
    <n v="0"/>
  </r>
  <r>
    <x v="9"/>
    <x v="87"/>
    <x v="78"/>
    <s v="Laste ja noorte sotsiaalhoolekande asutused"/>
    <s v="Sotsiaalne kaitse"/>
    <s v="Sotsiaalosakond"/>
    <s v="Maria ja Lapsed MTÜ"/>
    <n v="2500"/>
    <n v="0"/>
    <x v="26"/>
    <s v="Sotsiaalteenused"/>
    <n v="55"/>
    <s v="55"/>
    <x v="0"/>
    <x v="0"/>
    <s v="Põhitegevuse kulu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87">
  <r>
    <x v="0"/>
    <x v="0"/>
    <x v="0"/>
    <x v="0"/>
    <s v="Üldised valitsussektori teenused"/>
    <s v="Volikogu esimees"/>
    <s v="külaliste vastuvõtt"/>
    <n v="100"/>
    <m/>
    <x v="0"/>
    <s v="Administreerimiskulud"/>
    <n v="55"/>
    <x v="0"/>
    <x v="0"/>
    <x v="0"/>
    <x v="0"/>
    <m/>
  </r>
  <r>
    <x v="0"/>
    <x v="0"/>
    <x v="0"/>
    <x v="0"/>
    <s v="Üldised valitsussektori teenused"/>
    <s v="Volikogu esimees"/>
    <s v="postikulu"/>
    <n v="50"/>
    <m/>
    <x v="0"/>
    <s v="Administreerimiskulud"/>
    <n v="55"/>
    <x v="0"/>
    <x v="0"/>
    <x v="0"/>
    <x v="0"/>
    <m/>
  </r>
  <r>
    <x v="0"/>
    <x v="0"/>
    <x v="0"/>
    <x v="0"/>
    <s v="Üldised valitsussektori teenused"/>
    <s v="Volikogu esimees"/>
    <s v="tellitud transport"/>
    <n v="500"/>
    <m/>
    <x v="1"/>
    <s v="Mitmesugused majanduskulud"/>
    <n v="55"/>
    <x v="0"/>
    <x v="0"/>
    <x v="0"/>
    <x v="0"/>
    <m/>
  </r>
  <r>
    <x v="0"/>
    <x v="0"/>
    <x v="0"/>
    <x v="0"/>
    <s v="Üldised valitsussektori teenused"/>
    <s v="Volikogu esimees"/>
    <s v="komisjonide töö korraldamised"/>
    <n v="1250"/>
    <m/>
    <x v="0"/>
    <s v="Administreerimiskulud"/>
    <n v="55"/>
    <x v="0"/>
    <x v="0"/>
    <x v="0"/>
    <x v="0"/>
    <m/>
  </r>
  <r>
    <x v="0"/>
    <x v="0"/>
    <x v="0"/>
    <x v="0"/>
    <s v="Üldised valitsussektori teenused"/>
    <s v="Volikogu esimees"/>
    <s v="Koolitused"/>
    <n v="8350"/>
    <s v="17 x 50"/>
    <x v="2"/>
    <s v="Koolituskulud"/>
    <n v="55"/>
    <x v="0"/>
    <x v="0"/>
    <x v="0"/>
    <x v="0"/>
    <m/>
  </r>
  <r>
    <x v="0"/>
    <x v="0"/>
    <x v="0"/>
    <x v="0"/>
    <s v="Üldised valitsussektori teenused"/>
    <s v="Volikogu esimees"/>
    <s v="Isikliku sõiduauto komp."/>
    <n v="1800"/>
    <s v="esimees 12*150"/>
    <x v="3"/>
    <s v="Sõidukite ülalpidamise kulud"/>
    <n v="55"/>
    <x v="0"/>
    <x v="0"/>
    <x v="0"/>
    <x v="0"/>
    <m/>
  </r>
  <r>
    <x v="0"/>
    <x v="1"/>
    <x v="1"/>
    <x v="1"/>
    <s v="Üldised valitsussektori teenused"/>
    <s v="Vallavalitsus"/>
    <s v="Vallamaja koristusteenus"/>
    <n v="9936"/>
    <s v="Tarvaprojekt"/>
    <x v="4"/>
    <s v="Kinnistute, hoonete ja ruumide majandamiskulud"/>
    <n v="55"/>
    <x v="0"/>
    <x v="0"/>
    <x v="0"/>
    <x v="0"/>
    <m/>
  </r>
  <r>
    <x v="0"/>
    <x v="1"/>
    <x v="1"/>
    <x v="1"/>
    <s v="Üldised valitsussektori teenused"/>
    <s v="Finantsosakond"/>
    <s v="Audiitorteenus"/>
    <n v="2000"/>
    <m/>
    <x v="0"/>
    <s v="Administreerimiskulud"/>
    <n v="55"/>
    <x v="0"/>
    <x v="0"/>
    <x v="0"/>
    <x v="0"/>
    <m/>
  </r>
  <r>
    <x v="0"/>
    <x v="1"/>
    <x v="1"/>
    <x v="1"/>
    <s v="Üldised valitsussektori teenused"/>
    <s v="Finantsosakond"/>
    <s v="Trükised"/>
    <m/>
    <s v="raamatupidamisuudised jms"/>
    <x v="0"/>
    <s v="Administreerimiskulud"/>
    <n v="55"/>
    <x v="0"/>
    <x v="0"/>
    <x v="0"/>
    <x v="0"/>
    <m/>
  </r>
  <r>
    <x v="0"/>
    <x v="1"/>
    <x v="1"/>
    <x v="1"/>
    <s v="Üldised valitsussektori teenused"/>
    <s v="Finantsosakond"/>
    <s v="Omniva arvekeskus"/>
    <n v="7200"/>
    <s v="600x12 kuud"/>
    <x v="0"/>
    <s v="Administreerimiskulud"/>
    <n v="55"/>
    <x v="0"/>
    <x v="0"/>
    <x v="0"/>
    <x v="0"/>
    <m/>
  </r>
  <r>
    <x v="0"/>
    <x v="1"/>
    <x v="1"/>
    <x v="1"/>
    <s v="Üldised valitsussektori teenused"/>
    <s v="Finantsosakond"/>
    <s v="Koolitused"/>
    <n v="1500"/>
    <s v="1 inx375€"/>
    <x v="2"/>
    <s v="Koolituskulud"/>
    <n v="55"/>
    <x v="0"/>
    <x v="0"/>
    <x v="0"/>
    <x v="0"/>
    <m/>
  </r>
  <r>
    <x v="0"/>
    <x v="1"/>
    <x v="1"/>
    <x v="1"/>
    <s v="Üldised valitsussektori teenused"/>
    <s v="Finantsosakond"/>
    <s v="Koolituslähetuse sõidukulud"/>
    <n v="120"/>
    <m/>
    <x v="2"/>
    <s v="Koolituskulud"/>
    <n v="55"/>
    <x v="0"/>
    <x v="0"/>
    <x v="0"/>
    <x v="0"/>
    <m/>
  </r>
  <r>
    <x v="0"/>
    <x v="1"/>
    <x v="1"/>
    <x v="1"/>
    <s v="Üldised valitsussektori teenused"/>
    <s v="Finantsosakond"/>
    <s v="Isikliku sõiduauto komp."/>
    <m/>
    <m/>
    <x v="3"/>
    <s v="Sõidukite ülalpidamise kulud"/>
    <n v="55"/>
    <x v="0"/>
    <x v="0"/>
    <x v="0"/>
    <x v="0"/>
    <m/>
  </r>
  <r>
    <x v="0"/>
    <x v="1"/>
    <x v="1"/>
    <x v="1"/>
    <s v="Üldised valitsussektori teenused"/>
    <s v="Finantsosakond"/>
    <s v="Pmen hooldus"/>
    <n v="2880"/>
    <s v="240x12 kuud"/>
    <x v="5"/>
    <s v="Info- ja kommunikatsioonitehnoliigised kulud"/>
    <n v="55"/>
    <x v="0"/>
    <x v="0"/>
    <x v="0"/>
    <x v="0"/>
    <m/>
  </r>
  <r>
    <x v="0"/>
    <x v="1"/>
    <x v="1"/>
    <x v="1"/>
    <s v="Üldised valitsussektori teenused"/>
    <s v="Finantsosakond"/>
    <s v="Raamatupidajate kogu liikmemaks"/>
    <n v="120"/>
    <m/>
    <x v="6"/>
    <s v="Liikmemaksud"/>
    <n v="452"/>
    <x v="1"/>
    <x v="1"/>
    <x v="1"/>
    <x v="0"/>
    <m/>
  </r>
  <r>
    <x v="0"/>
    <x v="1"/>
    <x v="1"/>
    <x v="1"/>
    <s v="Üldised valitsussektori teenused"/>
    <s v="Finantsosakond"/>
    <s v="Maksumaksjate liidu liikmemaks"/>
    <n v="90"/>
    <m/>
    <x v="6"/>
    <s v="Liikmemaksud"/>
    <n v="452"/>
    <x v="1"/>
    <x v="1"/>
    <x v="1"/>
    <x v="0"/>
    <m/>
  </r>
  <r>
    <x v="0"/>
    <x v="1"/>
    <x v="1"/>
    <x v="1"/>
    <s v="Üldised valitsussektori teenused"/>
    <s v="Vallavanem"/>
    <s v="Valitsuse liikmete koolituskulud"/>
    <n v="1000"/>
    <m/>
    <x v="2"/>
    <s v="Koolituskulud"/>
    <n v="55"/>
    <x v="0"/>
    <x v="0"/>
    <x v="0"/>
    <x v="0"/>
    <m/>
  </r>
  <r>
    <x v="0"/>
    <x v="1"/>
    <x v="1"/>
    <x v="1"/>
    <s v="Üldised valitsussektori teenused"/>
    <s v="Finantsosakond"/>
    <s v="Pangateenustasud"/>
    <n v="660"/>
    <s v="Swedbank"/>
    <x v="0"/>
    <s v="Administreerimiskulud"/>
    <n v="55"/>
    <x v="0"/>
    <x v="0"/>
    <x v="0"/>
    <x v="0"/>
    <m/>
  </r>
  <r>
    <x v="0"/>
    <x v="1"/>
    <x v="1"/>
    <x v="1"/>
    <s v="Üldised valitsussektori teenused"/>
    <s v="Finantsosakond"/>
    <s v="Pangateenustasud"/>
    <n v="480"/>
    <m/>
    <x v="0"/>
    <s v="Administreerimiskulud"/>
    <n v="55"/>
    <x v="0"/>
    <x v="0"/>
    <x v="0"/>
    <x v="0"/>
    <m/>
  </r>
  <r>
    <x v="0"/>
    <x v="1"/>
    <x v="1"/>
    <x v="1"/>
    <s v="Üldised valitsussektori teenused"/>
    <s v="Kantselei"/>
    <s v="Arhivaalide hävitamise teenus"/>
    <n v="500"/>
    <m/>
    <x v="0"/>
    <s v="Administreerimiskulud"/>
    <n v="55"/>
    <x v="0"/>
    <x v="0"/>
    <x v="0"/>
    <x v="0"/>
    <m/>
  </r>
  <r>
    <x v="0"/>
    <x v="1"/>
    <x v="1"/>
    <x v="1"/>
    <s v="Üldised valitsussektori teenused"/>
    <s v="Kantselei"/>
    <s v="Arhiivi tarvikud"/>
    <n v="500"/>
    <m/>
    <x v="0"/>
    <s v="Administreerimiskulud"/>
    <n v="55"/>
    <x v="0"/>
    <x v="0"/>
    <x v="0"/>
    <x v="0"/>
    <m/>
  </r>
  <r>
    <x v="0"/>
    <x v="1"/>
    <x v="1"/>
    <x v="1"/>
    <s v="Üldised valitsussektori teenused"/>
    <s v="Kantselei"/>
    <s v="Kontoritarbed"/>
    <n v="1680"/>
    <m/>
    <x v="0"/>
    <s v="Administreerimiskulud"/>
    <n v="55"/>
    <x v="0"/>
    <x v="0"/>
    <x v="0"/>
    <x v="0"/>
    <m/>
  </r>
  <r>
    <x v="0"/>
    <x v="1"/>
    <x v="1"/>
    <x v="1"/>
    <s v="Üldised valitsussektori teenused"/>
    <s v="Kantselei"/>
    <s v="Postikulud"/>
    <n v="960"/>
    <m/>
    <x v="0"/>
    <s v="Administreerimiskulud"/>
    <n v="55"/>
    <x v="0"/>
    <x v="0"/>
    <x v="0"/>
    <x v="0"/>
    <m/>
  </r>
  <r>
    <x v="0"/>
    <x v="1"/>
    <x v="1"/>
    <x v="1"/>
    <s v="Üldised valitsussektori teenused"/>
    <s v="Kantselei"/>
    <s v="Koopiapaber"/>
    <n v="1500"/>
    <m/>
    <x v="0"/>
    <s v="Administreerimiskulud"/>
    <n v="55"/>
    <x v="0"/>
    <x v="0"/>
    <x v="0"/>
    <x v="0"/>
    <m/>
  </r>
  <r>
    <x v="0"/>
    <x v="1"/>
    <x v="1"/>
    <x v="1"/>
    <s v="Üldised valitsussektori teenused"/>
    <s v="Kantselei"/>
    <s v="Paljunduskulud"/>
    <n v="1440"/>
    <m/>
    <x v="0"/>
    <s v="Administreerimiskulud"/>
    <n v="55"/>
    <x v="0"/>
    <x v="0"/>
    <x v="0"/>
    <x v="0"/>
    <m/>
  </r>
  <r>
    <x v="0"/>
    <x v="1"/>
    <x v="1"/>
    <x v="1"/>
    <s v="Üldised valitsussektori teenused"/>
    <s v="Kantselei"/>
    <s v="Kalendrid"/>
    <n v="600"/>
    <m/>
    <x v="0"/>
    <s v="Administreerimiskulud"/>
    <n v="55"/>
    <x v="0"/>
    <x v="0"/>
    <x v="0"/>
    <x v="0"/>
    <m/>
  </r>
  <r>
    <x v="0"/>
    <x v="1"/>
    <x v="1"/>
    <x v="1"/>
    <s v="Üldised valitsussektori teenused"/>
    <s v="Kantselei"/>
    <s v="Kalendermärkmikud"/>
    <n v="420"/>
    <m/>
    <x v="0"/>
    <s v="Administreerimiskulud"/>
    <n v="55"/>
    <x v="0"/>
    <x v="0"/>
    <x v="0"/>
    <x v="0"/>
    <m/>
  </r>
  <r>
    <x v="0"/>
    <x v="1"/>
    <x v="1"/>
    <x v="1"/>
    <s v="Üldised valitsussektori teenused"/>
    <s v="Kantselei"/>
    <s v="Meened (prillilapp, tassid, pastakad)"/>
    <n v="5000"/>
    <m/>
    <x v="0"/>
    <s v="Administreerimiskulud"/>
    <n v="55"/>
    <x v="0"/>
    <x v="0"/>
    <x v="0"/>
    <x v="0"/>
    <m/>
  </r>
  <r>
    <x v="0"/>
    <x v="1"/>
    <x v="1"/>
    <x v="1"/>
    <s v="Üldised valitsussektori teenused"/>
    <s v="Kantselei"/>
    <s v="Lilled sünnipäevalistele jne"/>
    <n v="2520"/>
    <m/>
    <x v="0"/>
    <s v="Administreerimiskulud"/>
    <n v="55"/>
    <x v="0"/>
    <x v="0"/>
    <x v="0"/>
    <x v="0"/>
    <m/>
  </r>
  <r>
    <x v="0"/>
    <x v="1"/>
    <x v="1"/>
    <x v="1"/>
    <s v="Üldised valitsussektori teenused"/>
    <s v="Kantselei"/>
    <s v="Lauatelefonid"/>
    <n v="3480"/>
    <m/>
    <x v="0"/>
    <s v="Administreerimiskulud"/>
    <n v="55"/>
    <x v="0"/>
    <x v="0"/>
    <x v="0"/>
    <x v="0"/>
    <m/>
  </r>
  <r>
    <x v="0"/>
    <x v="1"/>
    <x v="1"/>
    <x v="1"/>
    <s v="Üldised valitsussektori teenused"/>
    <s v="Kantselei"/>
    <s v="Esinduskulud (kohv)"/>
    <n v="540"/>
    <m/>
    <x v="0"/>
    <s v="Administreerimiskulud"/>
    <n v="55"/>
    <x v="0"/>
    <x v="0"/>
    <x v="0"/>
    <x v="0"/>
    <m/>
  </r>
  <r>
    <x v="0"/>
    <x v="1"/>
    <x v="1"/>
    <x v="1"/>
    <s v="Üldised valitsussektori teenused"/>
    <s v="Kantselei"/>
    <s v="Esindus - ja vastuvõtu kulud"/>
    <n v="5500"/>
    <m/>
    <x v="0"/>
    <s v="Administreerimiskulud"/>
    <n v="55"/>
    <x v="0"/>
    <x v="0"/>
    <x v="0"/>
    <x v="0"/>
    <m/>
  </r>
  <r>
    <x v="0"/>
    <x v="1"/>
    <x v="1"/>
    <x v="1"/>
    <s v="Üldised valitsussektori teenused"/>
    <s v="Kantselei"/>
    <s v="Kuulutused"/>
    <n v="1000"/>
    <s v="kaastunde avaldused jms"/>
    <x v="0"/>
    <s v="Administreerimiskulud"/>
    <n v="55"/>
    <x v="0"/>
    <x v="0"/>
    <x v="0"/>
    <x v="0"/>
    <m/>
  </r>
  <r>
    <x v="0"/>
    <x v="1"/>
    <x v="1"/>
    <x v="1"/>
    <s v="Üldised valitsussektori teenused"/>
    <s v="Kantselei"/>
    <s v="Visiitkaardid"/>
    <n v="60"/>
    <m/>
    <x v="0"/>
    <s v="Administreerimiskulud"/>
    <n v="55"/>
    <x v="0"/>
    <x v="0"/>
    <x v="0"/>
    <x v="0"/>
    <m/>
  </r>
  <r>
    <x v="0"/>
    <x v="1"/>
    <x v="1"/>
    <x v="1"/>
    <s v="Üldised valitsussektori teenused"/>
    <s v="Vallavanem"/>
    <s v="R.Võrno lähetused"/>
    <n v="1500"/>
    <m/>
    <x v="7"/>
    <s v="Lähetuskulud"/>
    <n v="55"/>
    <x v="0"/>
    <x v="0"/>
    <x v="0"/>
    <x v="0"/>
    <m/>
  </r>
  <r>
    <x v="0"/>
    <x v="1"/>
    <x v="1"/>
    <x v="1"/>
    <s v="Üldised valitsussektori teenused"/>
    <s v="Kantselei"/>
    <s v="Koolitustel osalemine"/>
    <n v="5000"/>
    <s v="Mart, Vaive, Kersti, Tuuli, Inga, Kätlin"/>
    <x v="2"/>
    <s v="Koolituskulud"/>
    <n v="55"/>
    <x v="0"/>
    <x v="0"/>
    <x v="0"/>
    <x v="0"/>
    <m/>
  </r>
  <r>
    <x v="0"/>
    <x v="1"/>
    <x v="1"/>
    <x v="1"/>
    <s v="Üldised valitsussektori teenused"/>
    <s v="Kantselei"/>
    <s v="Vallavalitsuse koosseisu hõlmavad üldised koolitused"/>
    <n v="2500"/>
    <m/>
    <x v="2"/>
    <s v="Koolituskulud"/>
    <n v="55"/>
    <x v="0"/>
    <x v="0"/>
    <x v="0"/>
    <x v="0"/>
    <m/>
  </r>
  <r>
    <x v="0"/>
    <x v="1"/>
    <x v="1"/>
    <x v="1"/>
    <s v="Üldised valitsussektori teenused"/>
    <s v="Vallavanem"/>
    <s v="Valla meeskonna koolitused"/>
    <n v="12000"/>
    <m/>
    <x v="2"/>
    <s v="Koolituskulud"/>
    <n v="55"/>
    <x v="0"/>
    <x v="0"/>
    <x v="0"/>
    <x v="0"/>
    <m/>
  </r>
  <r>
    <x v="0"/>
    <x v="1"/>
    <x v="1"/>
    <x v="1"/>
    <s v="Üldised valitsussektori teenused"/>
    <s v="Kantselei"/>
    <s v="Mastilipud"/>
    <n v="4800"/>
    <m/>
    <x v="4"/>
    <s v="Kinnistute, hoonete ja ruumide majandamiskulud"/>
    <n v="55"/>
    <x v="0"/>
    <x v="0"/>
    <x v="0"/>
    <x v="0"/>
    <m/>
  </r>
  <r>
    <x v="0"/>
    <x v="1"/>
    <x v="1"/>
    <x v="1"/>
    <s v="Üldised valitsussektori teenused"/>
    <s v="Vallavanem"/>
    <s v="Saku Läte"/>
    <n v="1440"/>
    <m/>
    <x v="4"/>
    <s v="Kinnistute, hoonete ja ruumide majandamiskulud"/>
    <n v="55"/>
    <x v="0"/>
    <x v="0"/>
    <x v="0"/>
    <x v="0"/>
    <m/>
  </r>
  <r>
    <x v="0"/>
    <x v="1"/>
    <x v="1"/>
    <x v="1"/>
    <s v="Üldised valitsussektori teenused"/>
    <s v="Vallavanem"/>
    <s v="Vallamaja elekter"/>
    <n v="4800"/>
    <m/>
    <x v="4"/>
    <s v="Kinnistute, hoonete ja ruumide majandamiskulud"/>
    <n v="55"/>
    <x v="0"/>
    <x v="0"/>
    <x v="0"/>
    <x v="0"/>
    <m/>
  </r>
  <r>
    <x v="0"/>
    <x v="1"/>
    <x v="1"/>
    <x v="1"/>
    <s v="Üldised valitsussektori teenused"/>
    <s v="Vallavanem"/>
    <s v="Vallamaja vesi"/>
    <n v="1800"/>
    <m/>
    <x v="4"/>
    <s v="Kinnistute, hoonete ja ruumide majandamiskulud"/>
    <n v="55"/>
    <x v="0"/>
    <x v="0"/>
    <x v="0"/>
    <x v="0"/>
    <m/>
  </r>
  <r>
    <x v="0"/>
    <x v="1"/>
    <x v="1"/>
    <x v="1"/>
    <s v="Üldised valitsussektori teenused"/>
    <s v="Vallavanem"/>
    <s v="Vallamaja keskküte"/>
    <n v="20700"/>
    <m/>
    <x v="4"/>
    <s v="Kinnistute, hoonete ja ruumide majandamiskulud"/>
    <n v="55"/>
    <x v="0"/>
    <x v="0"/>
    <x v="0"/>
    <x v="0"/>
    <m/>
  </r>
  <r>
    <x v="0"/>
    <x v="1"/>
    <x v="1"/>
    <x v="1"/>
    <s v="Üldised valitsussektori teenused"/>
    <s v="Vallavanem"/>
    <s v="Prügikonteineri rent"/>
    <n v="300"/>
    <m/>
    <x v="4"/>
    <s v="Kinnistute, hoonete ja ruumide majandamiskulud"/>
    <n v="55"/>
    <x v="0"/>
    <x v="0"/>
    <x v="0"/>
    <x v="0"/>
    <m/>
  </r>
  <r>
    <x v="0"/>
    <x v="1"/>
    <x v="1"/>
    <x v="1"/>
    <s v="Üldised valitsussektori teenused"/>
    <s v="Vallavanem"/>
    <s v="Jäätmekäitlus"/>
    <n v="840"/>
    <m/>
    <x v="4"/>
    <s v="Kinnistute, hoonete ja ruumide majandamiskulud"/>
    <n v="55"/>
    <x v="0"/>
    <x v="0"/>
    <x v="0"/>
    <x v="0"/>
    <m/>
  </r>
  <r>
    <x v="0"/>
    <x v="1"/>
    <x v="1"/>
    <x v="1"/>
    <s v="Üldised valitsussektori teenused"/>
    <s v="Vallavanem"/>
    <s v="Hoone kindlustus"/>
    <n v="260"/>
    <m/>
    <x v="4"/>
    <s v="Kinnistute, hoonete ja ruumide majandamiskulud"/>
    <n v="55"/>
    <x v="0"/>
    <x v="0"/>
    <x v="0"/>
    <x v="0"/>
    <m/>
  </r>
  <r>
    <x v="0"/>
    <x v="1"/>
    <x v="1"/>
    <x v="1"/>
    <s v="Üldised valitsussektori teenused"/>
    <s v="Vallavanem"/>
    <s v="Muud kinnistu ja hoonetega seotud kulud"/>
    <n v="15000"/>
    <m/>
    <x v="4"/>
    <s v="Kinnistute, hoonete ja ruumide majandamiskulud"/>
    <n v="55"/>
    <x v="0"/>
    <x v="0"/>
    <x v="0"/>
    <x v="0"/>
    <m/>
  </r>
  <r>
    <x v="0"/>
    <x v="1"/>
    <x v="1"/>
    <x v="1"/>
    <s v="Üldised valitsussektori teenused"/>
    <s v="Kantselei"/>
    <s v="Isikliku sõiduauto komp."/>
    <n v="704"/>
    <s v="juhiabi"/>
    <x v="3"/>
    <s v="Sõidukite ülalpidamise kulud"/>
    <n v="55"/>
    <x v="0"/>
    <x v="0"/>
    <x v="0"/>
    <x v="0"/>
    <m/>
  </r>
  <r>
    <x v="0"/>
    <x v="1"/>
    <x v="1"/>
    <x v="1"/>
    <s v="Üldised valitsussektori teenused"/>
    <s v="Kantselei"/>
    <s v="Isikliku sõiduauto komp."/>
    <n v="704"/>
    <s v="vallasekretär"/>
    <x v="3"/>
    <s v="Sõidukite ülalpidamise kulud"/>
    <n v="55"/>
    <x v="0"/>
    <x v="0"/>
    <x v="0"/>
    <x v="0"/>
    <m/>
  </r>
  <r>
    <x v="0"/>
    <x v="1"/>
    <x v="1"/>
    <x v="1"/>
    <s v="Üldised valitsussektori teenused"/>
    <s v="Vallavanem"/>
    <s v="Isikliku sõiduauto komp."/>
    <n v="1650"/>
    <s v="abivallavanem"/>
    <x v="3"/>
    <s v="Sõidukite ülalpidamise kulud"/>
    <n v="55"/>
    <x v="0"/>
    <x v="0"/>
    <x v="0"/>
    <x v="0"/>
    <m/>
  </r>
  <r>
    <x v="0"/>
    <x v="1"/>
    <x v="1"/>
    <x v="1"/>
    <s v="Üldised valitsussektori teenused"/>
    <s v="Vallavanem"/>
    <s v="Vallavanema auto liising"/>
    <n v="5227.2000000000007"/>
    <m/>
    <x v="3"/>
    <s v="Sõidukite ülalpidamise kulud"/>
    <n v="55"/>
    <x v="0"/>
    <x v="0"/>
    <x v="0"/>
    <x v="0"/>
    <m/>
  </r>
  <r>
    <x v="0"/>
    <x v="1"/>
    <x v="1"/>
    <x v="1"/>
    <s v="Üldised valitsussektori teenused"/>
    <s v="Vallavanem"/>
    <s v="Vallavanema auto kindlustus"/>
    <n v="650"/>
    <m/>
    <x v="3"/>
    <s v="Sõidukite ülalpidamise kulud"/>
    <n v="55"/>
    <x v="0"/>
    <x v="0"/>
    <x v="0"/>
    <x v="0"/>
    <m/>
  </r>
  <r>
    <x v="0"/>
    <x v="1"/>
    <x v="1"/>
    <x v="1"/>
    <s v="Üldised valitsussektori teenused"/>
    <s v="Vallavanem"/>
    <s v="Vallavanema auto kütus"/>
    <n v="4800"/>
    <m/>
    <x v="3"/>
    <s v="Sõidukite ülalpidamise kulud"/>
    <n v="55"/>
    <x v="0"/>
    <x v="0"/>
    <x v="0"/>
    <x v="0"/>
    <m/>
  </r>
  <r>
    <x v="0"/>
    <x v="1"/>
    <x v="1"/>
    <x v="1"/>
    <s v="Üldised valitsussektori teenused"/>
    <s v="Vallavanem"/>
    <s v="Vallavanema auto remont ja hooldus"/>
    <n v="1500"/>
    <m/>
    <x v="3"/>
    <s v="Sõidukite ülalpidamise kulud"/>
    <n v="55"/>
    <x v="0"/>
    <x v="0"/>
    <x v="0"/>
    <x v="0"/>
    <m/>
  </r>
  <r>
    <x v="0"/>
    <x v="1"/>
    <x v="1"/>
    <x v="1"/>
    <s v="Üldised valitsussektori teenused"/>
    <s v="Kantselei"/>
    <s v="Amphora dokumendihaldustarkvara kuutasud"/>
    <n v="4395.2"/>
    <s v="kuutasu 280,02+km; 2020 hinnatõus 9%"/>
    <x v="5"/>
    <s v="Info- ja kommunikatsioonitehnoliigised kulud"/>
    <n v="55"/>
    <x v="0"/>
    <x v="0"/>
    <x v="0"/>
    <x v="0"/>
    <m/>
  </r>
  <r>
    <x v="0"/>
    <x v="1"/>
    <x v="1"/>
    <x v="1"/>
    <s v="Üldised valitsussektori teenused"/>
    <s v="Kantselei"/>
    <s v="Amphora arendamine"/>
    <n v="1500"/>
    <m/>
    <x v="5"/>
    <s v="Info- ja kommunikatsioonitehnoliigised kulud"/>
    <n v="55"/>
    <x v="0"/>
    <x v="0"/>
    <x v="0"/>
    <x v="0"/>
    <m/>
  </r>
  <r>
    <x v="0"/>
    <x v="1"/>
    <x v="1"/>
    <x v="1"/>
    <s v="Üldised valitsussektori teenused"/>
    <s v="Vallavanem"/>
    <s v="Kohvimasina rent"/>
    <n v="660"/>
    <m/>
    <x v="8"/>
    <s v="Inventari kulud, v.a infotehnoloogia ja kaitseotstarbelised kulud"/>
    <n v="55"/>
    <x v="0"/>
    <x v="0"/>
    <x v="0"/>
    <x v="0"/>
    <m/>
  </r>
  <r>
    <x v="0"/>
    <x v="1"/>
    <x v="1"/>
    <x v="1"/>
    <s v="Üldised valitsussektori teenused"/>
    <s v="Vallavanem"/>
    <s v="Muud inventari vajadused"/>
    <n v="1500"/>
    <m/>
    <x v="8"/>
    <s v="Inventari kulud, v.a infotehnoloogia ja kaitseotstarbelised kulud"/>
    <n v="55"/>
    <x v="0"/>
    <x v="0"/>
    <x v="0"/>
    <x v="0"/>
    <m/>
  </r>
  <r>
    <x v="0"/>
    <x v="1"/>
    <x v="1"/>
    <x v="1"/>
    <s v="Üldised valitsussektori teenused"/>
    <s v="Kantselei"/>
    <s v="Töötervishoiuarsti teenused, gripivaktsiin, esmaabi vahendid"/>
    <n v="3500"/>
    <m/>
    <x v="9"/>
    <s v="Meditsiinikulud ja hügieenitarbed"/>
    <n v="55"/>
    <x v="0"/>
    <x v="0"/>
    <x v="0"/>
    <x v="0"/>
    <m/>
  </r>
  <r>
    <x v="0"/>
    <x v="1"/>
    <x v="1"/>
    <x v="1"/>
    <s v="Üldised valitsussektori teenused"/>
    <s v="Kantselei"/>
    <s v="Prillide kompensatsioon"/>
    <n v="1000"/>
    <s v="10 in."/>
    <x v="9"/>
    <s v="Meditsiinikulud ja hügieenitarbed"/>
    <n v="55"/>
    <x v="0"/>
    <x v="0"/>
    <x v="0"/>
    <x v="0"/>
    <m/>
  </r>
  <r>
    <x v="0"/>
    <x v="1"/>
    <x v="1"/>
    <x v="1"/>
    <s v="Üldised valitsussektori teenused"/>
    <s v="Kantselei"/>
    <s v="Raamatud (meene isa-ema, vanaema-vanaisa)"/>
    <n v="200"/>
    <m/>
    <x v="10"/>
    <s v="Teavikud ja kunstiesemed"/>
    <n v="55"/>
    <x v="0"/>
    <x v="0"/>
    <x v="0"/>
    <x v="0"/>
    <m/>
  </r>
  <r>
    <x v="0"/>
    <x v="1"/>
    <x v="1"/>
    <x v="1"/>
    <s v="Üldised valitsussektori teenused"/>
    <s v="Kantselei"/>
    <s v="Kalade ülalpidamine"/>
    <n v="300"/>
    <m/>
    <x v="0"/>
    <s v="Administreerimiskulud"/>
    <n v="55"/>
    <x v="0"/>
    <x v="0"/>
    <x v="0"/>
    <x v="0"/>
    <m/>
  </r>
  <r>
    <x v="0"/>
    <x v="1"/>
    <x v="1"/>
    <x v="1"/>
    <s v="Üldised valitsussektori teenused"/>
    <s v="Kantselei"/>
    <s v="Spordikulude hüvitamine"/>
    <n v="11200"/>
    <s v="28 in x 400€"/>
    <x v="1"/>
    <s v="Mitmesugused majanduskulud"/>
    <n v="55"/>
    <x v="0"/>
    <x v="0"/>
    <x v="0"/>
    <x v="0"/>
    <m/>
  </r>
  <r>
    <x v="0"/>
    <x v="1"/>
    <x v="1"/>
    <x v="1"/>
    <s v="Üldised valitsussektori teenused"/>
    <s v="Maanõunik"/>
    <s v="Maamaks"/>
    <n v="-512000"/>
    <m/>
    <x v="11"/>
    <s v="Maamaks"/>
    <n v="3030"/>
    <x v="2"/>
    <x v="2"/>
    <x v="2"/>
    <x v="1"/>
    <m/>
  </r>
  <r>
    <x v="0"/>
    <x v="1"/>
    <x v="1"/>
    <x v="1"/>
    <s v="Üldised valitsussektori teenused"/>
    <s v="Ehitusnõunik"/>
    <s v="Vallamaja küttesüsteem"/>
    <n v="10000"/>
    <m/>
    <x v="12"/>
    <s v="Rajatiste ja hoonete soetamine ja renoveerimine"/>
    <n v="15"/>
    <x v="3"/>
    <x v="3"/>
    <x v="3"/>
    <x v="2"/>
    <m/>
  </r>
  <r>
    <x v="0"/>
    <x v="1"/>
    <x v="1"/>
    <x v="1"/>
    <s v="Üldised valitsussektori teenused"/>
    <s v="Ehitusnõunik"/>
    <s v="Vinni-Pajusti avaliku ruumi arendamine (Kirjandustammik, vaateplatvorm, VPG ala)"/>
    <n v="25000"/>
    <m/>
    <x v="12"/>
    <s v="Rajatiste ja hoonete soetamine ja renoveerimine"/>
    <n v="15"/>
    <x v="3"/>
    <x v="3"/>
    <x v="3"/>
    <x v="2"/>
    <m/>
  </r>
  <r>
    <x v="0"/>
    <x v="1"/>
    <x v="1"/>
    <x v="1"/>
    <s v="Üldised valitsussektori teenused"/>
    <s v="Vallavalitsus"/>
    <s v="Avalike mänguväljakute ja sportimispaikade rajamine"/>
    <n v="30000"/>
    <m/>
    <x v="12"/>
    <s v="Rajatiste ja hoonete soetamine ja renoveerimine"/>
    <n v="15"/>
    <x v="3"/>
    <x v="3"/>
    <x v="3"/>
    <x v="2"/>
    <m/>
  </r>
  <r>
    <x v="0"/>
    <x v="1"/>
    <x v="1"/>
    <x v="1"/>
    <s v="Üldised valitsussektori teenused"/>
    <s v="Arendusnõunik"/>
    <s v="Valla üldplaneeringu koostamine"/>
    <n v="54000"/>
    <m/>
    <x v="13"/>
    <s v="Uurimis- ja arendustööd"/>
    <n v="55"/>
    <x v="0"/>
    <x v="0"/>
    <x v="0"/>
    <x v="0"/>
    <m/>
  </r>
  <r>
    <x v="0"/>
    <x v="1"/>
    <x v="1"/>
    <x v="1"/>
    <s v="Üldised valitsussektori teenused"/>
    <s v="Vallavalitsus"/>
    <s v="Tasandusfond"/>
    <n v="-1302903"/>
    <m/>
    <x v="14"/>
    <s v="Tasandusfond"/>
    <n v="35200"/>
    <x v="4"/>
    <x v="4"/>
    <x v="4"/>
    <x v="1"/>
    <m/>
  </r>
  <r>
    <x v="1"/>
    <x v="2"/>
    <x v="2"/>
    <x v="2"/>
    <s v="Haridus"/>
    <s v="Haridusnõunik"/>
    <s v="Toetusfondi vahendid koolide tarbeks"/>
    <n v="-1862253"/>
    <m/>
    <x v="15"/>
    <s v="Toetusfond"/>
    <n v="35201"/>
    <x v="4"/>
    <x v="4"/>
    <x v="5"/>
    <x v="1"/>
    <m/>
  </r>
  <r>
    <x v="0"/>
    <x v="1"/>
    <x v="1"/>
    <x v="1"/>
    <s v="Üldised valitsussektori teenused"/>
    <s v="Kantselei"/>
    <s v="Fliisid jms"/>
    <n v="1500"/>
    <m/>
    <x v="16"/>
    <s v="Eri- ja vormiriietus"/>
    <n v="55"/>
    <x v="0"/>
    <x v="0"/>
    <x v="0"/>
    <x v="0"/>
    <m/>
  </r>
  <r>
    <x v="0"/>
    <x v="1"/>
    <x v="1"/>
    <x v="1"/>
    <s v="Üldised valitsussektori teenused"/>
    <s v="Finantsosakond"/>
    <s v="Eelarve rakenduse Veera Liitumis- ja juurutusprotsess"/>
    <n v="4188"/>
    <m/>
    <x v="5"/>
    <s v="Info- ja kommunikatsioonitehnoliigised kulud"/>
    <n v="55"/>
    <x v="0"/>
    <x v="0"/>
    <x v="0"/>
    <x v="0"/>
    <m/>
  </r>
  <r>
    <x v="0"/>
    <x v="1"/>
    <x v="1"/>
    <x v="1"/>
    <s v="Üldised valitsussektori teenused"/>
    <s v="Finantsosakond"/>
    <s v="Eelarve rakenduse Veera kuutasu"/>
    <n v="3732"/>
    <m/>
    <x v="5"/>
    <s v="Info- ja kommunikatsioonitehnoliigised kulud"/>
    <n v="55"/>
    <x v="0"/>
    <x v="0"/>
    <x v="0"/>
    <x v="0"/>
    <m/>
  </r>
  <r>
    <x v="0"/>
    <x v="1"/>
    <x v="1"/>
    <x v="1"/>
    <s v="Üldised valitsussektori teenused"/>
    <s v="Vallavanem"/>
    <s v="Muud ettenägematud kulud"/>
    <n v="35000"/>
    <s v="Rauno"/>
    <x v="1"/>
    <s v="Mitmesugused majanduskulud"/>
    <n v="55"/>
    <x v="0"/>
    <x v="0"/>
    <x v="0"/>
    <x v="0"/>
    <m/>
  </r>
  <r>
    <x v="0"/>
    <x v="3"/>
    <x v="3"/>
    <x v="3"/>
    <s v="Üldised valitsussektori teenused"/>
    <s v="Vallavalitsus"/>
    <s v="Reservfond"/>
    <n v="59235.382709999998"/>
    <s v="Põhitegevustuludest 1%"/>
    <x v="17"/>
    <s v="Muud tegevuskulud"/>
    <n v="60"/>
    <x v="5"/>
    <x v="0"/>
    <x v="6"/>
    <x v="0"/>
    <m/>
  </r>
  <r>
    <x v="0"/>
    <x v="3"/>
    <x v="3"/>
    <x v="3"/>
    <s v="Üldised valitsussektori teenused"/>
    <s v="Vallavanem"/>
    <s v="Kaasav eelarve"/>
    <n v="25000"/>
    <m/>
    <x v="12"/>
    <s v="Rajatiste ja hoonete soetamine ja renoveerimine"/>
    <n v="15"/>
    <x v="3"/>
    <x v="3"/>
    <x v="3"/>
    <x v="2"/>
    <m/>
  </r>
  <r>
    <x v="0"/>
    <x v="4"/>
    <x v="4"/>
    <x v="4"/>
    <s v="Üldised valitsussektori teenused"/>
    <s v="Vallavalitsus"/>
    <s v="Laenude põhiosade tasumised"/>
    <n v="516524.05"/>
    <m/>
    <x v="18"/>
    <s v="Laenude tasumine"/>
    <n v="2586"/>
    <x v="6"/>
    <x v="5"/>
    <x v="7"/>
    <x v="3"/>
    <m/>
  </r>
  <r>
    <x v="0"/>
    <x v="4"/>
    <x v="4"/>
    <x v="4"/>
    <s v="Üldised valitsussektori teenused"/>
    <s v="Vallavalitsus"/>
    <s v="Laenude intresside tasumised"/>
    <n v="27847.13"/>
    <m/>
    <x v="19"/>
    <s v="Intressi-, viivise- ja kohustistasukulud võetud laenudelt"/>
    <n v="650"/>
    <x v="7"/>
    <x v="6"/>
    <x v="8"/>
    <x v="2"/>
    <m/>
  </r>
  <r>
    <x v="0"/>
    <x v="4"/>
    <x v="4"/>
    <x v="4"/>
    <s v="Üldised valitsussektori teenused"/>
    <s v="Finantsosakond"/>
    <s v="Finantstulud"/>
    <n v="-130"/>
    <m/>
    <x v="20"/>
    <s v="Intressitulud"/>
    <n v="655"/>
    <x v="7"/>
    <x v="7"/>
    <x v="9"/>
    <x v="2"/>
    <m/>
  </r>
  <r>
    <x v="0"/>
    <x v="4"/>
    <x v="4"/>
    <x v="4"/>
    <s v="Üldised valitsussektori teenused"/>
    <s v="Vallavalitsus"/>
    <s v="Laenu võtmine"/>
    <n v="-2085000"/>
    <m/>
    <x v="21"/>
    <s v="Laenude võtmine muudelt residentidelt"/>
    <n v="2585"/>
    <x v="8"/>
    <x v="8"/>
    <x v="10"/>
    <x v="3"/>
    <m/>
  </r>
  <r>
    <x v="0"/>
    <x v="4"/>
    <x v="4"/>
    <x v="4"/>
    <s v="Üldised valitsussektori teenused"/>
    <s v="Vallavalitsus"/>
    <s v="2020 võetud laenude tagasimaksed"/>
    <n v="170200"/>
    <m/>
    <x v="18"/>
    <s v="Laenude tasumine"/>
    <n v="2586"/>
    <x v="6"/>
    <x v="5"/>
    <x v="7"/>
    <x v="3"/>
    <m/>
  </r>
  <r>
    <x v="0"/>
    <x v="5"/>
    <x v="5"/>
    <x v="5"/>
    <s v="Üldised valitsussektori teenused"/>
    <s v="Vallavalitsus"/>
    <s v="Eesti Linnade ja Valdade Liidu 2020.a. liikmemaks"/>
    <n v="5828"/>
    <m/>
    <x v="6"/>
    <s v="Liikmemaksud"/>
    <n v="452"/>
    <x v="1"/>
    <x v="1"/>
    <x v="1"/>
    <x v="0"/>
    <m/>
  </r>
  <r>
    <x v="0"/>
    <x v="5"/>
    <x v="5"/>
    <x v="5"/>
    <s v="Üldised valitsussektori teenused"/>
    <s v="Teede- ja ühistranspordinõunik"/>
    <s v="Liikmemaks Põhja- Eesti Ühistranspordikeskus MTÜ-le"/>
    <n v="4474"/>
    <m/>
    <x v="6"/>
    <s v="Liikmemaksud"/>
    <n v="452"/>
    <x v="1"/>
    <x v="1"/>
    <x v="1"/>
    <x v="0"/>
    <m/>
  </r>
  <r>
    <x v="0"/>
    <x v="5"/>
    <x v="5"/>
    <x v="5"/>
    <s v="Üldised valitsussektori teenused"/>
    <s v="Vallavalitsus"/>
    <s v="Paik MTÜ liikmemaks"/>
    <n v="1500"/>
    <m/>
    <x v="6"/>
    <s v="Liikmemaksud"/>
    <n v="452"/>
    <x v="1"/>
    <x v="1"/>
    <x v="1"/>
    <x v="0"/>
    <m/>
  </r>
  <r>
    <x v="0"/>
    <x v="5"/>
    <x v="5"/>
    <x v="5"/>
    <s v="Üldised valitsussektori teenused"/>
    <s v="Vallavalitsus"/>
    <s v="Virumaa Koostöökogu MTÜ liikmemaks"/>
    <n v="432"/>
    <s v="2019.a +2%"/>
    <x v="6"/>
    <s v="Liikmemaksud"/>
    <n v="452"/>
    <x v="1"/>
    <x v="1"/>
    <x v="1"/>
    <x v="0"/>
    <m/>
  </r>
  <r>
    <x v="0"/>
    <x v="5"/>
    <x v="5"/>
    <x v="5"/>
    <s v="Üldised valitsussektori teenused"/>
    <s v="Vallavalitsus"/>
    <s v="VIROL omaosalus projektis &quot;Piirkondlike algatuste tugiprogramm 2020-2023&quot;"/>
    <n v="2066"/>
    <s v="2020-2023 kogumaksumus 8264€"/>
    <x v="6"/>
    <s v="Liikmemaksud"/>
    <n v="452"/>
    <x v="1"/>
    <x v="1"/>
    <x v="1"/>
    <x v="0"/>
    <m/>
  </r>
  <r>
    <x v="0"/>
    <x v="5"/>
    <x v="5"/>
    <x v="5"/>
    <s v="Üldised valitsussektori teenused"/>
    <s v="Vallavalitsus"/>
    <s v="VIROL liikmemaks 2020"/>
    <n v="14248"/>
    <m/>
    <x v="6"/>
    <s v="Liikmemaksud"/>
    <n v="452"/>
    <x v="1"/>
    <x v="1"/>
    <x v="1"/>
    <x v="0"/>
    <m/>
  </r>
  <r>
    <x v="2"/>
    <x v="6"/>
    <x v="6"/>
    <x v="6"/>
    <s v="Riigikaitse"/>
    <s v="Vallavalitsus"/>
    <s v="Noorkotkad"/>
    <n v="1000"/>
    <m/>
    <x v="22"/>
    <s v="Kommunikatsiooni-, kultuuri- ja vaba aja sisustamise kulud"/>
    <n v="55"/>
    <x v="0"/>
    <x v="0"/>
    <x v="0"/>
    <x v="0"/>
    <m/>
  </r>
  <r>
    <x v="3"/>
    <x v="7"/>
    <x v="7"/>
    <x v="7"/>
    <s v="Avalik kord ja julgeolek"/>
    <s v="Vallavanem"/>
    <s v="Roela Tuletõrjeselts MTÜ toetus"/>
    <n v="15250"/>
    <m/>
    <x v="23"/>
    <s v="Sihtotstarbelised eraldised muudele residentidele"/>
    <n v="4500"/>
    <x v="1"/>
    <x v="1"/>
    <x v="11"/>
    <x v="0"/>
    <m/>
  </r>
  <r>
    <x v="3"/>
    <x v="7"/>
    <x v="7"/>
    <x v="7"/>
    <s v="Avalik kord ja julgeolek"/>
    <s v="Noorsoo- ja spordinõunik"/>
    <s v="Elekter"/>
    <n v="900"/>
    <m/>
    <x v="4"/>
    <s v="Kinnistute, hoonete ja ruumide majandamiskulud"/>
    <n v="55"/>
    <x v="0"/>
    <x v="0"/>
    <x v="0"/>
    <x v="0"/>
    <m/>
  </r>
  <r>
    <x v="3"/>
    <x v="7"/>
    <x v="7"/>
    <x v="7"/>
    <s v="Avalik kord ja julgeolek"/>
    <s v="Noorsoo- ja spordinõunik"/>
    <s v="Sõidukite remont, hooldus jms"/>
    <n v="700"/>
    <m/>
    <x v="3"/>
    <s v="Sõidukite ülalpidamise kulud"/>
    <n v="55"/>
    <x v="0"/>
    <x v="0"/>
    <x v="0"/>
    <x v="0"/>
    <m/>
  </r>
  <r>
    <x v="4"/>
    <x v="8"/>
    <x v="8"/>
    <x v="8"/>
    <s v="Majandus"/>
    <s v="Teede- ja ühistranspordinõunik"/>
    <s v="Teede korrashoiu kulud"/>
    <n v="486305"/>
    <s v="Toetusfond"/>
    <x v="24"/>
    <s v="Rajatiste majandamiskulud"/>
    <n v="55"/>
    <x v="0"/>
    <x v="0"/>
    <x v="0"/>
    <x v="0"/>
    <m/>
  </r>
  <r>
    <x v="4"/>
    <x v="8"/>
    <x v="8"/>
    <x v="8"/>
    <s v="Majandus"/>
    <s v="Teede- ja ühistranspordinõunik"/>
    <s v="Toetusfond"/>
    <n v="-486305"/>
    <s v="Teede korrashoiu kulud"/>
    <x v="15"/>
    <s v="Toetusfond"/>
    <n v="35201"/>
    <x v="4"/>
    <x v="4"/>
    <x v="5"/>
    <x v="1"/>
    <m/>
  </r>
  <r>
    <x v="4"/>
    <x v="8"/>
    <x v="8"/>
    <x v="8"/>
    <s v="Majandus"/>
    <s v="Teede- ja ühistranspordinõunik"/>
    <s v="Ettevõtlust/turismi toetava taristu arendamine, sh kiire internetiühenduse leviku toetamine valla territooriumil"/>
    <n v="10000"/>
    <m/>
    <x v="12"/>
    <s v="Rajatiste ja hoonete soetamine ja renoveerimine"/>
    <n v="15"/>
    <x v="3"/>
    <x v="3"/>
    <x v="3"/>
    <x v="2"/>
    <m/>
  </r>
  <r>
    <x v="4"/>
    <x v="8"/>
    <x v="8"/>
    <x v="8"/>
    <s v="Majandus"/>
    <s v="Teede- ja ühistranspordinõunik"/>
    <s v="Uute musta katte lõikude rajamine"/>
    <n v="0"/>
    <s v="Kruusakattaga teedele uute tolmuvabade lõikude rajamine"/>
    <x v="24"/>
    <s v="Rajatiste majandamiskulud"/>
    <n v="55"/>
    <x v="0"/>
    <x v="0"/>
    <x v="0"/>
    <x v="0"/>
    <m/>
  </r>
  <r>
    <x v="4"/>
    <x v="9"/>
    <x v="9"/>
    <x v="9"/>
    <s v="Majandus"/>
    <s v="IT spetsialist"/>
    <s v=" X-tee turvaserveri v6  majutus"/>
    <n v="835.19999999999993"/>
    <s v="AS Andmevara"/>
    <x v="5"/>
    <s v="Info- ja kommunikatsioonitehnoliigised kulud"/>
    <n v="55"/>
    <x v="0"/>
    <x v="0"/>
    <x v="0"/>
    <x v="0"/>
    <m/>
  </r>
  <r>
    <x v="4"/>
    <x v="9"/>
    <x v="9"/>
    <x v="9"/>
    <s v="Majandus"/>
    <s v="IT spetsialist"/>
    <s v="Kohaliku omavalitsuse teenusportaali kasutamine"/>
    <n v="1210.8000000000002"/>
    <s v="AS Andmevara"/>
    <x v="5"/>
    <s v="Info- ja kommunikatsioonitehnoliigised kulud"/>
    <n v="55"/>
    <x v="0"/>
    <x v="0"/>
    <x v="0"/>
    <x v="0"/>
    <m/>
  </r>
  <r>
    <x v="4"/>
    <x v="9"/>
    <x v="9"/>
    <x v="9"/>
    <s v="Majandus"/>
    <s v="IT spetsialist"/>
    <s v="Kodulehe majutus ja e-post"/>
    <n v="4800"/>
    <s v="Telia (e-post)"/>
    <x v="5"/>
    <s v="Info- ja kommunikatsioonitehnoliigised kulud"/>
    <n v="55"/>
    <x v="0"/>
    <x v="0"/>
    <x v="0"/>
    <x v="0"/>
    <m/>
  </r>
  <r>
    <x v="4"/>
    <x v="9"/>
    <x v="9"/>
    <x v="9"/>
    <s v="Majandus"/>
    <s v="IT spetsialist"/>
    <s v="korrashoiuvahendid"/>
    <n v="100"/>
    <m/>
    <x v="4"/>
    <s v="Kinnistute, hoonete ja ruumide majandamiskulud"/>
    <n v="55"/>
    <x v="0"/>
    <x v="0"/>
    <x v="0"/>
    <x v="0"/>
    <m/>
  </r>
  <r>
    <x v="4"/>
    <x v="9"/>
    <x v="9"/>
    <x v="9"/>
    <s v="Majandus"/>
    <s v="IT spetsialist"/>
    <s v="Sideteenused"/>
    <n v="240"/>
    <m/>
    <x v="0"/>
    <s v="Administreerimiskulud"/>
    <n v="55"/>
    <x v="0"/>
    <x v="0"/>
    <x v="0"/>
    <x v="0"/>
    <m/>
  </r>
  <r>
    <x v="4"/>
    <x v="9"/>
    <x v="9"/>
    <x v="9"/>
    <s v="Majandus"/>
    <s v="IT spetsialist"/>
    <s v="Koolitused"/>
    <n v="592.64"/>
    <m/>
    <x v="2"/>
    <s v="Koolituskulud"/>
    <n v="55"/>
    <x v="0"/>
    <x v="0"/>
    <x v="0"/>
    <x v="0"/>
    <m/>
  </r>
  <r>
    <x v="4"/>
    <x v="9"/>
    <x v="9"/>
    <x v="9"/>
    <s v="Majandus"/>
    <s v="IT spetsialist"/>
    <s v="Isikliku sõiduauto komp."/>
    <n v="3685"/>
    <m/>
    <x v="3"/>
    <s v="Sõidukite ülalpidamise kulud"/>
    <n v="55"/>
    <x v="0"/>
    <x v="0"/>
    <x v="0"/>
    <x v="0"/>
    <m/>
  </r>
  <r>
    <x v="4"/>
    <x v="9"/>
    <x v="9"/>
    <x v="9"/>
    <s v="Majandus"/>
    <s v="IT spetsialist"/>
    <s v="Valvekaamerate vahetus"/>
    <n v="5000"/>
    <m/>
    <x v="8"/>
    <s v="Inventari kulud, v.a infotehnoloogia ja kaitseotstarbelised kulud"/>
    <n v="55"/>
    <x v="0"/>
    <x v="0"/>
    <x v="0"/>
    <x v="0"/>
    <m/>
  </r>
  <r>
    <x v="4"/>
    <x v="9"/>
    <x v="9"/>
    <x v="9"/>
    <s v="Majandus"/>
    <s v="IT spetsialist"/>
    <s v="7 arvutit"/>
    <n v="5000"/>
    <m/>
    <x v="5"/>
    <s v="Info- ja kommunikatsioonitehnoliigised kulud"/>
    <n v="55"/>
    <x v="0"/>
    <x v="0"/>
    <x v="0"/>
    <x v="0"/>
    <m/>
  </r>
  <r>
    <x v="4"/>
    <x v="9"/>
    <x v="9"/>
    <x v="9"/>
    <s v="Majandus"/>
    <s v="IT spetsialist"/>
    <s v="7 monitori"/>
    <n v="1750"/>
    <m/>
    <x v="5"/>
    <s v="Info- ja kommunikatsioonitehnoliigised kulud"/>
    <n v="55"/>
    <x v="0"/>
    <x v="0"/>
    <x v="0"/>
    <x v="0"/>
    <m/>
  </r>
  <r>
    <x v="4"/>
    <x v="9"/>
    <x v="9"/>
    <x v="9"/>
    <s v="Majandus"/>
    <s v="IT spetsialist"/>
    <s v="Ruuteri ja Syslogi hooldustasu"/>
    <n v="2124"/>
    <m/>
    <x v="5"/>
    <s v="Info- ja kommunikatsioonitehnoliigised kulud"/>
    <n v="55"/>
    <x v="0"/>
    <x v="0"/>
    <x v="0"/>
    <x v="0"/>
    <m/>
  </r>
  <r>
    <x v="4"/>
    <x v="9"/>
    <x v="9"/>
    <x v="9"/>
    <s v="Majandus"/>
    <s v="IT spetsialist"/>
    <s v="Esri EA aastatasu"/>
    <n v="5000"/>
    <m/>
    <x v="5"/>
    <s v="Info- ja kommunikatsioonitehnoliigised kulud"/>
    <n v="55"/>
    <x v="0"/>
    <x v="0"/>
    <x v="0"/>
    <x v="0"/>
    <m/>
  </r>
  <r>
    <x v="4"/>
    <x v="9"/>
    <x v="9"/>
    <x v="9"/>
    <s v="Majandus"/>
    <s v="IT spetsialist"/>
    <s v="Virtuaalserver"/>
    <n v="149.76"/>
    <m/>
    <x v="5"/>
    <s v="Info- ja kommunikatsioonitehnoliigised kulud"/>
    <n v="55"/>
    <x v="0"/>
    <x v="0"/>
    <x v="0"/>
    <x v="0"/>
    <m/>
  </r>
  <r>
    <x v="4"/>
    <x v="9"/>
    <x v="9"/>
    <x v="9"/>
    <s v="Majandus"/>
    <s v="IT spetsialist"/>
    <s v="Viirusetõrje"/>
    <n v="994.8"/>
    <m/>
    <x v="5"/>
    <s v="Info- ja kommunikatsioonitehnoliigised kulud"/>
    <n v="55"/>
    <x v="0"/>
    <x v="0"/>
    <x v="0"/>
    <x v="0"/>
    <m/>
  </r>
  <r>
    <x v="4"/>
    <x v="9"/>
    <x v="9"/>
    <x v="9"/>
    <s v="Majandus"/>
    <s v="IT spetsialist"/>
    <s v="Muud mitmesugused ennustamatud kulud: 752,6 € kuus"/>
    <n v="8000"/>
    <m/>
    <x v="5"/>
    <s v="Info- ja kommunikatsioonitehnoliigised kulud"/>
    <n v="55"/>
    <x v="0"/>
    <x v="0"/>
    <x v="0"/>
    <x v="0"/>
    <m/>
  </r>
  <r>
    <x v="4"/>
    <x v="10"/>
    <x v="10"/>
    <x v="10"/>
    <s v="Majandus"/>
    <s v="Maanõunik"/>
    <s v="Maade mõõdistamised"/>
    <n v="1750"/>
    <m/>
    <x v="4"/>
    <s v="Kinnistute, hoonete ja ruumide majandamiskulud"/>
    <n v="55"/>
    <x v="0"/>
    <x v="0"/>
    <x v="0"/>
    <x v="0"/>
    <m/>
  </r>
  <r>
    <x v="4"/>
    <x v="10"/>
    <x v="10"/>
    <x v="10"/>
    <s v="Majandus"/>
    <s v="Arendusnõunik"/>
    <s v="Ettevõtlustoetused"/>
    <n v="15000"/>
    <m/>
    <x v="25"/>
    <s v="Sihtotstarbelised eraldised põhivara soetamiseks muudele residentidele"/>
    <n v="4502"/>
    <x v="1"/>
    <x v="9"/>
    <x v="12"/>
    <x v="2"/>
    <m/>
  </r>
  <r>
    <x v="4"/>
    <x v="10"/>
    <x v="10"/>
    <x v="10"/>
    <s v="Majandus"/>
    <s v="Vallavalitsus"/>
    <s v="Sideteenused"/>
    <n v="550"/>
    <m/>
    <x v="0"/>
    <s v="Administreerimiskulud"/>
    <n v="55"/>
    <x v="0"/>
    <x v="0"/>
    <x v="0"/>
    <x v="0"/>
    <m/>
  </r>
  <r>
    <x v="4"/>
    <x v="10"/>
    <x v="10"/>
    <x v="10"/>
    <s v="Majandus"/>
    <s v="Vallavalitsus"/>
    <s v="Isikliku sõiduauto komp."/>
    <n v="9385"/>
    <s v="Irina 150€, Aivar 335€, Gustav 150€, Erik 150€; Kätlyn 150€"/>
    <x v="3"/>
    <s v="Sõidukite ülalpidamise kulud"/>
    <n v="55"/>
    <x v="0"/>
    <x v="0"/>
    <x v="0"/>
    <x v="0"/>
    <m/>
  </r>
  <r>
    <x v="4"/>
    <x v="10"/>
    <x v="10"/>
    <x v="10"/>
    <s v="Majandus"/>
    <s v="Vallavalitsus"/>
    <s v="Koolitused"/>
    <n v="1600"/>
    <s v="Erik 400€; Gustav 400€; Aivar 400€; Irina 400€"/>
    <x v="2"/>
    <s v="Koolituskulud"/>
    <n v="55"/>
    <x v="0"/>
    <x v="0"/>
    <x v="0"/>
    <x v="0"/>
    <m/>
  </r>
  <r>
    <x v="4"/>
    <x v="10"/>
    <x v="10"/>
    <x v="10"/>
    <s v="Majandus"/>
    <s v="Vallavalitsus"/>
    <s v="Tervise- ja spordiarendamise hüvitis"/>
    <n v="1600"/>
    <m/>
    <x v="1"/>
    <s v="Mitmesugused majanduskulud"/>
    <n v="55"/>
    <x v="0"/>
    <x v="0"/>
    <x v="0"/>
    <x v="0"/>
    <m/>
  </r>
  <r>
    <x v="4"/>
    <x v="10"/>
    <x v="10"/>
    <x v="10"/>
    <s v="Majandus"/>
    <s v="Arendusnõunik"/>
    <s v="Hajaasustuseprogramm"/>
    <n v="70000"/>
    <m/>
    <x v="25"/>
    <s v="Sihtotstarbelised eraldised põhivara soetamiseks muudele residentidele"/>
    <n v="4502"/>
    <x v="1"/>
    <x v="9"/>
    <x v="12"/>
    <x v="2"/>
    <m/>
  </r>
  <r>
    <x v="4"/>
    <x v="10"/>
    <x v="10"/>
    <x v="10"/>
    <s v="Majandus"/>
    <s v="Maanõunik"/>
    <s v="Maadega soetud notaritasud"/>
    <n v="1114.5"/>
    <m/>
    <x v="0"/>
    <s v="Administreerimiskulud"/>
    <n v="55"/>
    <x v="0"/>
    <x v="0"/>
    <x v="0"/>
    <x v="0"/>
    <m/>
  </r>
  <r>
    <x v="4"/>
    <x v="10"/>
    <x v="10"/>
    <x v="10"/>
    <s v="Majandus"/>
    <s v="Keskkonna- ja kommunaalnõunik"/>
    <s v="Kaunis kodu auhinnafond"/>
    <n v="1500"/>
    <m/>
    <x v="23"/>
    <s v="Sihtotstarbelised eraldised muudele residentidele"/>
    <n v="4500"/>
    <x v="1"/>
    <x v="1"/>
    <x v="11"/>
    <x v="0"/>
    <m/>
  </r>
  <r>
    <x v="4"/>
    <x v="10"/>
    <x v="10"/>
    <x v="10"/>
    <s v="Majandus"/>
    <s v="Keskkonna- ja kommunaalnõunik"/>
    <s v="Albumid, lilled jms"/>
    <n v="1500"/>
    <s v="Kaunis kodu"/>
    <x v="23"/>
    <s v="Sihtotstarbelised eraldised muudele residentidele"/>
    <n v="4500"/>
    <x v="1"/>
    <x v="1"/>
    <x v="11"/>
    <x v="0"/>
    <m/>
  </r>
  <r>
    <x v="4"/>
    <x v="10"/>
    <x v="10"/>
    <x v="10"/>
    <s v="Majandus"/>
    <s v="Teede- ja ühistranspordinõunik"/>
    <s v="Geoarhiivi moodul"/>
    <n v="446.40000000000003"/>
    <s v="GEODATA"/>
    <x v="5"/>
    <s v="Info- ja kommunikatsioonitehnoliigised kulud"/>
    <n v="55"/>
    <x v="0"/>
    <x v="0"/>
    <x v="0"/>
    <x v="0"/>
    <m/>
  </r>
  <r>
    <x v="4"/>
    <x v="10"/>
    <x v="10"/>
    <x v="10"/>
    <s v="Majandus"/>
    <s v="Teede- ja ühistranspordinõunik"/>
    <s v="Kohalike teede moodul"/>
    <n v="288"/>
    <s v="GEODATA"/>
    <x v="5"/>
    <s v="Info- ja kommunikatsioonitehnoliigised kulud"/>
    <n v="55"/>
    <x v="0"/>
    <x v="0"/>
    <x v="0"/>
    <x v="0"/>
    <m/>
  </r>
  <r>
    <x v="4"/>
    <x v="10"/>
    <x v="10"/>
    <x v="10"/>
    <s v="Majandus"/>
    <s v="Vallavalitsus"/>
    <s v="Muud ettenägematud kulud  "/>
    <n v="500"/>
    <m/>
    <x v="1"/>
    <s v="Mitmesugused majanduskulud"/>
    <n v="55"/>
    <x v="0"/>
    <x v="0"/>
    <x v="0"/>
    <x v="0"/>
    <m/>
  </r>
  <r>
    <x v="4"/>
    <x v="10"/>
    <x v="10"/>
    <x v="10"/>
    <s v="Majandus"/>
    <s v="Vallavalitsus"/>
    <s v="Riigilõivud "/>
    <n v="250"/>
    <m/>
    <x v="26"/>
    <s v="Maksu-, riigilõivu- ja trahvikulud"/>
    <n v="60"/>
    <x v="5"/>
    <x v="0"/>
    <x v="6"/>
    <x v="0"/>
    <m/>
  </r>
  <r>
    <x v="5"/>
    <x v="11"/>
    <x v="11"/>
    <x v="11"/>
    <s v="Keskkonnakaitse"/>
    <s v="Keskkonna- ja kommunaalnõunik"/>
    <s v="Jäätmekava"/>
    <n v="2000"/>
    <m/>
    <x v="4"/>
    <s v="Kinnistute, hoonete ja ruumide majandamiskulud"/>
    <n v="55"/>
    <x v="0"/>
    <x v="0"/>
    <x v="0"/>
    <x v="0"/>
    <m/>
  </r>
  <r>
    <x v="5"/>
    <x v="11"/>
    <x v="11"/>
    <x v="11"/>
    <s v="Keskkonnakaitse"/>
    <s v="Keskkonna- ja kommunaalnõunik"/>
    <s v="Jäätmevaldajate register EVALD "/>
    <n v="446.40000000000003"/>
    <m/>
    <x v="5"/>
    <s v="Info- ja kommunikatsioonitehnoliigised kulud"/>
    <n v="55"/>
    <x v="0"/>
    <x v="0"/>
    <x v="0"/>
    <x v="0"/>
    <m/>
  </r>
  <r>
    <x v="5"/>
    <x v="12"/>
    <x v="12"/>
    <x v="12"/>
    <s v="Keskkonnakaitse"/>
    <s v="Keskkonna- ja kommunaalnõunik"/>
    <s v="a. Jäätmeringid (ohtlikud jäätmed, sh eterniit); _x000a_b. ebaseaduslikult ladestatud jäätmete koristamine KOV maadelt;_x000a_c. konteinerite tühjendus ja rent (või väljaostmine); Valdavalt püsikulu"/>
    <n v="9053.6"/>
    <m/>
    <x v="4"/>
    <s v="Kinnistute, hoonete ja ruumide majandamiskulud"/>
    <n v="55"/>
    <x v="0"/>
    <x v="0"/>
    <x v="0"/>
    <x v="0"/>
    <m/>
  </r>
  <r>
    <x v="5"/>
    <x v="12"/>
    <x v="12"/>
    <x v="12"/>
    <s v="Keskkonnakaitse"/>
    <s v="Keskkonna- ja kommunaalnõunik"/>
    <s v="GEODATA jäätmehalduse moodul"/>
    <n v="446.40000000000003"/>
    <m/>
    <x v="5"/>
    <s v="Info- ja kommunikatsioonitehnoliigised kulud"/>
    <n v="55"/>
    <x v="0"/>
    <x v="0"/>
    <x v="0"/>
    <x v="0"/>
    <m/>
  </r>
  <r>
    <x v="6"/>
    <x v="13"/>
    <x v="13"/>
    <x v="13"/>
    <s v="Elamu- ja kommunaalmajandus"/>
    <s v="Ehitusnõunik"/>
    <s v="Alevike kanalisatsioon"/>
    <n v="68000"/>
    <m/>
    <x v="12"/>
    <s v="Rajatiste ja hoonete soetamine ja renoveerimine"/>
    <n v="15"/>
    <x v="3"/>
    <x v="3"/>
    <x v="3"/>
    <x v="2"/>
    <m/>
  </r>
  <r>
    <x v="6"/>
    <x v="13"/>
    <x v="13"/>
    <x v="13"/>
    <s v="Elamu- ja kommunaalmajandus"/>
    <s v="Arendusnõunik"/>
    <s v="ÜVK arendamise kava investeeringute kaasrahastamine"/>
    <n v="200000"/>
    <m/>
    <x v="12"/>
    <s v="Rajatiste ja hoonete soetamine ja renoveerimine"/>
    <n v="15"/>
    <x v="3"/>
    <x v="3"/>
    <x v="3"/>
    <x v="2"/>
    <m/>
  </r>
  <r>
    <x v="6"/>
    <x v="14"/>
    <x v="14"/>
    <x v="14"/>
    <s v="Elamu- ja kommunaalmajandus"/>
    <s v="Ehitusnõunik"/>
    <s v="Tänavalguste elektrikulud"/>
    <n v="53000"/>
    <m/>
    <x v="24"/>
    <s v="Rajatiste majandamiskulud"/>
    <n v="55"/>
    <x v="0"/>
    <x v="0"/>
    <x v="0"/>
    <x v="0"/>
    <m/>
  </r>
  <r>
    <x v="6"/>
    <x v="14"/>
    <x v="14"/>
    <x v="14"/>
    <s v="Elamu- ja kommunaalmajandus"/>
    <s v="Ehitusnõunik"/>
    <s v="Tänavalgustuse rekonstrueerimine"/>
    <n v="230000"/>
    <m/>
    <x v="12"/>
    <s v="Rajatiste ja hoonete soetamine ja renoveerimine"/>
    <n v="15"/>
    <x v="3"/>
    <x v="3"/>
    <x v="3"/>
    <x v="2"/>
    <m/>
  </r>
  <r>
    <x v="6"/>
    <x v="14"/>
    <x v="14"/>
    <x v="14"/>
    <s v="Elamu- ja kommunaalmajandus"/>
    <s v="Ehitusnõunik"/>
    <s v="Tänavalgustuse rekonstrueerimine"/>
    <n v="470000"/>
    <s v="Ühtekuuluvusfond"/>
    <x v="12"/>
    <s v="Rajatiste ja hoonete soetamine ja renoveerimine"/>
    <n v="15"/>
    <x v="3"/>
    <x v="3"/>
    <x v="3"/>
    <x v="2"/>
    <m/>
  </r>
  <r>
    <x v="6"/>
    <x v="15"/>
    <x v="15"/>
    <x v="15"/>
    <s v="Elamu- ja kommunaalmajandus"/>
    <s v="Laekvere piirkond"/>
    <s v="Laekvere piirkonna varade kindlustus"/>
    <n v="1100"/>
    <s v="2019 eelarves ei olnud planeeritud, kuid kulu tehti, 2018 kohta info puudub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Töökoja kasutus ja ruumide rent"/>
    <n v="4500"/>
    <s v="Rendime Laekvere PM OÜ-l Kioti traktorile ja seadmetele garaazi, võtame Kioti traktorile diiselkütet, muruniidukite ja Fiat Doblo bensiini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Remondimaterjalid"/>
    <n v="10000"/>
    <s v="Valla korterid, tööliste olmeruumid, avalikud rajatised, bussiootepaviljonid jne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Vesi-ja kanalisastioon"/>
    <n v="1700"/>
    <s v="Salutaguse tee 2 ja Paasvere külamaja -Emajõe Veevärk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Veeautomaat Saku Läte"/>
    <n v="550"/>
    <s v="Salutaguse tee 2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Kohvimasina hooldus"/>
    <n v="120"/>
    <s v="Salutaguse tee 2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Porivaipade rent (Linström)"/>
    <n v="650"/>
    <s v="Salutaguse tee 2 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Keskküte"/>
    <n v="7500"/>
    <s v="Salutaguse tee 2 terve hoone 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Elekter "/>
    <n v="7400"/>
    <s v="Salutaguse tee 2 terve hoone ja Paasvere külamaja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Elektri käidukorraldus"/>
    <n v="9360"/>
    <s v="Enno Mandel Elektritööd teostabLaekvere piirkonna eletripaigaldiste käidukorraldust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Signalisatsiooni hooldus"/>
    <n v="210"/>
    <s v="Salutaguse tee 2 hoone Ennak SEL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Korrashoiu vahendid"/>
    <n v="3500"/>
    <s v="Koristustarbed,luuad, harjad wc paber ,kätepaber jne-olen arvestanud ka Laekvere sauna puhastusvahendite  kulu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Ohtlike puude raie"/>
    <n v="2100"/>
    <s v="Kokku vaja maha võtta ca 14 ohtlikku puud, arboristi teenus  vähemalt 150€ puu, lõhkuda Laekveres hakkide pesasid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Prügivedu "/>
    <n v="600"/>
    <s v="Ragn Sells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Paberikonteinerite tühjendus"/>
    <n v="670"/>
    <s v="Väätsa Prügila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Korteriühistute tasud"/>
    <n v="12000"/>
    <s v="Remondifond, tühjade valla korterite küte, kommunaalid(peab vaatama 2019 tegelikke kulusid) Kelle eelarvest lähevad sotsiaalkorterite Vassivere põik 4-5;4-18;1-1 ja 1-13 kulud?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Amplid, lilled,istikud "/>
    <n v="1300"/>
    <s v="Laekvere parki on vaja istutada uusi puid ca 10 tk 80€ suur potis istik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ELISA TV"/>
    <n v="360"/>
    <s v="Vassivere põik 1-1 ja 1-13  sotsiaalkorterite  elanike TV, mille nad vallale kinni maksavad"/>
    <x v="4"/>
    <s v="Kinnistute, hoonete ja ruumide majandamiskulud"/>
    <n v="55"/>
    <x v="0"/>
    <x v="0"/>
    <x v="0"/>
    <x v="0"/>
    <m/>
  </r>
  <r>
    <x v="6"/>
    <x v="15"/>
    <x v="15"/>
    <x v="15"/>
    <s v="Elamu- ja kommunaalmajandus"/>
    <s v="Laekvere piirkond"/>
    <s v="Kontoritarbed"/>
    <n v="400"/>
    <s v="Tahmad, paber, pliiatsid jne."/>
    <x v="0"/>
    <s v="Administreerimiskulud"/>
    <n v="55"/>
    <x v="0"/>
    <x v="0"/>
    <x v="0"/>
    <x v="0"/>
    <m/>
  </r>
  <r>
    <x v="6"/>
    <x v="15"/>
    <x v="15"/>
    <x v="15"/>
    <s v="Elamu- ja kommunaalmajandus"/>
    <s v="Laekvere piirkond"/>
    <s v="Telefon"/>
    <n v="1020"/>
    <m/>
    <x v="0"/>
    <s v="Administreerimiskulud"/>
    <n v="55"/>
    <x v="0"/>
    <x v="0"/>
    <x v="0"/>
    <x v="0"/>
    <m/>
  </r>
  <r>
    <x v="6"/>
    <x v="15"/>
    <x v="15"/>
    <x v="15"/>
    <s v="Elamu- ja kommunaalmajandus"/>
    <s v="Laekvere piirkond"/>
    <s v="Koolitused"/>
    <n v="350"/>
    <m/>
    <x v="2"/>
    <s v="Koolituskulud"/>
    <n v="55"/>
    <x v="0"/>
    <x v="0"/>
    <x v="0"/>
    <x v="0"/>
    <m/>
  </r>
  <r>
    <x v="6"/>
    <x v="15"/>
    <x v="15"/>
    <x v="15"/>
    <s v="Elamu- ja kommunaalmajandus"/>
    <s v="Laekvere piirkond"/>
    <s v="Peugeo Partner"/>
    <n v="2200"/>
    <s v="kütus"/>
    <x v="3"/>
    <s v="Sõidukite ülalpidamise kulud"/>
    <n v="55"/>
    <x v="0"/>
    <x v="0"/>
    <x v="0"/>
    <x v="0"/>
    <m/>
  </r>
  <r>
    <x v="6"/>
    <x v="15"/>
    <x v="15"/>
    <x v="15"/>
    <s v="Elamu- ja kommunaalmajandus"/>
    <s v="Laekvere piirkond"/>
    <s v="Peugeo Partner"/>
    <n v="700"/>
    <s v="hooldus, rehvid"/>
    <x v="3"/>
    <s v="Sõidukite ülalpidamise kulud"/>
    <n v="55"/>
    <x v="0"/>
    <x v="0"/>
    <x v="0"/>
    <x v="0"/>
    <m/>
  </r>
  <r>
    <x v="6"/>
    <x v="15"/>
    <x v="15"/>
    <x v="15"/>
    <s v="Elamu- ja kommunaalmajandus"/>
    <s v="Laekvere piirkond"/>
    <s v="Peugeo Partner"/>
    <n v="400"/>
    <s v="kindlustus(kasko+liiklus)"/>
    <x v="3"/>
    <s v="Sõidukite ülalpidamise kulud"/>
    <n v="55"/>
    <x v="0"/>
    <x v="0"/>
    <x v="0"/>
    <x v="0"/>
    <m/>
  </r>
  <r>
    <x v="6"/>
    <x v="15"/>
    <x v="15"/>
    <x v="15"/>
    <s v="Elamu- ja kommunaalmajandus"/>
    <s v="Laekvere piirkond"/>
    <s v="Peugeo Partner"/>
    <n v="3024"/>
    <s v="liising"/>
    <x v="3"/>
    <s v="Sõidukite ülalpidamise kulud"/>
    <n v="55"/>
    <x v="0"/>
    <x v="0"/>
    <x v="0"/>
    <x v="0"/>
    <m/>
  </r>
  <r>
    <x v="6"/>
    <x v="15"/>
    <x v="15"/>
    <x v="15"/>
    <s v="Elamu- ja kommunaalmajandus"/>
    <s v="Laekvere piirkond"/>
    <s v="VW Transporter"/>
    <n v="500"/>
    <s v="hooldus, rehvid , tehnoülevaatus"/>
    <x v="3"/>
    <s v="Sõidukite ülalpidamise kulud"/>
    <n v="55"/>
    <x v="0"/>
    <x v="0"/>
    <x v="0"/>
    <x v="0"/>
    <m/>
  </r>
  <r>
    <x v="6"/>
    <x v="15"/>
    <x v="15"/>
    <x v="15"/>
    <s v="Elamu- ja kommunaalmajandus"/>
    <s v="Laekvere piirkond"/>
    <s v="VW Transporter"/>
    <n v="2100"/>
    <s v="kütus"/>
    <x v="3"/>
    <s v="Sõidukite ülalpidamise kulud"/>
    <n v="55"/>
    <x v="0"/>
    <x v="0"/>
    <x v="0"/>
    <x v="0"/>
    <m/>
  </r>
  <r>
    <x v="6"/>
    <x v="15"/>
    <x v="15"/>
    <x v="15"/>
    <s v="Elamu- ja kommunaalmajandus"/>
    <s v="Laekvere piirkond"/>
    <s v="VW Transporter"/>
    <n v="400"/>
    <s v="kindlustus(kasko+liiklus)"/>
    <x v="3"/>
    <s v="Sõidukite ülalpidamise kulud"/>
    <n v="55"/>
    <x v="0"/>
    <x v="0"/>
    <x v="0"/>
    <x v="0"/>
    <m/>
  </r>
  <r>
    <x v="6"/>
    <x v="15"/>
    <x v="15"/>
    <x v="15"/>
    <s v="Elamu- ja kommunaalmajandus"/>
    <s v="Laekvere piirkond"/>
    <s v="Fiat Doblo"/>
    <n v="100"/>
    <s v="liikluskindlustus"/>
    <x v="3"/>
    <s v="Sõidukite ülalpidamise kulud"/>
    <n v="55"/>
    <x v="0"/>
    <x v="0"/>
    <x v="0"/>
    <x v="0"/>
    <m/>
  </r>
  <r>
    <x v="6"/>
    <x v="15"/>
    <x v="15"/>
    <x v="15"/>
    <s v="Elamu- ja kommunaalmajandus"/>
    <s v="Laekvere piirkond"/>
    <s v="Fiat Doblo"/>
    <n v="500"/>
    <s v="hooldus, rehvid ,tehnoülevaatud"/>
    <x v="3"/>
    <s v="Sõidukite ülalpidamise kulud"/>
    <n v="55"/>
    <x v="0"/>
    <x v="0"/>
    <x v="0"/>
    <x v="0"/>
    <m/>
  </r>
  <r>
    <x v="6"/>
    <x v="15"/>
    <x v="15"/>
    <x v="15"/>
    <s v="Elamu- ja kommunaalmajandus"/>
    <s v="Laekvere piirkond"/>
    <s v="Nissan NV300 väikebuss"/>
    <n v="600"/>
    <s v="kindlustus(kasko+liiklus)"/>
    <x v="3"/>
    <s v="Sõidukite ülalpidamise kulud"/>
    <n v="55"/>
    <x v="0"/>
    <x v="0"/>
    <x v="0"/>
    <x v="0"/>
    <m/>
  </r>
  <r>
    <x v="6"/>
    <x v="15"/>
    <x v="15"/>
    <x v="15"/>
    <s v="Elamu- ja kommunaalmajandus"/>
    <s v="Laekvere piirkond"/>
    <s v="Nisssan NV300 väikebuss"/>
    <n v="1500"/>
    <s v="kütus ( viimasel ajal on läinud Muuga-Laekvere kooli eelarvest?"/>
    <x v="3"/>
    <s v="Sõidukite ülalpidamise kulud"/>
    <n v="55"/>
    <x v="0"/>
    <x v="0"/>
    <x v="0"/>
    <x v="0"/>
    <m/>
  </r>
  <r>
    <x v="6"/>
    <x v="15"/>
    <x v="15"/>
    <x v="15"/>
    <s v="Elamu- ja kommunaalmajandus"/>
    <s v="Laekvere piirkond"/>
    <s v="Nissan NV300  väikebuss"/>
    <n v="500"/>
    <s v="hooldus, pesu, klaasipesuvedelik jne"/>
    <x v="3"/>
    <s v="Sõidukite ülalpidamise kulud"/>
    <n v="55"/>
    <x v="0"/>
    <x v="0"/>
    <x v="0"/>
    <x v="0"/>
    <m/>
  </r>
  <r>
    <x v="6"/>
    <x v="15"/>
    <x v="15"/>
    <x v="15"/>
    <s v="Elamu- ja kommunaalmajandus"/>
    <s v="Laekvere piirkond"/>
    <s v="Seadmete ja masinate tarvikud"/>
    <n v="1700"/>
    <s v="Murutraktori rihmad,saagide osad ,ketid,niidukite terad ,kiilrihmad,õlid, filtrid."/>
    <x v="8"/>
    <s v="Inventari kulud, v.a infotehnoloogia ja kaitseotstarbelised kulud"/>
    <n v="55"/>
    <x v="0"/>
    <x v="0"/>
    <x v="0"/>
    <x v="0"/>
    <m/>
  </r>
  <r>
    <x v="6"/>
    <x v="15"/>
    <x v="15"/>
    <x v="15"/>
    <s v="Elamu- ja kommunaalmajandus"/>
    <s v="Laekvere piirkond"/>
    <s v="Hooldus"/>
    <n v="2800"/>
    <s v="Kioti traktor, murutraktor, haagised, niidukid, nende kindlustus, ülevaatused"/>
    <x v="8"/>
    <s v="Inventari kulud, v.a infotehnoloogia ja kaitseotstarbelised kulud"/>
    <n v="55"/>
    <x v="0"/>
    <x v="0"/>
    <x v="0"/>
    <x v="0"/>
    <m/>
  </r>
  <r>
    <x v="6"/>
    <x v="15"/>
    <x v="15"/>
    <x v="15"/>
    <s v="Elamu- ja kommunaalmajandus"/>
    <s v="Laekvere piirkond"/>
    <s v="Traktorile KIOTi niiduki OPTIMAL BP-185  soetamine"/>
    <n v="4000"/>
    <s v="Praegune niiduk amortiseerunud, töötab viimase piiri peal"/>
    <x v="8"/>
    <s v="Inventari kulud, v.a infotehnoloogia ja kaitseotstarbelised kulud"/>
    <n v="55"/>
    <x v="0"/>
    <x v="0"/>
    <x v="0"/>
    <x v="0"/>
    <m/>
  </r>
  <r>
    <x v="6"/>
    <x v="15"/>
    <x v="15"/>
    <x v="15"/>
    <s v="Elamu- ja kommunaalmajandus"/>
    <s v="Laekvere piirkond"/>
    <s v="Talguliste toitlustamine"/>
    <n v="100"/>
    <m/>
    <x v="22"/>
    <s v="Kommunikatsiooni-, kultuuri- ja vaba aja sisustamise kulud"/>
    <n v="55"/>
    <x v="0"/>
    <x v="0"/>
    <x v="0"/>
    <x v="0"/>
    <m/>
  </r>
  <r>
    <x v="6"/>
    <x v="15"/>
    <x v="15"/>
    <x v="15"/>
    <s v="Elamu- ja kommunaalmajandus"/>
    <s v="Laekvere piirkond"/>
    <s v="Tervisekulud"/>
    <n v="2000"/>
    <s v="5 töötajat x 400 eurot aastas"/>
    <x v="1"/>
    <s v="Mitmesugused majanduskulud"/>
    <n v="55"/>
    <x v="0"/>
    <x v="0"/>
    <x v="0"/>
    <x v="0"/>
    <m/>
  </r>
  <r>
    <x v="6"/>
    <x v="15"/>
    <x v="15"/>
    <x v="15"/>
    <s v="Elamu- ja kommunaalmajandus"/>
    <s v="Laekvere piirkond"/>
    <s v="Töötervishoiu kulud"/>
    <n v="500"/>
    <s v="5 töötajat"/>
    <x v="9"/>
    <s v="Meditsiinikulud ja hügieenitarbed"/>
    <n v="55"/>
    <x v="0"/>
    <x v="0"/>
    <x v="0"/>
    <x v="0"/>
    <m/>
  </r>
  <r>
    <x v="6"/>
    <x v="15"/>
    <x v="15"/>
    <x v="15"/>
    <s v="Elamu- ja kommunaalmajandus"/>
    <s v="Laekvere piirkond"/>
    <s v="Tööriided ja töökindad"/>
    <n v="500"/>
    <s v="5 töötajat"/>
    <x v="8"/>
    <s v="Inventari kulud, v.a infotehnoloogia ja kaitseotstarbelised kulud"/>
    <n v="55"/>
    <x v="0"/>
    <x v="0"/>
    <x v="0"/>
    <x v="0"/>
    <m/>
  </r>
  <r>
    <x v="6"/>
    <x v="15"/>
    <x v="15"/>
    <x v="15"/>
    <s v="Elamu- ja kommunaalmajandus"/>
    <s v="Laekvere piirkond"/>
    <s v="Prillid"/>
    <n v="200"/>
    <s v="2 töötajat"/>
    <x v="9"/>
    <s v="Meditsiinikulud ja hügieenitarbed"/>
    <n v="55"/>
    <x v="0"/>
    <x v="0"/>
    <x v="0"/>
    <x v="0"/>
    <m/>
  </r>
  <r>
    <x v="6"/>
    <x v="15"/>
    <x v="15"/>
    <x v="15"/>
    <s v="Elamu- ja kommunaalmajandus"/>
    <s v="Laekvere piirkond"/>
    <s v="Teeme ära talgud "/>
    <n v="400"/>
    <m/>
    <x v="22"/>
    <s v="Kommunikatsiooni-, kultuuri- ja vaba aja sisustamise kulud"/>
    <n v="55"/>
    <x v="0"/>
    <x v="0"/>
    <x v="0"/>
    <x v="0"/>
    <m/>
  </r>
  <r>
    <x v="6"/>
    <x v="15"/>
    <x v="15"/>
    <x v="15"/>
    <s v="Elamu- ja kommunaalmajandus"/>
    <s v="Laekvere piirkond"/>
    <s v="Transport"/>
    <n v="6000"/>
    <s v="M.K.Reis-x teenindatav reedene Venevere-Paasvere-Vassivere poe liin,surnuaaipühal ja jõululaupäeval buss Simuna surnuaiale(FIE Teet Põldoja)"/>
    <x v="1"/>
    <s v="Mitmesugused majanduskulud"/>
    <n v="55"/>
    <x v="0"/>
    <x v="0"/>
    <x v="0"/>
    <x v="0"/>
    <m/>
  </r>
  <r>
    <x v="6"/>
    <x v="15"/>
    <x v="15"/>
    <x v="15"/>
    <s v="Elamu- ja kommunaalmajandus"/>
    <s v="Laekvere piirkond"/>
    <s v="Internetiühendus"/>
    <n v="3050"/>
    <s v="Kõigi Laekvere alevikus valla kuuluvate  hoonete internetiühendus jookseb läbi Salutaguse tee 2 teeninduskeskuse, kust toimub hargnemine"/>
    <x v="5"/>
    <s v="Info- ja kommunikatsioonitehnoliigised kulud"/>
    <n v="55"/>
    <x v="0"/>
    <x v="0"/>
    <x v="0"/>
    <x v="0"/>
    <m/>
  </r>
  <r>
    <x v="6"/>
    <x v="15"/>
    <x v="15"/>
    <x v="15"/>
    <s v="Elamu- ja kommunaalmajandus"/>
    <s v="Laekvere piirkond"/>
    <s v="Riistvara soetamine"/>
    <n v="300"/>
    <s v="Ruuter jne."/>
    <x v="5"/>
    <s v="Info- ja kommunikatsioonitehnoliigised kulud"/>
    <n v="55"/>
    <x v="0"/>
    <x v="0"/>
    <x v="0"/>
    <x v="0"/>
    <m/>
  </r>
  <r>
    <x v="6"/>
    <x v="15"/>
    <x v="15"/>
    <x v="15"/>
    <s v="Elamu- ja kommunaalmajandus"/>
    <s v="Laekvere piirkond"/>
    <s v="Laekvere kompostimisväljaku rajamine"/>
    <n v="5000"/>
    <s v="maa soetus"/>
    <x v="27"/>
    <s v="Maa soetamine"/>
    <n v="15"/>
    <x v="3"/>
    <x v="3"/>
    <x v="3"/>
    <x v="2"/>
    <m/>
  </r>
  <r>
    <x v="6"/>
    <x v="16"/>
    <x v="16"/>
    <x v="15"/>
    <s v="Elamu- ja kommunaalmajandus"/>
    <s v="Rägavere piirkond"/>
    <s v="Rägavere piirkonna varade kindlustus"/>
    <n v="814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Rägavere piirkond"/>
    <s v="Remondimaterjalid"/>
    <n v="10600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Rägavere piirkond"/>
    <s v="Vesi-ja kanalisastioon"/>
    <n v="350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Rägavere piirkond"/>
    <s v="Veeautomaat Saku Läte"/>
    <n v="110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Rägavere piirkond"/>
    <s v="Korrashoiu vahendid"/>
    <n v="200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Rägavere piirkond"/>
    <s v="Ohtlike puude raie, niitmis teenus jm"/>
    <n v="500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Rägavere piirkond"/>
    <s v="Prügivedu "/>
    <n v="150"/>
    <s v=" Lääne-Viru Jäätmekeskus"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Rägavere piirkond"/>
    <s v="Korteriühistute tasud"/>
    <n v="540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Rägavere piirkond"/>
    <s v="Amplid, lilled,istikud "/>
    <n v="200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Rägavere piirkond"/>
    <s v="Valveteenus"/>
    <n v="116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Rägavere piirkond"/>
    <s v="Katla hooldus, korstnapühkija"/>
    <n v="300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Rägavere piirkond"/>
    <s v="Pelleti ost"/>
    <n v="4000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Rägavere piirkond"/>
    <s v="Valve- ja tuletõrje signalisatsiooni hooldus"/>
    <n v="570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Rägavere piirkond"/>
    <s v="Elekter"/>
    <n v="3000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Rägavere piirkond"/>
    <s v="Kontoritarbed"/>
    <n v="300"/>
    <s v="Tahmad, paber, pliiatsid jne."/>
    <x v="0"/>
    <s v="Administreerimiskulud"/>
    <n v="55"/>
    <x v="0"/>
    <x v="0"/>
    <x v="0"/>
    <x v="0"/>
    <m/>
  </r>
  <r>
    <x v="6"/>
    <x v="16"/>
    <x v="16"/>
    <x v="15"/>
    <s v="Elamu- ja kommunaalmajandus"/>
    <s v="Rägavere piirkond"/>
    <s v="Telefon"/>
    <n v="26.4"/>
    <s v="mobiiltelefon 5783 3232"/>
    <x v="0"/>
    <s v="Administreerimiskulud"/>
    <n v="55"/>
    <x v="0"/>
    <x v="0"/>
    <x v="0"/>
    <x v="0"/>
    <m/>
  </r>
  <r>
    <x v="6"/>
    <x v="16"/>
    <x v="16"/>
    <x v="15"/>
    <s v="Elamu- ja kommunaalmajandus"/>
    <s v="Rägavere piirkond"/>
    <s v="Koolitused"/>
    <n v="200"/>
    <m/>
    <x v="2"/>
    <s v="Koolituskulud"/>
    <n v="55"/>
    <x v="0"/>
    <x v="0"/>
    <x v="0"/>
    <x v="0"/>
    <m/>
  </r>
  <r>
    <x v="6"/>
    <x v="16"/>
    <x v="16"/>
    <x v="15"/>
    <s v="Elamu- ja kommunaalmajandus"/>
    <s v="Rägavere piirkond"/>
    <s v="Väikebussi kütus"/>
    <n v="3500"/>
    <s v="kütus"/>
    <x v="3"/>
    <s v="Sõidukite ülalpidamise kulud"/>
    <n v="55"/>
    <x v="0"/>
    <x v="0"/>
    <x v="0"/>
    <x v="0"/>
    <m/>
  </r>
  <r>
    <x v="6"/>
    <x v="16"/>
    <x v="16"/>
    <x v="15"/>
    <s v="Elamu- ja kommunaalmajandus"/>
    <s v="Rägavere piirkond"/>
    <s v="Väikebuss"/>
    <n v="8000"/>
    <s v="liising, kasko, liiklus, tarvikud"/>
    <x v="3"/>
    <s v="Sõidukite ülalpidamise kulud"/>
    <n v="55"/>
    <x v="0"/>
    <x v="0"/>
    <x v="0"/>
    <x v="0"/>
    <m/>
  </r>
  <r>
    <x v="6"/>
    <x v="16"/>
    <x v="16"/>
    <x v="15"/>
    <s v="Elamu- ja kommunaalmajandus"/>
    <s v="Rägavere piirkond"/>
    <s v="Isikliku sõiduauto komp."/>
    <n v="3300"/>
    <m/>
    <x v="3"/>
    <s v="Sõidukite ülalpidamise kulud"/>
    <n v="55"/>
    <x v="0"/>
    <x v="0"/>
    <x v="0"/>
    <x v="0"/>
    <m/>
  </r>
  <r>
    <x v="6"/>
    <x v="16"/>
    <x v="16"/>
    <x v="15"/>
    <s v="Elamu- ja kommunaalmajandus"/>
    <s v="Rägavere piirkond"/>
    <s v="Seadmete ja masinate tarvikud"/>
    <n v="900"/>
    <s v="Murutraktori rihmad,saagide osad ,ketid,niidukite terad ,kiilrihmad,õlid, filtrid hooldus"/>
    <x v="8"/>
    <s v="Inventari kulud, v.a infotehnoloogia ja kaitseotstarbelised kulud"/>
    <n v="55"/>
    <x v="0"/>
    <x v="0"/>
    <x v="0"/>
    <x v="0"/>
    <m/>
  </r>
  <r>
    <x v="6"/>
    <x v="16"/>
    <x v="16"/>
    <x v="15"/>
    <s v="Elamu- ja kommunaalmajandus"/>
    <s v="Rägavere piirkond"/>
    <s v="Murutraktori, trimmerite kütus"/>
    <n v="2000"/>
    <m/>
    <x v="8"/>
    <s v="Inventari kulud, v.a infotehnoloogia ja kaitseotstarbelised kulud"/>
    <n v="55"/>
    <x v="0"/>
    <x v="0"/>
    <x v="0"/>
    <x v="0"/>
    <m/>
  </r>
  <r>
    <x v="6"/>
    <x v="16"/>
    <x v="16"/>
    <x v="15"/>
    <s v="Elamu- ja kommunaalmajandus"/>
    <s v="Rägavere piirkond"/>
    <s v="Internetiühendus"/>
    <n v="381.6"/>
    <s v="Andigo OÜ internet, kaks lautelefoni"/>
    <x v="5"/>
    <s v="Info- ja kommunikatsioonitehnoliigised kulud"/>
    <n v="55"/>
    <x v="0"/>
    <x v="0"/>
    <x v="0"/>
    <x v="0"/>
    <m/>
  </r>
  <r>
    <x v="6"/>
    <x v="17"/>
    <x v="17"/>
    <x v="15"/>
    <s v="Elamu- ja kommunaalmajandus"/>
    <s v="Roela piirkond"/>
    <s v="Heakorratööd"/>
    <n v="12950"/>
    <s v="Fixsum Service-muruniitmine,Vaarmets,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Roela piirkond"/>
    <s v="Prügiveod piirkonna"/>
    <n v="150"/>
    <m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Roela piirkond"/>
    <s v="Heakorravahendid"/>
    <n v="2000"/>
    <s v="kütus, õli, jõhv trimmerile,luuad, rehad,labidad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Roela piirkond"/>
    <s v="Istikud, suvelilled"/>
    <n v="500"/>
    <m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Roela piirkond"/>
    <s v="Elekter"/>
    <n v="3000"/>
    <s v="Korterid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Roela piirkond"/>
    <s v="Vesi- ja kanalisatsioon"/>
    <n v="600"/>
    <s v="Korterid (roela soojus)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Roela piirkond"/>
    <s v="Prügivedu"/>
    <n v="160"/>
    <s v="Korter (Aida)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Roela piirkond"/>
    <s v="Prügivedu (konteineri rent)"/>
    <n v="155"/>
    <s v="Korter (Aida)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Roela piirkond"/>
    <s v="Korstnapühkija"/>
    <n v="250"/>
    <s v="Korter (Aida)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Roela piirkond"/>
    <s v="KÜ kommunaalmaksed"/>
    <n v="13500"/>
    <m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Roela piirkond"/>
    <s v="Kõnnitee truup"/>
    <n v="5000"/>
    <m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Roela piirkond"/>
    <s v="Teadete tahvlid"/>
    <n v="4800"/>
    <m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Tudu piirkond"/>
    <s v="Elekter"/>
    <n v="2500"/>
    <s v="Korterid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Tudu piirkond"/>
    <s v="Korstnapühkimisteenus"/>
    <n v="400"/>
    <s v="Korterid, katlamaja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Tudu piirkond"/>
    <s v="Prügivedu"/>
    <n v="1200"/>
    <s v="Korterid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Tudu piirkond"/>
    <s v="Niitmine"/>
    <n v="14300"/>
    <s v="FIE Salin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Tudu piirkond"/>
    <s v="Niitmine "/>
    <n v="6500"/>
    <s v="Ehitme OÜ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Tudu piirkond"/>
    <s v="Rahvamaja küttepuud"/>
    <n v="3600"/>
    <m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Tudu piirkond"/>
    <s v="Istikud, suvelilled"/>
    <n v="300"/>
    <m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Tudu piirkond"/>
    <s v="Heakorravahendid"/>
    <n v="1500"/>
    <s v="rehad, labidad, küte, õli, kindad, jne 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Tudu piirkond"/>
    <s v="Trimmer"/>
    <n v="500"/>
    <m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Tudu piirkond"/>
    <s v="Telia"/>
    <n v="580"/>
    <m/>
    <x v="5"/>
    <s v="Info- ja kommunikatsioonitehnoliigised kulud"/>
    <n v="55"/>
    <x v="0"/>
    <x v="0"/>
    <x v="0"/>
    <x v="0"/>
    <m/>
  </r>
  <r>
    <x v="6"/>
    <x v="17"/>
    <x v="17"/>
    <x v="15"/>
    <s v="Elamu- ja kommunaalmajandus"/>
    <s v="Viru-Jaagupi piirkond"/>
    <s v="Prügivedu"/>
    <n v="235"/>
    <s v="Kesk 15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Konteineri rent"/>
    <n v="92.4"/>
    <s v="Kesk 15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Vesi- ja kanalisatsioon"/>
    <n v="1400"/>
    <s v="Kesk 15, Koolimaja, saun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Prügivedu"/>
    <n v="84"/>
    <s v="Kooli tee 7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Prügivedu"/>
    <n v="350"/>
    <s v="Piirkonna prügi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Koolimaja küttepuud"/>
    <n v="3600"/>
    <m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Heakorratööd"/>
    <n v="3000"/>
    <m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Elekter"/>
    <n v="18000"/>
    <m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Korrashoiuvahendid"/>
    <n v="1000"/>
    <s v="luuad, rehad, puh.vahendid, paber jne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Valvekulud"/>
    <n v="84"/>
    <m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Korrashoiuvahendite rendid, õlid"/>
    <n v="1500"/>
    <s v="töövahendite hooldus, tarvikud, küte, õli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Remondifond"/>
    <n v="314.32"/>
    <s v="Kesk 21 + niitmine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Tuletõrje süsteem (Telia kuutasu)"/>
    <n v="14.399999999999999"/>
    <s v="Kooli tee 7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Tuletõrje süsteemi hooldus"/>
    <n v="384"/>
    <s v="Kooli tee 7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Istikud, ohtlikud puud"/>
    <n v="1500"/>
    <m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Teadete tahvlid"/>
    <n v="3200"/>
    <s v="2tk"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Korstnapühkija"/>
    <n v="300"/>
    <m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Pingid"/>
    <n v="6000"/>
    <m/>
    <x v="4"/>
    <s v="Kinnistute, hoonete ja ruumide majandamiskulud"/>
    <n v="55"/>
    <x v="0"/>
    <x v="0"/>
    <x v="0"/>
    <x v="0"/>
    <m/>
  </r>
  <r>
    <x v="6"/>
    <x v="17"/>
    <x v="17"/>
    <x v="15"/>
    <s v="Elamu- ja kommunaalmajandus"/>
    <s v="Viru-Jaagupi piirkond"/>
    <s v="Telefon, internet"/>
    <n v="300"/>
    <m/>
    <x v="0"/>
    <s v="Administreerimiskulud"/>
    <n v="55"/>
    <x v="0"/>
    <x v="0"/>
    <x v="0"/>
    <x v="0"/>
    <m/>
  </r>
  <r>
    <x v="6"/>
    <x v="17"/>
    <x v="17"/>
    <x v="15"/>
    <s v="Elamu- ja kommunaalmajandus"/>
    <s v="Viru-Jaagupi piirkond"/>
    <s v="Isikliku sõiduauto komp."/>
    <n v="3300"/>
    <s v="12 kuud*300"/>
    <x v="3"/>
    <s v="Sõidukite ülalpidamise kulud"/>
    <n v="55"/>
    <x v="0"/>
    <x v="0"/>
    <x v="0"/>
    <x v="0"/>
    <m/>
  </r>
  <r>
    <x v="6"/>
    <x v="17"/>
    <x v="17"/>
    <x v="15"/>
    <s v="Elamu- ja kommunaalmajandus"/>
    <s v="Viru-Jaagupi piirkond"/>
    <s v="Haagise kindlustus"/>
    <n v="30"/>
    <m/>
    <x v="3"/>
    <s v="Sõidukite ülalpidamise kulud"/>
    <n v="55"/>
    <x v="0"/>
    <x v="0"/>
    <x v="0"/>
    <x v="0"/>
    <m/>
  </r>
  <r>
    <x v="6"/>
    <x v="17"/>
    <x v="17"/>
    <x v="15"/>
    <s v="Elamu- ja kommunaalmajandus"/>
    <s v="Viru-Jaagupi piirkond"/>
    <s v="Haagise pisiremondid"/>
    <n v="250"/>
    <m/>
    <x v="3"/>
    <s v="Sõidukite ülalpidamise kulud"/>
    <n v="55"/>
    <x v="0"/>
    <x v="0"/>
    <x v="0"/>
    <x v="0"/>
    <m/>
  </r>
  <r>
    <x v="6"/>
    <x v="17"/>
    <x v="17"/>
    <x v="15"/>
    <s v="Elamu- ja kommunaalmajandus"/>
    <s v="Viru-Jaagupi piirkond"/>
    <s v="Haagise rehvid"/>
    <n v="160"/>
    <m/>
    <x v="3"/>
    <s v="Sõidukite ülalpidamise kulud"/>
    <n v="55"/>
    <x v="0"/>
    <x v="0"/>
    <x v="0"/>
    <x v="0"/>
    <m/>
  </r>
  <r>
    <x v="6"/>
    <x v="17"/>
    <x v="17"/>
    <x v="15"/>
    <s v="Elamu- ja kommunaalmajandus"/>
    <s v="Viru-Jaagupi piirkond"/>
    <s v="PEUGEOT PARTNER 648BLS kütus"/>
    <n v="3600"/>
    <m/>
    <x v="3"/>
    <s v="Sõidukite ülalpidamise kulud"/>
    <n v="55"/>
    <x v="0"/>
    <x v="0"/>
    <x v="0"/>
    <x v="0"/>
    <m/>
  </r>
  <r>
    <x v="6"/>
    <x v="17"/>
    <x v="17"/>
    <x v="15"/>
    <s v="Elamu- ja kommunaalmajandus"/>
    <s v="Viru-Jaagupi piirkond"/>
    <s v="PEUGEOT PARTNER 648BLS kindlustus"/>
    <n v="70"/>
    <m/>
    <x v="3"/>
    <s v="Sõidukite ülalpidamise kulud"/>
    <n v="55"/>
    <x v="0"/>
    <x v="0"/>
    <x v="0"/>
    <x v="0"/>
    <m/>
  </r>
  <r>
    <x v="6"/>
    <x v="17"/>
    <x v="17"/>
    <x v="15"/>
    <s v="Elamu- ja kommunaalmajandus"/>
    <s v="Viru-Jaagupi piirkond"/>
    <s v="PEUGEOT PARTNER 648BLS rehvid"/>
    <n v="400"/>
    <m/>
    <x v="3"/>
    <s v="Sõidukite ülalpidamise kulud"/>
    <n v="55"/>
    <x v="0"/>
    <x v="0"/>
    <x v="0"/>
    <x v="0"/>
    <m/>
  </r>
  <r>
    <x v="6"/>
    <x v="17"/>
    <x v="17"/>
    <x v="15"/>
    <s v="Elamu- ja kommunaalmajandus"/>
    <s v="Viru-Jaagupi piirkond"/>
    <s v="PEUGEOT PARTNER 648BLS pisiremondid, ülevaatused"/>
    <n v="800"/>
    <m/>
    <x v="3"/>
    <s v="Sõidukite ülalpidamise kulud"/>
    <n v="55"/>
    <x v="0"/>
    <x v="0"/>
    <x v="0"/>
    <x v="0"/>
    <m/>
  </r>
  <r>
    <x v="6"/>
    <x v="17"/>
    <x v="17"/>
    <x v="15"/>
    <s v="Elamu- ja kommunaalmajandus"/>
    <s v="Viru-Jaagupi piirkond"/>
    <s v="tervise ja spordi edendamine"/>
    <n v="400"/>
    <m/>
    <x v="1"/>
    <s v="Mitmesugused majanduskulud"/>
    <n v="55"/>
    <x v="0"/>
    <x v="0"/>
    <x v="0"/>
    <x v="0"/>
    <m/>
  </r>
  <r>
    <x v="6"/>
    <x v="17"/>
    <x v="17"/>
    <x v="15"/>
    <s v="Elamu- ja kommunaalmajandus"/>
    <s v="Viru-Jaagupi piirkond"/>
    <s v="Katuse vahetus"/>
    <n v="7000"/>
    <s v="Kesk 15"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Vinni-Pajusti piirkond"/>
    <s v="Korterite kommunaalmaksed"/>
    <n v="21000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Vinni-Pajusti piirkond"/>
    <s v="valvekaameratega seotud kulud"/>
    <n v="192"/>
    <s v="Telia"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Vinni-Pajusti piirkond"/>
    <s v="Suuremad niitmised"/>
    <n v="1600"/>
    <s v="Tammikus OÜ"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Vinni-Pajusti piirkond"/>
    <s v="Prügikonteinerite rent"/>
    <n v="97.199999999999989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Vinni-Pajusti piirkond"/>
    <s v="Prügivedu, konteinerite rent"/>
    <n v="2200"/>
    <s v="Jäätmekeskus"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Vinni-Pajusti piirkond"/>
    <s v="Elektri tarbimine"/>
    <n v="9000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Vinni-Pajusti piirkond"/>
    <s v="Heakorra tööde tarbitav kütus"/>
    <n v="4500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Vinni-Pajusti piirkond"/>
    <s v="Muud kinnistute ja hoonetega seotud kulud"/>
    <n v="20000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Vinni-Pajusti piirkond"/>
    <s v="Pingid"/>
    <n v="6000"/>
    <m/>
    <x v="4"/>
    <s v="Kinnistute, hoonete ja ruumide majandamiskulud"/>
    <n v="55"/>
    <x v="0"/>
    <x v="0"/>
    <x v="0"/>
    <x v="0"/>
    <m/>
  </r>
  <r>
    <x v="6"/>
    <x v="16"/>
    <x v="16"/>
    <x v="15"/>
    <s v="Elamu- ja kommunaalmajandus"/>
    <s v="Arendusnõunik"/>
    <s v="Vinni liiklusväljaku joonimine"/>
    <n v="2000"/>
    <m/>
    <x v="24"/>
    <s v="Rajatiste majandamiskulud"/>
    <n v="55"/>
    <x v="0"/>
    <x v="0"/>
    <x v="0"/>
    <x v="0"/>
    <m/>
  </r>
  <r>
    <x v="6"/>
    <x v="16"/>
    <x v="16"/>
    <x v="15"/>
    <s v="Elamu- ja kommunaalmajandus"/>
    <s v="Vinni-Pajusti piirkond"/>
    <s v="sideteenused"/>
    <n v="255.84"/>
    <m/>
    <x v="0"/>
    <s v="Administreerimiskulud"/>
    <n v="55"/>
    <x v="0"/>
    <x v="0"/>
    <x v="0"/>
    <x v="0"/>
    <m/>
  </r>
  <r>
    <x v="6"/>
    <x v="16"/>
    <x v="16"/>
    <x v="15"/>
    <s v="Elamu- ja kommunaalmajandus"/>
    <s v="Vinni-Pajusti piirkond"/>
    <s v="Isikliku sõiduauto komp."/>
    <n v="650"/>
    <s v="abipolitseid"/>
    <x v="3"/>
    <s v="Sõidukite ülalpidamise kulud"/>
    <n v="55"/>
    <x v="0"/>
    <x v="0"/>
    <x v="0"/>
    <x v="0"/>
    <m/>
  </r>
  <r>
    <x v="6"/>
    <x v="16"/>
    <x v="16"/>
    <x v="15"/>
    <s v="Elamu- ja kommunaalmajandus"/>
    <s v="Vinni-Pajusti piirkond"/>
    <s v="Haagiste, sõidukite kindlustused"/>
    <n v="1670"/>
    <m/>
    <x v="3"/>
    <s v="Sõidukite ülalpidamise kulud"/>
    <n v="55"/>
    <x v="0"/>
    <x v="0"/>
    <x v="0"/>
    <x v="0"/>
    <m/>
  </r>
  <r>
    <x v="6"/>
    <x v="16"/>
    <x v="16"/>
    <x v="15"/>
    <s v="Elamu- ja kommunaalmajandus"/>
    <s v="Vinni-Pajusti piirkond"/>
    <s v="sõidupäeviku teenus"/>
    <n v="1998"/>
    <m/>
    <x v="3"/>
    <s v="Sõidukite ülalpidamise kulud"/>
    <n v="55"/>
    <x v="0"/>
    <x v="0"/>
    <x v="0"/>
    <x v="0"/>
    <m/>
  </r>
  <r>
    <x v="6"/>
    <x v="16"/>
    <x v="16"/>
    <x v="15"/>
    <s v="Elamu- ja kommunaalmajandus"/>
    <s v="Vinni-Pajusti piirkond"/>
    <s v="ülevaatus"/>
    <n v="210"/>
    <m/>
    <x v="3"/>
    <s v="Sõidukite ülalpidamise kulud"/>
    <n v="55"/>
    <x v="0"/>
    <x v="0"/>
    <x v="0"/>
    <x v="0"/>
    <m/>
  </r>
  <r>
    <x v="6"/>
    <x v="16"/>
    <x v="16"/>
    <x v="15"/>
    <s v="Elamu- ja kommunaalmajandus"/>
    <s v="Vinni-Pajusti piirkond"/>
    <s v="liising"/>
    <n v="2607.2400000000002"/>
    <s v="Silberauto"/>
    <x v="3"/>
    <s v="Sõidukite ülalpidamise kulud"/>
    <n v="55"/>
    <x v="0"/>
    <x v="0"/>
    <x v="0"/>
    <x v="0"/>
    <m/>
  </r>
  <r>
    <x v="6"/>
    <x v="16"/>
    <x v="16"/>
    <x v="15"/>
    <s v="Elamu- ja kommunaalmajandus"/>
    <s v="Vinni-Pajusti piirkond"/>
    <s v="liisingauto remont"/>
    <n v="1400"/>
    <s v="Silberauto liisingauto remont"/>
    <x v="3"/>
    <s v="Sõidukite ülalpidamise kulud"/>
    <n v="55"/>
    <x v="0"/>
    <x v="0"/>
    <x v="0"/>
    <x v="0"/>
    <m/>
  </r>
  <r>
    <x v="6"/>
    <x v="16"/>
    <x v="16"/>
    <x v="15"/>
    <s v="Elamu- ja kommunaalmajandus"/>
    <s v="Vinni-Pajusti piirkond"/>
    <s v="kütus"/>
    <n v="13000"/>
    <m/>
    <x v="3"/>
    <s v="Sõidukite ülalpidamise kulud"/>
    <n v="55"/>
    <x v="0"/>
    <x v="0"/>
    <x v="0"/>
    <x v="0"/>
    <m/>
  </r>
  <r>
    <x v="6"/>
    <x v="16"/>
    <x v="16"/>
    <x v="15"/>
    <s v="Elamu- ja kommunaalmajandus"/>
    <s v="Vinni-Pajusti piirkond"/>
    <s v="sõidukite remondi jms kulud"/>
    <n v="3000"/>
    <m/>
    <x v="3"/>
    <s v="Sõidukite ülalpidamise kulud"/>
    <n v="55"/>
    <x v="0"/>
    <x v="0"/>
    <x v="0"/>
    <x v="0"/>
    <m/>
  </r>
  <r>
    <x v="6"/>
    <x v="16"/>
    <x v="16"/>
    <x v="15"/>
    <s v="Elamu- ja kommunaalmajandus"/>
    <s v="Vinni-Pajusti piirkond"/>
    <s v="muud sõidukitega seotud kulud"/>
    <n v="4000"/>
    <m/>
    <x v="3"/>
    <s v="Sõidukite ülalpidamise kulud"/>
    <n v="55"/>
    <x v="0"/>
    <x v="0"/>
    <x v="0"/>
    <x v="0"/>
    <m/>
  </r>
  <r>
    <x v="6"/>
    <x v="16"/>
    <x v="16"/>
    <x v="15"/>
    <s v="Elamu- ja kommunaalmajandus"/>
    <s v="Vinni-Pajusti piirkond"/>
    <s v="Tööriistad"/>
    <n v="6000"/>
    <m/>
    <x v="8"/>
    <s v="Inventari kulud, v.a infotehnoloogia ja kaitseotstarbelised kulud"/>
    <n v="55"/>
    <x v="0"/>
    <x v="0"/>
    <x v="0"/>
    <x v="0"/>
    <m/>
  </r>
  <r>
    <x v="6"/>
    <x v="18"/>
    <x v="18"/>
    <x v="15"/>
    <s v="Elamu- ja kommunaalmajandus"/>
    <s v="Viru-Jaagupi piirkonna juht"/>
    <s v="Küttepuud"/>
    <n v="8600"/>
    <m/>
    <x v="4"/>
    <s v="Kinnistute, hoonete ja ruumide majandamiskulud"/>
    <n v="55"/>
    <x v="0"/>
    <x v="0"/>
    <x v="0"/>
    <x v="0"/>
    <m/>
  </r>
  <r>
    <x v="6"/>
    <x v="18"/>
    <x v="18"/>
    <x v="15"/>
    <s v="Elamu- ja kommunaalmajandus"/>
    <s v="Viru-Jaagupi piirkonna juht"/>
    <s v="Prügivedu"/>
    <n v="35"/>
    <m/>
    <x v="4"/>
    <s v="Kinnistute, hoonete ja ruumide majandamiskulud"/>
    <n v="55"/>
    <x v="0"/>
    <x v="0"/>
    <x v="0"/>
    <x v="0"/>
    <m/>
  </r>
  <r>
    <x v="6"/>
    <x v="18"/>
    <x v="18"/>
    <x v="15"/>
    <s v="Elamu- ja kommunaalmajandus"/>
    <s v="Viru-Jaagupi piirkonna juht"/>
    <s v="Vesi- ja kanalisatsioon"/>
    <n v="800"/>
    <m/>
    <x v="4"/>
    <s v="Kinnistute, hoonete ja ruumide majandamiskulud"/>
    <n v="55"/>
    <x v="0"/>
    <x v="0"/>
    <x v="0"/>
    <x v="0"/>
    <m/>
  </r>
  <r>
    <x v="6"/>
    <x v="18"/>
    <x v="18"/>
    <x v="15"/>
    <s v="Elamu- ja kommunaalmajandus"/>
    <s v="Viru-Jaagupi piirkonna juht"/>
    <s v="Elekter"/>
    <n v="1700"/>
    <m/>
    <x v="4"/>
    <s v="Kinnistute, hoonete ja ruumide majandamiskulud"/>
    <n v="55"/>
    <x v="0"/>
    <x v="0"/>
    <x v="0"/>
    <x v="0"/>
    <m/>
  </r>
  <r>
    <x v="6"/>
    <x v="18"/>
    <x v="18"/>
    <x v="15"/>
    <s v="Elamu- ja kommunaalmajandus"/>
    <s v="Viru-Jaagupi piirkonna juht"/>
    <s v="Pisiremonttööd"/>
    <n v="4500"/>
    <m/>
    <x v="4"/>
    <s v="Kinnistute, hoonete ja ruumide majandamiskulud"/>
    <n v="55"/>
    <x v="0"/>
    <x v="0"/>
    <x v="0"/>
    <x v="0"/>
    <m/>
  </r>
  <r>
    <x v="6"/>
    <x v="18"/>
    <x v="18"/>
    <x v="15"/>
    <s v="Elamu- ja kommunaalmajandus"/>
    <s v="Viru-Jaagupi piirkonna juht"/>
    <s v="Korrashoiuvahendid"/>
    <n v="600"/>
    <m/>
    <x v="4"/>
    <s v="Kinnistute, hoonete ja ruumide majandamiskulud"/>
    <n v="55"/>
    <x v="0"/>
    <x v="0"/>
    <x v="0"/>
    <x v="0"/>
    <m/>
  </r>
  <r>
    <x v="6"/>
    <x v="18"/>
    <x v="18"/>
    <x v="15"/>
    <s v="Elamu- ja kommunaalmajandus"/>
    <s v="Viru-Jaagupi piirkonna juht"/>
    <s v="Korstnapühkimisteenus"/>
    <n v="225"/>
    <m/>
    <x v="4"/>
    <s v="Kinnistute, hoonete ja ruumide majandamiskulud"/>
    <n v="55"/>
    <x v="0"/>
    <x v="0"/>
    <x v="0"/>
    <x v="0"/>
    <m/>
  </r>
  <r>
    <x v="6"/>
    <x v="19"/>
    <x v="19"/>
    <x v="15"/>
    <s v="Elamu- ja kommunaalmajandus"/>
    <s v="Viru-Jaagupi piirkonna juht"/>
    <s v="Välikäimlad"/>
    <n v="624"/>
    <s v="Viru-Jaagupi"/>
    <x v="4"/>
    <s v="Kinnistute, hoonete ja ruumide majandamiskulud"/>
    <n v="55"/>
    <x v="0"/>
    <x v="0"/>
    <x v="0"/>
    <x v="0"/>
    <m/>
  </r>
  <r>
    <x v="6"/>
    <x v="19"/>
    <x v="19"/>
    <x v="15"/>
    <s v="Elamu- ja kommunaalmajandus"/>
    <s v="Viru-Jaagupi piirkonna juht"/>
    <s v="Prügivedu"/>
    <n v="3000"/>
    <m/>
    <x v="4"/>
    <s v="Kinnistute, hoonete ja ruumide majandamiskulud"/>
    <n v="55"/>
    <x v="0"/>
    <x v="0"/>
    <x v="0"/>
    <x v="0"/>
    <m/>
  </r>
  <r>
    <x v="6"/>
    <x v="19"/>
    <x v="19"/>
    <x v="15"/>
    <s v="Elamu- ja kommunaalmajandus"/>
    <s v="Viru-Jaagupi piirkonna juht"/>
    <s v="Konteineri rent"/>
    <n v="411"/>
    <s v="Tudu 2 konteinerit (Ragn Sells, Jäätmekeskus)"/>
    <x v="4"/>
    <s v="Kinnistute, hoonete ja ruumide majandamiskulud"/>
    <n v="55"/>
    <x v="0"/>
    <x v="0"/>
    <x v="0"/>
    <x v="0"/>
    <m/>
  </r>
  <r>
    <x v="6"/>
    <x v="19"/>
    <x v="19"/>
    <x v="15"/>
    <s v="Elamu- ja kommunaalmajandus"/>
    <s v="Viru-Jaagupi piirkonna juht"/>
    <s v="Liiv"/>
    <n v="1000"/>
    <m/>
    <x v="4"/>
    <s v="Kinnistute, hoonete ja ruumide majandamiskulud"/>
    <n v="55"/>
    <x v="0"/>
    <x v="0"/>
    <x v="0"/>
    <x v="0"/>
    <m/>
  </r>
  <r>
    <x v="6"/>
    <x v="19"/>
    <x v="19"/>
    <x v="15"/>
    <s v="Elamu- ja kommunaalmajandus"/>
    <s v="Viru-Jaagupi piirkonna juht"/>
    <s v="Tõrma kalmistu haldamine"/>
    <n v="2400"/>
    <m/>
    <x v="4"/>
    <s v="Kinnistute, hoonete ja ruumide majandamiskulud"/>
    <n v="55"/>
    <x v="0"/>
    <x v="0"/>
    <x v="0"/>
    <x v="0"/>
    <m/>
  </r>
  <r>
    <x v="6"/>
    <x v="19"/>
    <x v="19"/>
    <x v="15"/>
    <s v="Elamu- ja kommunaalmajandus"/>
    <s v="Viru-Jaagupi piirkonna juht"/>
    <s v="Simuna kalmistu haldamine"/>
    <n v="2556.48"/>
    <m/>
    <x v="4"/>
    <s v="Kinnistute, hoonete ja ruumide majandamiskulud"/>
    <n v="55"/>
    <x v="0"/>
    <x v="0"/>
    <x v="0"/>
    <x v="0"/>
    <m/>
  </r>
  <r>
    <x v="6"/>
    <x v="19"/>
    <x v="19"/>
    <x v="15"/>
    <s v="Elamu- ja kommunaalmajandus"/>
    <s v="Viru-Jaagupi piirkonna juht"/>
    <s v="Heakorravahendid"/>
    <n v="500"/>
    <s v="kärud, rehad, kastekannud jms"/>
    <x v="4"/>
    <s v="Kinnistute, hoonete ja ruumide majandamiskulud"/>
    <n v="55"/>
    <x v="0"/>
    <x v="0"/>
    <x v="0"/>
    <x v="0"/>
    <m/>
  </r>
  <r>
    <x v="6"/>
    <x v="19"/>
    <x v="19"/>
    <x v="15"/>
    <s v="Elamu- ja kommunaalmajandus"/>
    <s v="Viru-Jaagupi piirkonna juht"/>
    <s v="Ohtlike puude langetus"/>
    <n v="6000"/>
    <s v="Tudu "/>
    <x v="4"/>
    <s v="Kinnistute, hoonete ja ruumide majandamiskulud"/>
    <n v="55"/>
    <x v="0"/>
    <x v="0"/>
    <x v="0"/>
    <x v="0"/>
    <m/>
  </r>
  <r>
    <x v="6"/>
    <x v="19"/>
    <x v="19"/>
    <x v="15"/>
    <s v="Elamu- ja kommunaalmajandus"/>
    <s v="Viru-Jaagupi piirkonna juht"/>
    <s v="Ohtlike puude langetus, pinnase tasandamine"/>
    <n v="6000"/>
    <s v="Viru-Jaagupi"/>
    <x v="4"/>
    <s v="Kinnistute, hoonete ja ruumide majandamiskulud"/>
    <n v="55"/>
    <x v="0"/>
    <x v="0"/>
    <x v="0"/>
    <x v="0"/>
    <m/>
  </r>
  <r>
    <x v="6"/>
    <x v="19"/>
    <x v="19"/>
    <x v="15"/>
    <s v="Elamu- ja kommunaalmajandus"/>
    <s v="Viru-Jaagupi piirkonna juht"/>
    <s v="Kütus seadmetele"/>
    <n v="500"/>
    <s v="traktor, trimmer, saag"/>
    <x v="4"/>
    <s v="Kinnistute, hoonete ja ruumide majandamiskulud"/>
    <n v="55"/>
    <x v="0"/>
    <x v="0"/>
    <x v="0"/>
    <x v="0"/>
    <m/>
  </r>
  <r>
    <x v="6"/>
    <x v="19"/>
    <x v="19"/>
    <x v="15"/>
    <s v="Elamu- ja kommunaalmajandus"/>
    <s v="Viru-Jaagupi piirkonna juht"/>
    <s v="Viru-Jaagupi kabeli põrand"/>
    <n v="2000"/>
    <m/>
    <x v="4"/>
    <s v="Kinnistute, hoonete ja ruumide majandamiskulud"/>
    <n v="55"/>
    <x v="0"/>
    <x v="0"/>
    <x v="0"/>
    <x v="0"/>
    <m/>
  </r>
  <r>
    <x v="6"/>
    <x v="19"/>
    <x v="19"/>
    <x v="15"/>
    <s v="Elamu- ja kommunaalmajandus"/>
    <s v="Viru-Jaagupi piirkonna juht"/>
    <s v="Viru-Jaagupi kalmistu kiviaed"/>
    <n v="10000"/>
    <m/>
    <x v="24"/>
    <s v="Rajatiste majandamiskulud"/>
    <n v="55"/>
    <x v="0"/>
    <x v="0"/>
    <x v="0"/>
    <x v="0"/>
    <m/>
  </r>
  <r>
    <x v="6"/>
    <x v="20"/>
    <x v="20"/>
    <x v="15"/>
    <s v="Elamu- ja kommunaalmajandus"/>
    <s v="Keskkonna- ja kommunaalnõunik"/>
    <s v="Varjupaikade MTÜ püsitasu kohalikelt + muuda tasud"/>
    <n v="9000"/>
    <m/>
    <x v="4"/>
    <s v="Kinnistute, hoonete ja ruumide majandamiskulud"/>
    <n v="55"/>
    <x v="0"/>
    <x v="0"/>
    <x v="0"/>
    <x v="0"/>
    <m/>
  </r>
  <r>
    <x v="6"/>
    <x v="20"/>
    <x v="20"/>
    <x v="15"/>
    <s v="Elamu- ja kommunaalmajandus"/>
    <s v="Keskkonna- ja kommunaalnõunik"/>
    <s v="muud hulkuvate loomadega seotud kulud"/>
    <n v="837.6"/>
    <m/>
    <x v="4"/>
    <s v="Kinnistute, hoonete ja ruumide majandamiskulud"/>
    <n v="55"/>
    <x v="0"/>
    <x v="0"/>
    <x v="0"/>
    <x v="0"/>
    <m/>
  </r>
  <r>
    <x v="6"/>
    <x v="20"/>
    <x v="20"/>
    <x v="15"/>
    <s v="Elamu- ja kommunaalmajandus"/>
    <s v="Keskkonna- ja kommunaalnõunik"/>
    <s v="Lemmikloomaregister SPIN TEK"/>
    <n v="662.40000000000009"/>
    <m/>
    <x v="5"/>
    <s v="Info- ja kommunikatsioonitehnoliigised kulud"/>
    <n v="55"/>
    <x v="0"/>
    <x v="0"/>
    <x v="0"/>
    <x v="0"/>
    <m/>
  </r>
  <r>
    <x v="7"/>
    <x v="21"/>
    <x v="21"/>
    <x v="16"/>
    <s v="Tervishoid"/>
    <s v="Finantsosakond"/>
    <s v="Rakvere Haigla AS investeeringute osamakse"/>
    <n v="32477"/>
    <m/>
    <x v="25"/>
    <s v="Sihtotstarbelised eraldised põhivara soetamiseks muudele residentidele"/>
    <n v="4502"/>
    <x v="1"/>
    <x v="9"/>
    <x v="12"/>
    <x v="2"/>
    <m/>
  </r>
  <r>
    <x v="7"/>
    <x v="21"/>
    <x v="21"/>
    <x v="16"/>
    <s v="Tervishoid"/>
    <s v="Finantsosakond"/>
    <s v="Rakvere Haigla MTÜ liikmemaks"/>
    <n v="2500"/>
    <m/>
    <x v="6"/>
    <s v="Liikmemaksud"/>
    <n v="452"/>
    <x v="1"/>
    <x v="1"/>
    <x v="1"/>
    <x v="0"/>
    <m/>
  </r>
  <r>
    <x v="7"/>
    <x v="21"/>
    <x v="21"/>
    <x v="16"/>
    <s v="Tervishoid"/>
    <s v="Sotsiaalosakond"/>
    <s v="Piret Mets Väike-Maarja TK (Laekvere) kohvimasin"/>
    <n v="600"/>
    <m/>
    <x v="8"/>
    <s v="Inventari kulud, v.a infotehnoloogia ja kaitseotstarbelised kulud"/>
    <n v="55"/>
    <x v="0"/>
    <x v="0"/>
    <x v="0"/>
    <x v="0"/>
    <m/>
  </r>
  <r>
    <x v="7"/>
    <x v="21"/>
    <x v="21"/>
    <x v="16"/>
    <s v="Tervishoid"/>
    <s v="Sotsiaalosakond"/>
    <s v="Piret Mets Väike-Maarja TK (Laekvere) Transpordikulu"/>
    <n v="2400"/>
    <m/>
    <x v="1"/>
    <s v="Mitmesugused majanduskulud"/>
    <n v="55"/>
    <x v="0"/>
    <x v="0"/>
    <x v="0"/>
    <x v="0"/>
    <m/>
  </r>
  <r>
    <x v="7"/>
    <x v="21"/>
    <x v="21"/>
    <x v="16"/>
    <s v="Tervishoid"/>
    <s v="Sotsiaalosakond"/>
    <s v="Vinni Tervisekeskusele helikindlad uksed"/>
    <n v="5000"/>
    <m/>
    <x v="4"/>
    <s v="Kinnistute, hoonete ja ruumide majandamiskulud"/>
    <n v="55"/>
    <x v="0"/>
    <x v="0"/>
    <x v="0"/>
    <x v="0"/>
    <m/>
  </r>
  <r>
    <x v="8"/>
    <x v="22"/>
    <x v="22"/>
    <x v="17"/>
    <s v="Vabaaeg, kultuur ja religioon"/>
    <s v="Vallavalitsus"/>
    <s v="Toetus tegevuskuludeks"/>
    <n v="120000"/>
    <s v="Vinni Spordikompl."/>
    <x v="23"/>
    <s v="Sihtotstarbelised eraldised muudele residentidele"/>
    <n v="4500"/>
    <x v="1"/>
    <x v="1"/>
    <x v="11"/>
    <x v="0"/>
    <m/>
  </r>
  <r>
    <x v="8"/>
    <x v="22"/>
    <x v="22"/>
    <x v="17"/>
    <s v="Vabaaeg, kultuur ja religioon"/>
    <s v="Vallavalitsus"/>
    <s v="Maaküttega seotud liisingmaksed"/>
    <n v="18243.96"/>
    <s v="12x1520,33"/>
    <x v="25"/>
    <s v="Sihtotstarbelised eraldised põhivara soetamiseks muudele residentidele"/>
    <n v="4502"/>
    <x v="1"/>
    <x v="9"/>
    <x v="12"/>
    <x v="2"/>
    <m/>
  </r>
  <r>
    <x v="8"/>
    <x v="22"/>
    <x v="22"/>
    <x v="17"/>
    <s v="Vabaaeg, kultuur ja religioon"/>
    <s v="Vallavalitsus"/>
    <s v="Maaküttega seotud intressidemaksed"/>
    <n v="3648.84"/>
    <s v="12x304,07"/>
    <x v="25"/>
    <s v="Sihtotstarbelised eraldised põhivara soetamiseks muudele residentidele"/>
    <n v="4502"/>
    <x v="1"/>
    <x v="9"/>
    <x v="12"/>
    <x v="2"/>
    <m/>
  </r>
  <r>
    <x v="8"/>
    <x v="22"/>
    <x v="22"/>
    <x v="17"/>
    <s v="Vabaaeg, kultuur ja religioon"/>
    <s v="Vallavalitsus"/>
    <s v="Maaküttega seotud kindlustusmaksed"/>
    <n v="1791.48"/>
    <s v="12x149,29"/>
    <x v="25"/>
    <s v="Sihtotstarbelised eraldised põhivara soetamiseks muudele residentidele"/>
    <n v="4502"/>
    <x v="1"/>
    <x v="9"/>
    <x v="12"/>
    <x v="2"/>
    <m/>
  </r>
  <r>
    <x v="8"/>
    <x v="23"/>
    <x v="23"/>
    <x v="17"/>
    <s v="Vabaaeg, kultuur ja religioon"/>
    <s v="Muuga Spordihoone"/>
    <s v="bürootarbed"/>
    <n v="100"/>
    <m/>
    <x v="0"/>
    <s v="Administreerimiskulud"/>
    <n v="55"/>
    <x v="0"/>
    <x v="0"/>
    <x v="0"/>
    <x v="0"/>
    <m/>
  </r>
  <r>
    <x v="8"/>
    <x v="23"/>
    <x v="23"/>
    <x v="17"/>
    <s v="Vabaaeg, kultuur ja religioon"/>
    <s v="Muuga Spordihoone"/>
    <s v="tahmakasssetid, toonerid, tindikasseid"/>
    <n v="400"/>
    <m/>
    <x v="0"/>
    <s v="Administreerimiskulud"/>
    <n v="55"/>
    <x v="0"/>
    <x v="0"/>
    <x v="0"/>
    <x v="0"/>
    <m/>
  </r>
  <r>
    <x v="8"/>
    <x v="23"/>
    <x v="23"/>
    <x v="17"/>
    <s v="Vabaaeg, kultuur ja religioon"/>
    <s v="Muuga Spordihoone"/>
    <s v="Rent (Isikliku sõiduauto kulude hüvit.)"/>
    <n v="720"/>
    <m/>
    <x v="3"/>
    <s v="Sõidukite ülalpidamise kulud"/>
    <n v="55"/>
    <x v="0"/>
    <x v="0"/>
    <x v="0"/>
    <x v="0"/>
    <m/>
  </r>
  <r>
    <x v="8"/>
    <x v="23"/>
    <x v="23"/>
    <x v="17"/>
    <s v="Vabaaeg, kultuur ja religioon"/>
    <s v="Muuga Spordihoone"/>
    <s v="Telia internet, TV, lauatelefon"/>
    <n v="920"/>
    <m/>
    <x v="0"/>
    <s v="Administreerimiskulud"/>
    <n v="55"/>
    <x v="0"/>
    <x v="0"/>
    <x v="0"/>
    <x v="0"/>
    <m/>
  </r>
  <r>
    <x v="8"/>
    <x v="23"/>
    <x v="23"/>
    <x v="17"/>
    <s v="Vabaaeg, kultuur ja religioon"/>
    <s v="Muuga Spordihoone"/>
    <s v="Töötajate tervisekontroll, läbivaatus"/>
    <n v="50"/>
    <m/>
    <x v="9"/>
    <s v="Meditsiinikulud ja hügieenitarbed"/>
    <n v="55"/>
    <x v="0"/>
    <x v="0"/>
    <x v="0"/>
    <x v="0"/>
    <m/>
  </r>
  <r>
    <x v="8"/>
    <x v="23"/>
    <x v="23"/>
    <x v="17"/>
    <s v="Vabaaeg, kultuur ja religioon"/>
    <s v="Muuga Spordihoone"/>
    <s v="Ürituste korraldamise kulud"/>
    <n v="400"/>
    <m/>
    <x v="22"/>
    <s v="Kommunikatsiooni-, kultuuri- ja vaba aja sisustamise kulud"/>
    <n v="55"/>
    <x v="0"/>
    <x v="0"/>
    <x v="0"/>
    <x v="0"/>
    <m/>
  </r>
  <r>
    <x v="8"/>
    <x v="23"/>
    <x v="23"/>
    <x v="17"/>
    <s v="Vabaaeg, kultuur ja religioon"/>
    <s v="Muuga Spordihoone"/>
    <s v="osavõtutasud"/>
    <n v="200"/>
    <m/>
    <x v="22"/>
    <s v="Kommunikatsiooni-, kultuuri- ja vaba aja sisustamise kulud"/>
    <n v="55"/>
    <x v="0"/>
    <x v="0"/>
    <x v="0"/>
    <x v="0"/>
    <m/>
  </r>
  <r>
    <x v="8"/>
    <x v="23"/>
    <x v="23"/>
    <x v="17"/>
    <s v="Vabaaeg, kultuur ja religioon"/>
    <s v="Muuga Spordihoone"/>
    <s v="Spordiüritused"/>
    <n v="900"/>
    <m/>
    <x v="22"/>
    <s v="Kommunikatsiooni-, kultuuri- ja vaba aja sisustamise kulud"/>
    <n v="55"/>
    <x v="0"/>
    <x v="0"/>
    <x v="0"/>
    <x v="0"/>
    <m/>
  </r>
  <r>
    <x v="8"/>
    <x v="23"/>
    <x v="23"/>
    <x v="17"/>
    <s v="Vabaaeg, kultuur ja religioon"/>
    <s v="Muuga Spordihoone"/>
    <s v="Transpordi kasutus"/>
    <n v="400"/>
    <m/>
    <x v="22"/>
    <s v="Kommunikatsiooni-, kultuuri- ja vaba aja sisustamise kulud"/>
    <n v="55"/>
    <x v="0"/>
    <x v="0"/>
    <x v="0"/>
    <x v="0"/>
    <m/>
  </r>
  <r>
    <x v="8"/>
    <x v="23"/>
    <x v="23"/>
    <x v="17"/>
    <s v="Vabaaeg, kultuur ja religioon"/>
    <s v="Muuga Spordihoone"/>
    <s v="Elektri kulu"/>
    <n v="10000"/>
    <m/>
    <x v="4"/>
    <s v="Kinnistute, hoonete ja ruumide majandamiskulud"/>
    <n v="55"/>
    <x v="0"/>
    <x v="0"/>
    <x v="0"/>
    <x v="0"/>
    <m/>
  </r>
  <r>
    <x v="8"/>
    <x v="23"/>
    <x v="23"/>
    <x v="17"/>
    <s v="Vabaaeg, kultuur ja religioon"/>
    <s v="Muuga Spordihoone"/>
    <s v="elektrikäitlemislepingu kulu"/>
    <n v="460"/>
    <m/>
    <x v="4"/>
    <s v="Kinnistute, hoonete ja ruumide majandamiskulud"/>
    <n v="55"/>
    <x v="0"/>
    <x v="0"/>
    <x v="0"/>
    <x v="0"/>
    <m/>
  </r>
  <r>
    <x v="8"/>
    <x v="23"/>
    <x v="23"/>
    <x v="17"/>
    <s v="Vabaaeg, kultuur ja religioon"/>
    <s v="Muuga Spordihoone"/>
    <s v="korrashoiu- ja pisiremondi materjalid"/>
    <n v="700"/>
    <m/>
    <x v="4"/>
    <s v="Kinnistute, hoonete ja ruumide majandamiskulud"/>
    <n v="55"/>
    <x v="0"/>
    <x v="0"/>
    <x v="0"/>
    <x v="0"/>
    <m/>
  </r>
  <r>
    <x v="8"/>
    <x v="23"/>
    <x v="23"/>
    <x v="17"/>
    <s v="Vabaaeg, kultuur ja religioon"/>
    <s v="Muuga Spordihoone"/>
    <s v="korrashoiu- ja prügioveoteenused"/>
    <n v="210"/>
    <m/>
    <x v="4"/>
    <s v="Kinnistute, hoonete ja ruumide majandamiskulud"/>
    <n v="55"/>
    <x v="0"/>
    <x v="0"/>
    <x v="0"/>
    <x v="0"/>
    <m/>
  </r>
  <r>
    <x v="8"/>
    <x v="23"/>
    <x v="23"/>
    <x v="17"/>
    <s v="Vabaaeg, kultuur ja religioon"/>
    <s v="Muuga Spordihoone"/>
    <s v="Vesi- ja kanalisatsioon"/>
    <n v="520"/>
    <m/>
    <x v="4"/>
    <s v="Kinnistute, hoonete ja ruumide majandamiskulud"/>
    <n v="55"/>
    <x v="0"/>
    <x v="0"/>
    <x v="0"/>
    <x v="0"/>
    <m/>
  </r>
  <r>
    <x v="8"/>
    <x v="23"/>
    <x v="23"/>
    <x v="17"/>
    <s v="Vabaaeg, kultuur ja religioon"/>
    <s v="Muuga Spordihoone"/>
    <s v="remonttööd"/>
    <n v="738"/>
    <m/>
    <x v="4"/>
    <s v="Kinnistute, hoonete ja ruumide majandamiskulud"/>
    <n v="55"/>
    <x v="0"/>
    <x v="0"/>
    <x v="0"/>
    <x v="0"/>
    <m/>
  </r>
  <r>
    <x v="8"/>
    <x v="23"/>
    <x v="23"/>
    <x v="17"/>
    <s v="Vabaaeg, kultuur ja religioon"/>
    <s v="Muuga Spordihoone"/>
    <s v="ATS signalisatsioon"/>
    <n v="317"/>
    <m/>
    <x v="4"/>
    <s v="Kinnistute, hoonete ja ruumide majandamiskulud"/>
    <n v="55"/>
    <x v="0"/>
    <x v="0"/>
    <x v="0"/>
    <x v="0"/>
    <m/>
  </r>
  <r>
    <x v="8"/>
    <x v="23"/>
    <x v="23"/>
    <x v="17"/>
    <s v="Vabaaeg, kultuur ja religioon"/>
    <s v="Muuga Spordihoone"/>
    <s v="istikud"/>
    <n v="26.4"/>
    <m/>
    <x v="4"/>
    <s v="Kinnistute, hoonete ja ruumide majandamiskulud"/>
    <n v="55"/>
    <x v="0"/>
    <x v="0"/>
    <x v="0"/>
    <x v="0"/>
    <m/>
  </r>
  <r>
    <x v="8"/>
    <x v="23"/>
    <x v="23"/>
    <x v="17"/>
    <s v="Vabaaeg, kultuur ja religioon"/>
    <s v="Muuga Spordihoone"/>
    <s v="Lipud,vimplid, sümboolika"/>
    <n v="150"/>
    <m/>
    <x v="4"/>
    <s v="Kinnistute, hoonete ja ruumide majandamiskulud"/>
    <n v="55"/>
    <x v="0"/>
    <x v="0"/>
    <x v="0"/>
    <x v="0"/>
    <m/>
  </r>
  <r>
    <x v="8"/>
    <x v="23"/>
    <x v="23"/>
    <x v="17"/>
    <s v="Vabaaeg, kultuur ja religioon"/>
    <s v="Muuga Spordihoone"/>
    <s v="infotehnoloogiline riist-ja tarkvara"/>
    <n v="300"/>
    <m/>
    <x v="5"/>
    <s v="Info- ja kommunikatsioonitehnoliigised kulud"/>
    <n v="55"/>
    <x v="0"/>
    <x v="0"/>
    <x v="0"/>
    <x v="0"/>
    <m/>
  </r>
  <r>
    <x v="8"/>
    <x v="24"/>
    <x v="24"/>
    <x v="17"/>
    <s v="Vabaaeg, kultuur ja religioon"/>
    <s v="Arendusnõunik"/>
    <s v="sisseostetud teenus (kevad- ja järelhooldus)"/>
    <n v="3000"/>
    <m/>
    <x v="4"/>
    <s v="Kinnistute, hoonete ja ruumide majandamiskulud"/>
    <n v="55"/>
    <x v="0"/>
    <x v="0"/>
    <x v="0"/>
    <x v="0"/>
    <m/>
  </r>
  <r>
    <x v="8"/>
    <x v="24"/>
    <x v="24"/>
    <x v="17"/>
    <s v="Vabaaeg, kultuur ja religioon"/>
    <s v="Arendusnõunik"/>
    <s v="väetis"/>
    <n v="1500"/>
    <m/>
    <x v="4"/>
    <s v="Kinnistute, hoonete ja ruumide majandamiskulud"/>
    <n v="55"/>
    <x v="0"/>
    <x v="0"/>
    <x v="0"/>
    <x v="0"/>
    <m/>
  </r>
  <r>
    <x v="8"/>
    <x v="24"/>
    <x v="24"/>
    <x v="17"/>
    <s v="Vabaaeg, kultuur ja religioon"/>
    <s v="Arendusnõunik"/>
    <s v="kütus"/>
    <n v="300"/>
    <m/>
    <x v="4"/>
    <s v="Kinnistute, hoonete ja ruumide majandamiskulud"/>
    <n v="55"/>
    <x v="0"/>
    <x v="0"/>
    <x v="0"/>
    <x v="0"/>
    <m/>
  </r>
  <r>
    <x v="8"/>
    <x v="24"/>
    <x v="24"/>
    <x v="17"/>
    <s v="Vabaaeg, kultuur ja religioon"/>
    <s v="Arendusnõunik"/>
    <s v="töövahendid, remont"/>
    <n v="785"/>
    <m/>
    <x v="4"/>
    <s v="Kinnistute, hoonete ja ruumide majandamiskulud"/>
    <n v="55"/>
    <x v="0"/>
    <x v="0"/>
    <x v="0"/>
    <x v="0"/>
    <m/>
  </r>
  <r>
    <x v="8"/>
    <x v="24"/>
    <x v="24"/>
    <x v="17"/>
    <s v="Vabaaeg, kultuur ja religioon"/>
    <s v="Arendusnõunik"/>
    <s v="side (Telia)"/>
    <n v="15"/>
    <m/>
    <x v="4"/>
    <s v="Kinnistute, hoonete ja ruumide majandamiskulud"/>
    <n v="55"/>
    <x v="0"/>
    <x v="0"/>
    <x v="0"/>
    <x v="0"/>
    <m/>
  </r>
  <r>
    <x v="8"/>
    <x v="25"/>
    <x v="25"/>
    <x v="17"/>
    <s v="Vabaaeg, kultuur ja religioon"/>
    <s v="Noorsoo- ja spordinõunik"/>
    <s v="Toetused sportlastele, spordiüritused, kaasfinantseeringud, valla parimate sportlaste tunnustamine. (jooksvalt 2020)"/>
    <n v="8000"/>
    <m/>
    <x v="28"/>
    <s v="Sihtotstarbelised eraldised jooksvateks kuludeks"/>
    <n v="4500"/>
    <x v="1"/>
    <x v="1"/>
    <x v="11"/>
    <x v="0"/>
    <m/>
  </r>
  <r>
    <x v="8"/>
    <x v="26"/>
    <x v="26"/>
    <x v="17"/>
    <s v="Vabaaeg, kultuur ja religioon"/>
    <s v="Noorsoo- ja spordinõunik"/>
    <s v="Valla koolide ja lasteaedade  2020 aasta suusatamise-ja kergejõustikuvõistlused, spordipäevad."/>
    <n v="800"/>
    <m/>
    <x v="1"/>
    <s v="Mitmesugused majanduskulud"/>
    <n v="55"/>
    <x v="0"/>
    <x v="0"/>
    <x v="0"/>
    <x v="0"/>
    <m/>
  </r>
  <r>
    <x v="8"/>
    <x v="26"/>
    <x v="26"/>
    <x v="17"/>
    <s v="Vabaaeg, kultuur ja religioon"/>
    <s v="Noorsoo- ja spordinõunik"/>
    <s v="Valla päevadel spordivõistluste korraldamine"/>
    <n v="1000"/>
    <m/>
    <x v="1"/>
    <s v="Mitmesugused majanduskulud"/>
    <n v="55"/>
    <x v="0"/>
    <x v="0"/>
    <x v="0"/>
    <x v="0"/>
    <m/>
  </r>
  <r>
    <x v="8"/>
    <x v="26"/>
    <x v="26"/>
    <x v="17"/>
    <s v="Vabaaeg, kultuur ja religioon"/>
    <s v="Noorsoo- ja spordinõunik"/>
    <s v="Eesti 2020 aasta omavalitsuste tali-ja suvemängudel osalemine "/>
    <n v="4000"/>
    <m/>
    <x v="1"/>
    <s v="Mitmesugused majanduskulud"/>
    <n v="55"/>
    <x v="0"/>
    <x v="0"/>
    <x v="0"/>
    <x v="0"/>
    <m/>
  </r>
  <r>
    <x v="8"/>
    <x v="27"/>
    <x v="27"/>
    <x v="17"/>
    <s v="Vabaaeg, kultuur ja religioon"/>
    <s v="Noorsoo- ja spordinõunik"/>
    <s v="Vinni Spordikompleksis elanike tervise ja spordivõimaluste tagamine (lasteaiad, koolid jne.)"/>
    <n v="20000"/>
    <m/>
    <x v="1"/>
    <s v="Mitmesugused majanduskulud"/>
    <n v="55"/>
    <x v="0"/>
    <x v="0"/>
    <x v="0"/>
    <x v="0"/>
    <m/>
  </r>
  <r>
    <x v="8"/>
    <x v="27"/>
    <x v="27"/>
    <x v="17"/>
    <s v="Vabaaeg, kultuur ja religioon"/>
    <s v="Noorsoo- ja spordinõunik"/>
    <s v="Vinni Spordikompleksis elanike tervise ja spordivõimaluste tagamine (elanikkond)"/>
    <n v="29000"/>
    <m/>
    <x v="1"/>
    <s v="Mitmesugused majanduskulud"/>
    <n v="55"/>
    <x v="0"/>
    <x v="0"/>
    <x v="0"/>
    <x v="0"/>
    <m/>
  </r>
  <r>
    <x v="8"/>
    <x v="28"/>
    <x v="28"/>
    <x v="17"/>
    <s v="Vabaaeg, kultuur ja religioon"/>
    <s v="Noorsoo- ja spordinõunik"/>
    <s v="Spordiseltside, klubide, mtü-de, andekate sportlaste ja spordiürituste korraldamise toetused"/>
    <n v="26350"/>
    <m/>
    <x v="28"/>
    <s v="Sihtotstarbelised eraldised jooksvateks kuludeks"/>
    <n v="4500"/>
    <x v="1"/>
    <x v="1"/>
    <x v="11"/>
    <x v="0"/>
    <m/>
  </r>
  <r>
    <x v="8"/>
    <x v="29"/>
    <x v="29"/>
    <x v="18"/>
    <s v="Vabaaeg, kultuur ja religioon"/>
    <s v="Noorsoo- ja spordinõunik"/>
    <s v="Noorte volikogu töö korraldamine, arendamine            "/>
    <n v="2000"/>
    <m/>
    <x v="1"/>
    <s v="Mitmesugused majanduskulud"/>
    <n v="55"/>
    <x v="0"/>
    <x v="0"/>
    <x v="0"/>
    <x v="0"/>
    <m/>
  </r>
  <r>
    <x v="8"/>
    <x v="29"/>
    <x v="29"/>
    <x v="18"/>
    <s v="Vabaaeg, kultuur ja religioon"/>
    <s v="Noorsoo- ja spordinõunik"/>
    <s v="Isikliku sõiduauto komp."/>
    <n v="3685"/>
    <m/>
    <x v="3"/>
    <s v="Sõidukite ülalpidamise kulud"/>
    <n v="55"/>
    <x v="0"/>
    <x v="0"/>
    <x v="0"/>
    <x v="0"/>
    <m/>
  </r>
  <r>
    <x v="8"/>
    <x v="29"/>
    <x v="29"/>
    <x v="18"/>
    <s v="Vabaaeg, kultuur ja religioon"/>
    <s v="Noorsoo- ja spordinõunik"/>
    <s v="Sideteenused"/>
    <n v="135"/>
    <m/>
    <x v="0"/>
    <s v="Administreerimiskulud"/>
    <n v="55"/>
    <x v="0"/>
    <x v="0"/>
    <x v="0"/>
    <x v="0"/>
    <m/>
  </r>
  <r>
    <x v="8"/>
    <x v="29"/>
    <x v="29"/>
    <x v="18"/>
    <s v="Vabaaeg, kultuur ja religioon"/>
    <s v="Noorsoo- ja spordinõunik"/>
    <s v="Seminaridel osalemine"/>
    <n v="150"/>
    <m/>
    <x v="2"/>
    <s v="Koolituskulud"/>
    <n v="55"/>
    <x v="0"/>
    <x v="0"/>
    <x v="0"/>
    <x v="0"/>
    <m/>
  </r>
  <r>
    <x v="8"/>
    <x v="29"/>
    <x v="29"/>
    <x v="18"/>
    <s v="Vabaaeg, kultuur ja religioon"/>
    <s v="Noorsoo- ja spordinõunik"/>
    <s v="Lauatennise laud Tudu kooli"/>
    <n v="700"/>
    <s v="esialgu taotles vahendeid selle soetuseks Tudu Hariduse ja Spordiselts MTÜ"/>
    <x v="8"/>
    <s v="Inventari kulud, v.a infotehnoloogia ja kaitseotstarbelised kulud"/>
    <n v="55"/>
    <x v="0"/>
    <x v="0"/>
    <x v="0"/>
    <x v="0"/>
    <m/>
  </r>
  <r>
    <x v="8"/>
    <x v="30"/>
    <x v="30"/>
    <x v="18"/>
    <s v="Vabaaeg, kultuur ja religioon"/>
    <s v="Noorsoo- ja spordinõunik"/>
    <s v="Noorsoo projektide kaasfinantseerimised"/>
    <n v="4000"/>
    <m/>
    <x v="28"/>
    <s v="Sihtotstarbelised eraldised jooksvateks kuludeks"/>
    <n v="4500"/>
    <x v="1"/>
    <x v="1"/>
    <x v="11"/>
    <x v="0"/>
    <m/>
  </r>
  <r>
    <x v="8"/>
    <x v="31"/>
    <x v="31"/>
    <x v="18"/>
    <s v="Vabaaeg, kultuur ja religioon"/>
    <s v="Noorsoo- ja spordinõunik"/>
    <s v="Laste töö- ja puhkelaagri toitlustuskulud"/>
    <n v="1500"/>
    <m/>
    <x v="29"/>
    <s v="Toiduained ja toitlustusteenused"/>
    <n v="55"/>
    <x v="0"/>
    <x v="0"/>
    <x v="0"/>
    <x v="0"/>
    <m/>
  </r>
  <r>
    <x v="8"/>
    <x v="31"/>
    <x v="31"/>
    <x v="18"/>
    <s v="Vabaaeg, kultuur ja religioon"/>
    <s v="Noorsoo- ja spordinõunik"/>
    <s v="Laste töö- ja puhkelaagri elektrikulud"/>
    <n v="700"/>
    <m/>
    <x v="4"/>
    <s v="Kinnistute, hoonete ja ruumide majandamiskulud"/>
    <n v="55"/>
    <x v="0"/>
    <x v="0"/>
    <x v="0"/>
    <x v="0"/>
    <m/>
  </r>
  <r>
    <x v="8"/>
    <x v="32"/>
    <x v="32"/>
    <x v="18"/>
    <s v="Vabaaeg, kultuur ja religioon"/>
    <s v="Noorsoo- ja spordinõunik"/>
    <s v="Vinni Valla Noored MTÜ"/>
    <n v="87252"/>
    <m/>
    <x v="28"/>
    <s v="Sihtotstarbelised eraldised jooksvateks kuludeks"/>
    <n v="4500"/>
    <x v="1"/>
    <x v="1"/>
    <x v="11"/>
    <x v="0"/>
    <m/>
  </r>
  <r>
    <x v="8"/>
    <x v="33"/>
    <x v="33"/>
    <x v="19"/>
    <s v="Vabaaeg, kultuur ja religioon"/>
    <s v="Vallavanem"/>
    <s v="Vinni Vald 30"/>
    <n v="21000"/>
    <m/>
    <x v="22"/>
    <s v="Kommunikatsiooni-, kultuuri- ja vaba aja sisustamise kulud"/>
    <n v="55"/>
    <x v="0"/>
    <x v="0"/>
    <x v="0"/>
    <x v="0"/>
    <m/>
  </r>
  <r>
    <x v="8"/>
    <x v="33"/>
    <x v="33"/>
    <x v="19"/>
    <s v="Vabaaeg, kultuur ja religioon"/>
    <s v="Vallavanem"/>
    <s v="Vabariigi aastapäev"/>
    <n v="5000"/>
    <m/>
    <x v="22"/>
    <s v="Kommunikatsiooni-, kultuuri- ja vaba aja sisustamise kulud"/>
    <n v="55"/>
    <x v="0"/>
    <x v="0"/>
    <x v="0"/>
    <x v="0"/>
    <m/>
  </r>
  <r>
    <x v="8"/>
    <x v="33"/>
    <x v="33"/>
    <x v="19"/>
    <s v="Vabaaeg, kultuur ja religioon"/>
    <s v="Pajusti klubi"/>
    <s v="Vinni Filharmoonikud, advendikingitus"/>
    <n v="4500"/>
    <m/>
    <x v="22"/>
    <s v="Kommunikatsiooni-, kultuuri- ja vaba aja sisustamise kulud"/>
    <n v="55"/>
    <x v="0"/>
    <x v="0"/>
    <x v="0"/>
    <x v="0"/>
    <m/>
  </r>
  <r>
    <x v="8"/>
    <x v="33"/>
    <x v="33"/>
    <x v="19"/>
    <s v="Vabaaeg, kultuur ja religioon"/>
    <s v="Vallavanem"/>
    <s v="Töötajate juubelid"/>
    <n v="1500"/>
    <m/>
    <x v="22"/>
    <s v="Kommunikatsiooni-, kultuuri- ja vaba aja sisustamise kulud"/>
    <n v="55"/>
    <x v="0"/>
    <x v="0"/>
    <x v="0"/>
    <x v="0"/>
    <m/>
  </r>
  <r>
    <x v="8"/>
    <x v="34"/>
    <x v="34"/>
    <x v="19"/>
    <s v="Vabaaeg, kultuur ja religioon"/>
    <s v="Kultuurinõunik"/>
    <s v="Kultuuri MTÜ-de toetused"/>
    <n v="12360"/>
    <m/>
    <x v="23"/>
    <s v="Sihtotstarbelised eraldised muudele residentidele"/>
    <n v="4500"/>
    <x v="1"/>
    <x v="1"/>
    <x v="11"/>
    <x v="0"/>
    <m/>
  </r>
  <r>
    <x v="8"/>
    <x v="34"/>
    <x v="34"/>
    <x v="19"/>
    <s v="Vabaaeg, kultuur ja religioon"/>
    <s v="Kultuurinõunik"/>
    <s v="Kultuuri MTÜ-de toetuste reserv"/>
    <n v="1250"/>
    <s v="10% kultuuri MTÜ-de kogumahust"/>
    <x v="23"/>
    <s v="Sihtotstarbelised eraldised muudele residentidele"/>
    <n v="4500"/>
    <x v="1"/>
    <x v="1"/>
    <x v="11"/>
    <x v="0"/>
    <m/>
  </r>
  <r>
    <x v="8"/>
    <x v="35"/>
    <x v="35"/>
    <x v="19"/>
    <s v="Vabaaeg, kultuur ja religioon"/>
    <s v="Ehitusnõunik"/>
    <s v="Muud kulud"/>
    <n v="1500"/>
    <m/>
    <x v="24"/>
    <s v="Rajatiste majandamiskulud"/>
    <n v="55"/>
    <x v="0"/>
    <x v="0"/>
    <x v="0"/>
    <x v="0"/>
    <m/>
  </r>
  <r>
    <x v="8"/>
    <x v="35"/>
    <x v="35"/>
    <x v="19"/>
    <s v="Vabaaeg, kultuur ja religioon"/>
    <s v="Ehitusnõunik"/>
    <s v="Elekter"/>
    <n v="3000"/>
    <m/>
    <x v="24"/>
    <s v="Rajatiste majandamiskulud"/>
    <n v="55"/>
    <x v="0"/>
    <x v="0"/>
    <x v="0"/>
    <x v="0"/>
    <m/>
  </r>
  <r>
    <x v="8"/>
    <x v="35"/>
    <x v="35"/>
    <x v="19"/>
    <s v="Vabaaeg, kultuur ja religioon"/>
    <s v="Ehitusnõunik"/>
    <s v="Laekvere kergliiklustee"/>
    <n v="25000"/>
    <m/>
    <x v="12"/>
    <s v="Rajatiste ja hoonete soetamine ja renoveerimine"/>
    <n v="15"/>
    <x v="3"/>
    <x v="3"/>
    <x v="3"/>
    <x v="2"/>
    <m/>
  </r>
  <r>
    <x v="8"/>
    <x v="35"/>
    <x v="35"/>
    <x v="19"/>
    <s v="Vabaaeg, kultuur ja religioon"/>
    <s v="Ehitusnõunik"/>
    <s v="Viru-Jaagupi – Kannastiku kergliiklustee"/>
    <n v="250000"/>
    <m/>
    <x v="12"/>
    <s v="Rajatiste ja hoonete soetamine ja renoveerimine"/>
    <n v="15"/>
    <x v="3"/>
    <x v="3"/>
    <x v="3"/>
    <x v="2"/>
    <m/>
  </r>
  <r>
    <x v="8"/>
    <x v="36"/>
    <x v="36"/>
    <x v="19"/>
    <s v="Vabaaeg, kultuur ja religioon"/>
    <s v="Pajusti klubi"/>
    <s v="Raamatud, lilled, külaliste vastuvõtt jms"/>
    <n v="1000"/>
    <m/>
    <x v="0"/>
    <s v="Administreerimiskulud"/>
    <n v="55"/>
    <x v="0"/>
    <x v="0"/>
    <x v="0"/>
    <x v="0"/>
    <m/>
  </r>
  <r>
    <x v="8"/>
    <x v="37"/>
    <x v="37"/>
    <x v="19"/>
    <s v="Vabaaeg, kultuur ja religioon"/>
    <s v="Kultuurinõunik"/>
    <s v="Kultuuri projektide kaasfinantseerimised 2020.a"/>
    <n v="8000"/>
    <m/>
    <x v="23"/>
    <s v="Sihtotstarbelised eraldised muudele residentidele"/>
    <n v="4500"/>
    <x v="1"/>
    <x v="1"/>
    <x v="11"/>
    <x v="0"/>
    <m/>
  </r>
  <r>
    <x v="8"/>
    <x v="38"/>
    <x v="38"/>
    <x v="20"/>
    <s v="Vabaaeg, kultuur ja religioon"/>
    <s v="Vinni-Pajusti raamatukogu"/>
    <s v="Soojus"/>
    <n v="9000"/>
    <m/>
    <x v="4"/>
    <s v="Kinnistute, hoonete ja ruumide majandamiskulud"/>
    <n v="55"/>
    <x v="0"/>
    <x v="0"/>
    <x v="0"/>
    <x v="0"/>
    <m/>
  </r>
  <r>
    <x v="8"/>
    <x v="38"/>
    <x v="38"/>
    <x v="20"/>
    <s v="Vabaaeg, kultuur ja religioon"/>
    <s v="Vinni-Pajusti raamatukogu"/>
    <s v="Elekter"/>
    <n v="2000"/>
    <m/>
    <x v="4"/>
    <s v="Kinnistute, hoonete ja ruumide majandamiskulud"/>
    <n v="55"/>
    <x v="0"/>
    <x v="0"/>
    <x v="0"/>
    <x v="0"/>
    <m/>
  </r>
  <r>
    <x v="8"/>
    <x v="38"/>
    <x v="38"/>
    <x v="20"/>
    <s v="Vabaaeg, kultuur ja religioon"/>
    <s v="Vinni-Pajusti raamatukogu"/>
    <s v="Vesi"/>
    <n v="120"/>
    <m/>
    <x v="4"/>
    <s v="Kinnistute, hoonete ja ruumide majandamiskulud"/>
    <n v="55"/>
    <x v="0"/>
    <x v="0"/>
    <x v="0"/>
    <x v="0"/>
    <m/>
  </r>
  <r>
    <x v="8"/>
    <x v="38"/>
    <x v="38"/>
    <x v="20"/>
    <s v="Vabaaeg, kultuur ja religioon"/>
    <s v="Vinni-Pajusti raamatukogu"/>
    <s v="Hooldusvahendid, tualettpaber"/>
    <n v="200"/>
    <m/>
    <x v="4"/>
    <s v="Kinnistute, hoonete ja ruumide majandamiskulud"/>
    <n v="55"/>
    <x v="0"/>
    <x v="0"/>
    <x v="0"/>
    <x v="0"/>
    <m/>
  </r>
  <r>
    <x v="8"/>
    <x v="38"/>
    <x v="38"/>
    <x v="20"/>
    <s v="Vabaaeg, kultuur ja religioon"/>
    <s v="Vinni-Pajusti raamatukogu"/>
    <s v="Prügi"/>
    <n v="100"/>
    <s v="200l -rk oma, õues 600l -küla oma, meie eelarves"/>
    <x v="4"/>
    <s v="Kinnistute, hoonete ja ruumide majandamiskulud"/>
    <n v="55"/>
    <x v="0"/>
    <x v="0"/>
    <x v="0"/>
    <x v="0"/>
    <m/>
  </r>
  <r>
    <x v="8"/>
    <x v="38"/>
    <x v="38"/>
    <x v="20"/>
    <s v="Vabaaeg, kultuur ja religioon"/>
    <s v="Vinni-Pajusti raamatukogu"/>
    <s v="Vaip"/>
    <n v="100"/>
    <m/>
    <x v="4"/>
    <s v="Kinnistute, hoonete ja ruumide majandamiskulud"/>
    <n v="55"/>
    <x v="0"/>
    <x v="0"/>
    <x v="0"/>
    <x v="0"/>
    <m/>
  </r>
  <r>
    <x v="8"/>
    <x v="38"/>
    <x v="38"/>
    <x v="20"/>
    <s v="Vabaaeg, kultuur ja religioon"/>
    <s v="Vinni-Pajusti raamatukogu"/>
    <s v="Paber"/>
    <n v="100"/>
    <m/>
    <x v="0"/>
    <s v="Administreerimiskulud"/>
    <n v="55"/>
    <x v="0"/>
    <x v="0"/>
    <x v="0"/>
    <x v="0"/>
    <m/>
  </r>
  <r>
    <x v="8"/>
    <x v="38"/>
    <x v="38"/>
    <x v="20"/>
    <s v="Vabaaeg, kultuur ja religioon"/>
    <s v="Vinni-Pajusti raamatukogu"/>
    <s v="Raamatukile"/>
    <n v="190"/>
    <m/>
    <x v="0"/>
    <s v="Administreerimiskulud"/>
    <n v="55"/>
    <x v="0"/>
    <x v="0"/>
    <x v="0"/>
    <x v="0"/>
    <m/>
  </r>
  <r>
    <x v="8"/>
    <x v="38"/>
    <x v="38"/>
    <x v="20"/>
    <s v="Vabaaeg, kultuur ja religioon"/>
    <s v="Vinni-Pajusti raamatukogu"/>
    <s v="Raamatuetiketid"/>
    <n v="120"/>
    <m/>
    <x v="0"/>
    <s v="Administreerimiskulud"/>
    <n v="55"/>
    <x v="0"/>
    <x v="0"/>
    <x v="0"/>
    <x v="0"/>
    <m/>
  </r>
  <r>
    <x v="8"/>
    <x v="38"/>
    <x v="38"/>
    <x v="20"/>
    <s v="Vabaaeg, kultuur ja religioon"/>
    <s v="Vinni-Pajusti raamatukogu"/>
    <s v="Perioodika"/>
    <n v="2000"/>
    <m/>
    <x v="0"/>
    <s v="Administreerimiskulud"/>
    <n v="55"/>
    <x v="0"/>
    <x v="0"/>
    <x v="0"/>
    <x v="0"/>
    <m/>
  </r>
  <r>
    <x v="8"/>
    <x v="38"/>
    <x v="38"/>
    <x v="20"/>
    <s v="Vabaaeg, kultuur ja religioon"/>
    <s v="Vinni-Pajusti raamatukogu"/>
    <s v="Tooner"/>
    <n v="150"/>
    <m/>
    <x v="0"/>
    <s v="Administreerimiskulud"/>
    <n v="55"/>
    <x v="0"/>
    <x v="0"/>
    <x v="0"/>
    <x v="0"/>
    <m/>
  </r>
  <r>
    <x v="8"/>
    <x v="38"/>
    <x v="38"/>
    <x v="20"/>
    <s v="Vabaaeg, kultuur ja religioon"/>
    <s v="Vinni-Pajusti raamatukogu"/>
    <s v="Telefon+internet"/>
    <n v="800"/>
    <m/>
    <x v="0"/>
    <s v="Administreerimiskulud"/>
    <n v="55"/>
    <x v="0"/>
    <x v="0"/>
    <x v="0"/>
    <x v="0"/>
    <m/>
  </r>
  <r>
    <x v="8"/>
    <x v="38"/>
    <x v="38"/>
    <x v="20"/>
    <s v="Vabaaeg, kultuur ja religioon"/>
    <s v="Vinni-Pajusti raamatukogu"/>
    <s v="Markerid, pastakad, kleepsud, märkmepaber jmt"/>
    <n v="100"/>
    <m/>
    <x v="0"/>
    <s v="Administreerimiskulud"/>
    <n v="55"/>
    <x v="0"/>
    <x v="0"/>
    <x v="0"/>
    <x v="0"/>
    <m/>
  </r>
  <r>
    <x v="8"/>
    <x v="38"/>
    <x v="38"/>
    <x v="20"/>
    <s v="Vabaaeg, kultuur ja religioon"/>
    <s v="Vinni-Pajusti raamatukogu"/>
    <s v="Koolituskulud"/>
    <n v="500"/>
    <s v="Muud koolitused (sh Lääne-Virumaa KRK korraldatud)"/>
    <x v="2"/>
    <s v="Koolituskulud"/>
    <n v="55"/>
    <x v="0"/>
    <x v="0"/>
    <x v="0"/>
    <x v="0"/>
    <m/>
  </r>
  <r>
    <x v="8"/>
    <x v="38"/>
    <x v="38"/>
    <x v="20"/>
    <s v="Vabaaeg, kultuur ja religioon"/>
    <s v="Vinni-Pajusti raamatukogu"/>
    <s v="Lähetuskulud"/>
    <n v="100"/>
    <s v="Laager Saaremaal; õppereis Soome Oodi raamatukokku"/>
    <x v="2"/>
    <s v="Koolituskulud"/>
    <n v="55"/>
    <x v="0"/>
    <x v="0"/>
    <x v="0"/>
    <x v="0"/>
    <m/>
  </r>
  <r>
    <x v="8"/>
    <x v="38"/>
    <x v="38"/>
    <x v="20"/>
    <s v="Vabaaeg, kultuur ja religioon"/>
    <s v="Vinni-Pajusti raamatukogu"/>
    <s v="Tulekahju signalisatsiooni hooldus"/>
    <n v="450"/>
    <m/>
    <x v="4"/>
    <s v="Kinnistute, hoonete ja ruumide majandamiskulud"/>
    <n v="55"/>
    <x v="0"/>
    <x v="0"/>
    <x v="0"/>
    <x v="0"/>
    <m/>
  </r>
  <r>
    <x v="8"/>
    <x v="38"/>
    <x v="38"/>
    <x v="20"/>
    <s v="Vabaaeg, kultuur ja religioon"/>
    <s v="Vinni-Pajusti raamatukogu"/>
    <s v="Kindlustus"/>
    <n v="125"/>
    <m/>
    <x v="4"/>
    <s v="Kinnistute, hoonete ja ruumide majandamiskulud"/>
    <n v="55"/>
    <x v="0"/>
    <x v="0"/>
    <x v="0"/>
    <x v="0"/>
    <m/>
  </r>
  <r>
    <x v="8"/>
    <x v="38"/>
    <x v="38"/>
    <x v="20"/>
    <s v="Vabaaeg, kultuur ja religioon"/>
    <s v="Vinni-Pajusti raamatukogu"/>
    <s v="Valgustus, lampide vahetus"/>
    <n v="200"/>
    <m/>
    <x v="4"/>
    <s v="Kinnistute, hoonete ja ruumide majandamiskulud"/>
    <n v="55"/>
    <x v="0"/>
    <x v="0"/>
    <x v="0"/>
    <x v="0"/>
    <m/>
  </r>
  <r>
    <x v="8"/>
    <x v="38"/>
    <x v="38"/>
    <x v="20"/>
    <s v="Vabaaeg, kultuur ja religioon"/>
    <s v="Vinni-Pajusti raamatukogu"/>
    <s v="Autohüvitis "/>
    <n v="400"/>
    <s v="Kadilas laenutamine iga nädal 1x + linnast raamatute toomine, majandustarvikute toomine"/>
    <x v="3"/>
    <s v="Sõidukite ülalpidamise kulud"/>
    <n v="55"/>
    <x v="0"/>
    <x v="0"/>
    <x v="0"/>
    <x v="0"/>
    <m/>
  </r>
  <r>
    <x v="8"/>
    <x v="38"/>
    <x v="38"/>
    <x v="20"/>
    <s v="Vabaaeg, kultuur ja religioon"/>
    <s v="Vinni-Pajusti raamatukogu"/>
    <s v="Töötervishoid"/>
    <n v="200"/>
    <m/>
    <x v="9"/>
    <s v="Meditsiinikulud ja hügieenitarbed"/>
    <n v="55"/>
    <x v="0"/>
    <x v="0"/>
    <x v="0"/>
    <x v="0"/>
    <m/>
  </r>
  <r>
    <x v="8"/>
    <x v="38"/>
    <x v="38"/>
    <x v="20"/>
    <s v="Vabaaeg, kultuur ja religioon"/>
    <s v="Vinni-Pajusti raamatukogu"/>
    <s v="Raamatud"/>
    <n v="7200"/>
    <m/>
    <x v="10"/>
    <s v="Teavikud ja kunstiesemed"/>
    <n v="55"/>
    <x v="0"/>
    <x v="0"/>
    <x v="0"/>
    <x v="0"/>
    <m/>
  </r>
  <r>
    <x v="8"/>
    <x v="38"/>
    <x v="38"/>
    <x v="20"/>
    <s v="Vabaaeg, kultuur ja religioon"/>
    <s v="Vinni-Pajusti raamatukogu"/>
    <s v="Auhinnad raamatutundides, suvises lugemisprogrammis"/>
    <n v="600"/>
    <m/>
    <x v="22"/>
    <s v="Kommunikatsiooni-, kultuuri- ja vaba aja sisustamise kulud"/>
    <n v="55"/>
    <x v="0"/>
    <x v="0"/>
    <x v="0"/>
    <x v="0"/>
    <m/>
  </r>
  <r>
    <x v="8"/>
    <x v="38"/>
    <x v="38"/>
    <x v="20"/>
    <s v="Vabaaeg, kultuur ja religioon"/>
    <s v="Vinni-Pajusti raamatukogu"/>
    <s v="Postkast Kadilasse"/>
    <n v="50"/>
    <m/>
    <x v="8"/>
    <s v="Inventari kulud, v.a infotehnoloogia ja kaitseotstarbelised kulud"/>
    <n v="55"/>
    <x v="0"/>
    <x v="0"/>
    <x v="0"/>
    <x v="0"/>
    <m/>
  </r>
  <r>
    <x v="8"/>
    <x v="38"/>
    <x v="38"/>
    <x v="20"/>
    <s v="Vabaaeg, kultuur ja religioon"/>
    <s v="Vinni-Pajusti raamatukogu"/>
    <s v="Ettenägematud kulud"/>
    <n v="89.91"/>
    <m/>
    <x v="1"/>
    <s v="Mitmesugused majanduskulud"/>
    <n v="55"/>
    <x v="0"/>
    <x v="0"/>
    <x v="0"/>
    <x v="0"/>
    <m/>
  </r>
  <r>
    <x v="8"/>
    <x v="38"/>
    <x v="38"/>
    <x v="20"/>
    <s v="Vabaaeg, kultuur ja religioon"/>
    <s v="Vinni-Pajusti raamatukogu"/>
    <s v="Tarkvara hooldusleping"/>
    <n v="480"/>
    <s v="Kadila + Vinni, programm Urram"/>
    <x v="5"/>
    <s v="Info- ja kommunikatsioonitehnoliigised kulud"/>
    <n v="55"/>
    <x v="0"/>
    <x v="0"/>
    <x v="0"/>
    <x v="0"/>
    <m/>
  </r>
  <r>
    <x v="8"/>
    <x v="38"/>
    <x v="38"/>
    <x v="20"/>
    <s v="Vabaaeg, kultuur ja religioon"/>
    <s v="Vinni-Pajusti raamatukogu"/>
    <s v="Värviprinter"/>
    <n v="500"/>
    <m/>
    <x v="5"/>
    <s v="Info- ja kommunikatsioonitehnoliigised kulud"/>
    <n v="55"/>
    <x v="0"/>
    <x v="0"/>
    <x v="0"/>
    <x v="0"/>
    <m/>
  </r>
  <r>
    <x v="8"/>
    <x v="38"/>
    <x v="38"/>
    <x v="20"/>
    <s v="Vabaaeg, kultuur ja religioon"/>
    <s v="Vinni-Pajusti raamatukogu"/>
    <s v="Lisaruumide san.remont vms renoveerimine"/>
    <n v="5000"/>
    <s v="Rauno"/>
    <x v="4"/>
    <s v="Kinnistute, hoonete ja ruumide majandamiskulud"/>
    <n v="55"/>
    <x v="0"/>
    <x v="0"/>
    <x v="0"/>
    <x v="0"/>
    <m/>
  </r>
  <r>
    <x v="8"/>
    <x v="38"/>
    <x v="38"/>
    <x v="20"/>
    <s v="Vabaaeg, kultuur ja religioon"/>
    <s v="Vinni-Pajusti raamatukogu"/>
    <s v="Tagastuskast raamatukogu välisukse juurde."/>
    <n v="300"/>
    <m/>
    <x v="8"/>
    <s v="Inventari kulud, v.a infotehnoloogia ja kaitseotstarbelised kulud"/>
    <n v="55"/>
    <x v="0"/>
    <x v="0"/>
    <x v="0"/>
    <x v="0"/>
    <m/>
  </r>
  <r>
    <x v="8"/>
    <x v="39"/>
    <x v="39"/>
    <x v="20"/>
    <s v="Vabaaeg, kultuur ja religioon"/>
    <s v="Ehitusnõunik"/>
    <s v="Viru-Jaagupi rahvaraamatukogu küttesüsteemi üleviimine pelletküttele"/>
    <n v="130000"/>
    <m/>
    <x v="12"/>
    <s v="Rajatiste ja hoonete soetamine ja renoveerimine"/>
    <n v="15"/>
    <x v="3"/>
    <x v="3"/>
    <x v="3"/>
    <x v="2"/>
    <m/>
  </r>
  <r>
    <x v="8"/>
    <x v="39"/>
    <x v="39"/>
    <x v="20"/>
    <s v="Vabaaeg, kultuur ja religioon"/>
    <s v="Viru-Jaagupi raamatukogu"/>
    <s v="korrashoiuvahendid(puh.vahendid,prügikotid jne), k.a.muuseumi jaoks"/>
    <n v="80"/>
    <m/>
    <x v="4"/>
    <s v="Kinnistute, hoonete ja ruumide majandamiskulud"/>
    <n v="55"/>
    <x v="0"/>
    <x v="0"/>
    <x v="0"/>
    <x v="0"/>
    <m/>
  </r>
  <r>
    <x v="8"/>
    <x v="39"/>
    <x v="39"/>
    <x v="20"/>
    <s v="Vabaaeg, kultuur ja religioon"/>
    <s v="Viru-Jaagupi raamatukogu"/>
    <s v="raamatukogu telefon, ajalehed,ajakirjad, print.tahm(ka kultuuriürituste kuulutused)"/>
    <n v="1380"/>
    <m/>
    <x v="0"/>
    <s v="Administreerimiskulud"/>
    <n v="55"/>
    <x v="0"/>
    <x v="0"/>
    <x v="0"/>
    <x v="0"/>
    <m/>
  </r>
  <r>
    <x v="8"/>
    <x v="39"/>
    <x v="39"/>
    <x v="20"/>
    <s v="Vabaaeg, kultuur ja religioon"/>
    <s v="Viru-Jaagupi raamatukogu"/>
    <s v="koolitused"/>
    <n v="50"/>
    <m/>
    <x v="2"/>
    <s v="Koolituskulud"/>
    <n v="55"/>
    <x v="0"/>
    <x v="0"/>
    <x v="0"/>
    <x v="0"/>
    <m/>
  </r>
  <r>
    <x v="8"/>
    <x v="39"/>
    <x v="39"/>
    <x v="20"/>
    <s v="Vabaaeg, kultuur ja religioon"/>
    <s v="Viru-Jaagupi raamatukogu"/>
    <s v="uued raamatud kogusse"/>
    <n v="2000"/>
    <m/>
    <x v="10"/>
    <s v="Teavikud ja kunstiesemed"/>
    <n v="55"/>
    <x v="0"/>
    <x v="0"/>
    <x v="0"/>
    <x v="0"/>
    <m/>
  </r>
  <r>
    <x v="8"/>
    <x v="39"/>
    <x v="39"/>
    <x v="20"/>
    <s v="Vabaaeg, kultuur ja religioon"/>
    <s v="Viru-Jaagupi raamatukogu"/>
    <s v="planeeritud kultuuriüritused,mida korraldab. raamatukogu koostöös muuseumiga"/>
    <n v="300"/>
    <m/>
    <x v="22"/>
    <s v="Kommunikatsiooni-, kultuuri- ja vaba aja sisustamise kulud"/>
    <n v="55"/>
    <x v="0"/>
    <x v="0"/>
    <x v="0"/>
    <x v="0"/>
    <m/>
  </r>
  <r>
    <x v="8"/>
    <x v="39"/>
    <x v="39"/>
    <x v="20"/>
    <s v="Vabaaeg, kultuur ja religioon"/>
    <s v="Viru-Jaagupi raamatukogu"/>
    <s v="riiulitele teavikute kohasildid"/>
    <n v="100"/>
    <s v="jäi osadele riiulitele 2019 puudu! s.h.lastefondile)"/>
    <x v="0"/>
    <s v="Administreerimiskulud"/>
    <n v="55"/>
    <x v="0"/>
    <x v="0"/>
    <x v="0"/>
    <x v="0"/>
    <m/>
  </r>
  <r>
    <x v="8"/>
    <x v="39"/>
    <x v="39"/>
    <x v="20"/>
    <s v="Vabaaeg, kultuur ja religioon"/>
    <s v="Viru-Jaagupi raamatukogu"/>
    <s v="Urrami programmi igakuine hooldustasu 20.-x 12 k"/>
    <n v="240"/>
    <m/>
    <x v="5"/>
    <s v="Info- ja kommunikatsioonitehnoliigised kulud"/>
    <n v="55"/>
    <x v="0"/>
    <x v="0"/>
    <x v="0"/>
    <x v="0"/>
    <m/>
  </r>
  <r>
    <x v="8"/>
    <x v="39"/>
    <x v="39"/>
    <x v="20"/>
    <s v="Vabaaeg, kultuur ja religioon"/>
    <s v="Viru-Jaagupi raamatukogu"/>
    <s v="Lugejaarvuti"/>
    <n v="400"/>
    <s v="raamatukogul ei ole ainsana valla raamatukogudest lugeja toimivat lugejaarvutit, ehkki igal aastal on vajadus eelarvesse märgitud lugeja kasutab vajadusel raamatukogutöötaja tööarvutit"/>
    <x v="5"/>
    <s v="Info- ja kommunikatsioonitehnoliigised kulud"/>
    <n v="55"/>
    <x v="0"/>
    <x v="0"/>
    <x v="0"/>
    <x v="0"/>
    <m/>
  </r>
  <r>
    <x v="8"/>
    <x v="40"/>
    <x v="40"/>
    <x v="20"/>
    <s v="Vabaaeg, kultuur ja religioon"/>
    <s v="Roela Raamatukogu"/>
    <s v="paber,tahm"/>
    <n v="120"/>
    <m/>
    <x v="0"/>
    <s v="Administreerimiskulud"/>
    <n v="55"/>
    <x v="0"/>
    <x v="0"/>
    <x v="0"/>
    <x v="0"/>
    <m/>
  </r>
  <r>
    <x v="8"/>
    <x v="40"/>
    <x v="40"/>
    <x v="20"/>
    <s v="Vabaaeg, kultuur ja religioon"/>
    <s v="Roela Raamatukogu"/>
    <s v="Koolituskulud"/>
    <n v="350"/>
    <m/>
    <x v="2"/>
    <s v="Koolituskulud"/>
    <n v="55"/>
    <x v="0"/>
    <x v="0"/>
    <x v="0"/>
    <x v="0"/>
    <m/>
  </r>
  <r>
    <x v="8"/>
    <x v="40"/>
    <x v="40"/>
    <x v="20"/>
    <s v="Vabaaeg, kultuur ja religioon"/>
    <s v="Roela Raamatukogu"/>
    <s v="diivan"/>
    <n v="150"/>
    <s v="täiendav vajadus"/>
    <x v="8"/>
    <s v="Inventari kulud, v.a infotehnoloogia ja kaitseotstarbelised kulud"/>
    <n v="55"/>
    <x v="0"/>
    <x v="0"/>
    <x v="0"/>
    <x v="0"/>
    <m/>
  </r>
  <r>
    <x v="8"/>
    <x v="40"/>
    <x v="40"/>
    <x v="20"/>
    <s v="Vabaaeg, kultuur ja religioon"/>
    <s v="Roela Raamatukogu"/>
    <s v="liigieraldajad"/>
    <n v="200"/>
    <s v="täiendav vajadus"/>
    <x v="8"/>
    <s v="Inventari kulud, v.a infotehnoloogia ja kaitseotstarbelised kulud"/>
    <n v="55"/>
    <x v="0"/>
    <x v="0"/>
    <x v="0"/>
    <x v="0"/>
    <m/>
  </r>
  <r>
    <x v="8"/>
    <x v="40"/>
    <x v="40"/>
    <x v="20"/>
    <s v="Vabaaeg, kultuur ja religioon"/>
    <s v="Roela Raamatukogu"/>
    <s v="raamatud"/>
    <n v="4000"/>
    <m/>
    <x v="10"/>
    <s v="Teavikud ja kunstiesemed"/>
    <n v="55"/>
    <x v="0"/>
    <x v="0"/>
    <x v="0"/>
    <x v="0"/>
    <m/>
  </r>
  <r>
    <x v="8"/>
    <x v="40"/>
    <x v="40"/>
    <x v="20"/>
    <s v="Vabaaeg, kultuur ja religioon"/>
    <s v="Roela Raamatukogu"/>
    <s v="perioodika"/>
    <n v="1000"/>
    <m/>
    <x v="0"/>
    <s v="Administreerimiskulud"/>
    <n v="55"/>
    <x v="0"/>
    <x v="0"/>
    <x v="0"/>
    <x v="0"/>
    <m/>
  </r>
  <r>
    <x v="8"/>
    <x v="40"/>
    <x v="40"/>
    <x v="20"/>
    <s v="Vabaaeg, kultuur ja religioon"/>
    <s v="Roela Raamatukogu"/>
    <s v="Üritused lastele"/>
    <n v="170"/>
    <m/>
    <x v="22"/>
    <s v="Kommunikatsiooni-, kultuuri- ja vaba aja sisustamise kulud"/>
    <n v="55"/>
    <x v="0"/>
    <x v="0"/>
    <x v="0"/>
    <x v="0"/>
    <m/>
  </r>
  <r>
    <x v="8"/>
    <x v="40"/>
    <x v="40"/>
    <x v="20"/>
    <s v="Vabaaeg, kultuur ja religioon"/>
    <s v="Roela Raamatukogu"/>
    <s v="üritused täiskasvanutele"/>
    <n v="170"/>
    <m/>
    <x v="22"/>
    <s v="Kommunikatsiooni-, kultuuri- ja vaba aja sisustamise kulud"/>
    <n v="55"/>
    <x v="0"/>
    <x v="0"/>
    <x v="0"/>
    <x v="0"/>
    <m/>
  </r>
  <r>
    <x v="8"/>
    <x v="40"/>
    <x v="40"/>
    <x v="20"/>
    <s v="Vabaaeg, kultuur ja religioon"/>
    <s v="Roela Raamatukogu"/>
    <s v="arvutiprogrammide hooldused"/>
    <n v="240"/>
    <m/>
    <x v="5"/>
    <s v="Info- ja kommunikatsioonitehnoliigised kulud"/>
    <n v="55"/>
    <x v="0"/>
    <x v="0"/>
    <x v="0"/>
    <x v="0"/>
    <m/>
  </r>
  <r>
    <x v="8"/>
    <x v="40"/>
    <x v="40"/>
    <x v="20"/>
    <s v="Vabaaeg, kultuur ja religioon"/>
    <s v="Roela Raamatukogu"/>
    <s v="printer"/>
    <n v="200"/>
    <s v="täiendav vajadus"/>
    <x v="5"/>
    <s v="Info- ja kommunikatsioonitehnoliigised kulud"/>
    <n v="55"/>
    <x v="0"/>
    <x v="0"/>
    <x v="0"/>
    <x v="0"/>
    <m/>
  </r>
  <r>
    <x v="8"/>
    <x v="40"/>
    <x v="40"/>
    <x v="20"/>
    <s v="Vabaaeg, kultuur ja religioon"/>
    <s v="Roela Raamatukogu"/>
    <s v="sanremondi materjalid(pahtel,värv)"/>
    <n v="500"/>
    <m/>
    <x v="4"/>
    <s v="Kinnistute, hoonete ja ruumide majandamiskulud"/>
    <n v="55"/>
    <x v="0"/>
    <x v="0"/>
    <x v="0"/>
    <x v="0"/>
    <m/>
  </r>
  <r>
    <x v="8"/>
    <x v="40"/>
    <x v="40"/>
    <x v="20"/>
    <s v="Vabaaeg, kultuur ja religioon"/>
    <s v="Roela Raamatukogu"/>
    <s v="korrashoiuvahendid"/>
    <n v="100"/>
    <s v="wc paber,kätekuivatuspaber"/>
    <x v="4"/>
    <s v="Kinnistute, hoonete ja ruumide majandamiskulud"/>
    <n v="55"/>
    <x v="0"/>
    <x v="0"/>
    <x v="0"/>
    <x v="0"/>
    <m/>
  </r>
  <r>
    <x v="8"/>
    <x v="41"/>
    <x v="41"/>
    <x v="20"/>
    <s v="Vabaaeg, kultuur ja religioon"/>
    <s v="Tudu raamatukogu"/>
    <s v="telefon ja internet"/>
    <n v="660"/>
    <s v="tel 3235645 kõned ja kuutasu + interneti kuutasu"/>
    <x v="0"/>
    <s v="Administreerimiskulud"/>
    <n v="55"/>
    <x v="0"/>
    <x v="0"/>
    <x v="0"/>
    <x v="0"/>
    <m/>
  </r>
  <r>
    <x v="8"/>
    <x v="41"/>
    <x v="41"/>
    <x v="20"/>
    <s v="Vabaaeg, kultuur ja religioon"/>
    <s v="Tudu raamatukogu"/>
    <s v="perioodika"/>
    <n v="500"/>
    <s v="ajakirjade arv jääb samaks nagu 2019.a."/>
    <x v="0"/>
    <s v="Administreerimiskulud"/>
    <n v="55"/>
    <x v="0"/>
    <x v="0"/>
    <x v="0"/>
    <x v="0"/>
    <m/>
  </r>
  <r>
    <x v="8"/>
    <x v="41"/>
    <x v="41"/>
    <x v="20"/>
    <s v="Vabaaeg, kultuur ja religioon"/>
    <s v="Tudu raamatukogu"/>
    <s v="raamatud"/>
    <n v="1570"/>
    <m/>
    <x v="10"/>
    <s v="Teavikud ja kunstiesemed"/>
    <n v="55"/>
    <x v="0"/>
    <x v="0"/>
    <x v="0"/>
    <x v="0"/>
    <m/>
  </r>
  <r>
    <x v="8"/>
    <x v="41"/>
    <x v="41"/>
    <x v="20"/>
    <s v="Vabaaeg, kultuur ja religioon"/>
    <s v="Tudu raamatukogu"/>
    <s v="koolituste plaan"/>
    <n v="30"/>
    <m/>
    <x v="2"/>
    <s v="Koolituskulud"/>
    <n v="55"/>
    <x v="0"/>
    <x v="0"/>
    <x v="0"/>
    <x v="0"/>
    <m/>
  </r>
  <r>
    <x v="8"/>
    <x v="41"/>
    <x v="41"/>
    <x v="20"/>
    <s v="Vabaaeg, kultuur ja religioon"/>
    <s v="Tudu raamatukogu"/>
    <s v="kantseleikaup,paber,tahm"/>
    <n v="30"/>
    <m/>
    <x v="0"/>
    <s v="Administreerimiskulud"/>
    <n v="55"/>
    <x v="0"/>
    <x v="0"/>
    <x v="0"/>
    <x v="0"/>
    <m/>
  </r>
  <r>
    <x v="8"/>
    <x v="41"/>
    <x v="41"/>
    <x v="20"/>
    <s v="Vabaaeg, kultuur ja religioon"/>
    <s v="Tudu raamatukogu"/>
    <s v="urrami programmihooldus 20.- x12 kuud"/>
    <n v="240"/>
    <m/>
    <x v="5"/>
    <s v="Info- ja kommunikatsioonitehnoliigised kulud"/>
    <n v="55"/>
    <x v="0"/>
    <x v="0"/>
    <x v="0"/>
    <x v="0"/>
    <m/>
  </r>
  <r>
    <x v="8"/>
    <x v="41"/>
    <x v="41"/>
    <x v="20"/>
    <s v="Vabaaeg, kultuur ja religioon"/>
    <s v="Tudu raamatukogu"/>
    <s v="Saku Läte"/>
    <n v="135"/>
    <m/>
    <x v="4"/>
    <s v="Kinnistute, hoonete ja ruumide majandamiskulud"/>
    <n v="55"/>
    <x v="0"/>
    <x v="0"/>
    <x v="0"/>
    <x v="0"/>
    <m/>
  </r>
  <r>
    <x v="8"/>
    <x v="41"/>
    <x v="41"/>
    <x v="20"/>
    <s v="Vabaaeg, kultuur ja religioon"/>
    <s v="Tudu raamatukogu"/>
    <s v="Hoone kindlustus"/>
    <n v="150"/>
    <m/>
    <x v="4"/>
    <s v="Kinnistute, hoonete ja ruumide majandamiskulud"/>
    <n v="55"/>
    <x v="0"/>
    <x v="0"/>
    <x v="0"/>
    <x v="0"/>
    <m/>
  </r>
  <r>
    <x v="8"/>
    <x v="41"/>
    <x v="41"/>
    <x v="20"/>
    <s v="Vabaaeg, kultuur ja religioon"/>
    <s v="Tudu raamatukogu"/>
    <s v="Pisiremondid jms"/>
    <n v="850"/>
    <m/>
    <x v="4"/>
    <s v="Kinnistute, hoonete ja ruumide majandamiskulud"/>
    <n v="55"/>
    <x v="0"/>
    <x v="0"/>
    <x v="0"/>
    <x v="0"/>
    <m/>
  </r>
  <r>
    <x v="8"/>
    <x v="42"/>
    <x v="42"/>
    <x v="20"/>
    <s v="Vabaaeg, kultuur ja religioon"/>
    <s v="Ulvi raamatukogu"/>
    <s v="Ulvi mõisamaja turvafirma lepingutasu, korrastusvahendid, puhastusvahendid, paber"/>
    <n v="400"/>
    <m/>
    <x v="4"/>
    <s v="Kinnistute, hoonete ja ruumide majandamiskulud"/>
    <n v="55"/>
    <x v="0"/>
    <x v="0"/>
    <x v="0"/>
    <x v="0"/>
    <m/>
  </r>
  <r>
    <x v="8"/>
    <x v="42"/>
    <x v="42"/>
    <x v="20"/>
    <s v="Vabaaeg, kultuur ja religioon"/>
    <s v="Ulvi raamatukogu"/>
    <s v="Telefon, Internet"/>
    <n v="320"/>
    <s v="Interneti püsiühendus, lauatelefon"/>
    <x v="0"/>
    <s v="Administreerimiskulud"/>
    <n v="55"/>
    <x v="0"/>
    <x v="0"/>
    <x v="0"/>
    <x v="0"/>
    <m/>
  </r>
  <r>
    <x v="8"/>
    <x v="42"/>
    <x v="42"/>
    <x v="20"/>
    <s v="Vabaaeg, kultuur ja religioon"/>
    <s v="Ulvi raamatukogu"/>
    <s v="kantseleikaup"/>
    <n v="500"/>
    <s v="paber, tahm, raamatukiled, vöötkoodid"/>
    <x v="0"/>
    <s v="Administreerimiskulud"/>
    <n v="55"/>
    <x v="0"/>
    <x v="0"/>
    <x v="0"/>
    <x v="0"/>
    <m/>
  </r>
  <r>
    <x v="8"/>
    <x v="42"/>
    <x v="42"/>
    <x v="20"/>
    <s v="Vabaaeg, kultuur ja religioon"/>
    <s v="Ulvi raamatukogu"/>
    <s v="perioodika"/>
    <n v="1200"/>
    <s v="ajalehed,ajakirjad-tellimine 1 kord aastas- novembris"/>
    <x v="0"/>
    <s v="Administreerimiskulud"/>
    <n v="55"/>
    <x v="0"/>
    <x v="0"/>
    <x v="0"/>
    <x v="0"/>
    <m/>
  </r>
  <r>
    <x v="8"/>
    <x v="42"/>
    <x v="42"/>
    <x v="20"/>
    <s v="Vabaaeg, kultuur ja religioon"/>
    <s v="Ulvi raamatukogu"/>
    <s v="Koolitused"/>
    <n v="350"/>
    <s v="Erinevad koolitused,seminarid sh maakonna keskraamatukogu korraldatud; Maaraamatukogude suveseminar Saaremaal; Õppereis Soome"/>
    <x v="2"/>
    <s v="Koolituskulud"/>
    <n v="55"/>
    <x v="0"/>
    <x v="0"/>
    <x v="0"/>
    <x v="0"/>
    <m/>
  </r>
  <r>
    <x v="8"/>
    <x v="42"/>
    <x v="42"/>
    <x v="20"/>
    <s v="Vabaaeg, kultuur ja religioon"/>
    <s v="Ulvi raamatukogu"/>
    <s v="Isikliku sõiduauto komp."/>
    <n v="720"/>
    <s v="teavikute transport Rakverest, kojuteenindus, tööga seotud koosolekutest, koolitustest osavõtt"/>
    <x v="3"/>
    <s v="Sõidukite ülalpidamise kulud"/>
    <n v="55"/>
    <x v="0"/>
    <x v="0"/>
    <x v="0"/>
    <x v="0"/>
    <m/>
  </r>
  <r>
    <x v="8"/>
    <x v="42"/>
    <x v="42"/>
    <x v="20"/>
    <s v="Vabaaeg, kultuur ja religioon"/>
    <s v="Ulvi raamatukogu"/>
    <s v="prillid"/>
    <n v="100"/>
    <m/>
    <x v="9"/>
    <s v="Meditsiinikulud ja hügieenitarbed"/>
    <n v="55"/>
    <x v="0"/>
    <x v="0"/>
    <x v="0"/>
    <x v="0"/>
    <m/>
  </r>
  <r>
    <x v="8"/>
    <x v="42"/>
    <x v="42"/>
    <x v="20"/>
    <s v="Vabaaeg, kultuur ja religioon"/>
    <s v="Ulvi raamatukogu"/>
    <s v="Teavikud"/>
    <n v="3200"/>
    <m/>
    <x v="10"/>
    <s v="Teavikud ja kunstiesemed"/>
    <n v="55"/>
    <x v="0"/>
    <x v="0"/>
    <x v="0"/>
    <x v="0"/>
    <m/>
  </r>
  <r>
    <x v="8"/>
    <x v="42"/>
    <x v="42"/>
    <x v="20"/>
    <s v="Vabaaeg, kultuur ja religioon"/>
    <s v="Ulvi raamatukogu"/>
    <s v="teemaõhtud/hommikud, laste lugemistunnid/raamatukogutunnid; 2 korda aastas suurürutus-märts-emakeelepäev, okt-raamatukogunädal"/>
    <n v="500"/>
    <m/>
    <x v="22"/>
    <s v="Kommunikatsiooni-, kultuuri- ja vaba aja sisustamise kulud"/>
    <n v="55"/>
    <x v="0"/>
    <x v="0"/>
    <x v="0"/>
    <x v="0"/>
    <m/>
  </r>
  <r>
    <x v="8"/>
    <x v="42"/>
    <x v="42"/>
    <x v="20"/>
    <s v="Vabaaeg, kultuur ja religioon"/>
    <s v="Ulvi raamatukogu"/>
    <s v="raamatukogu tööprogramm"/>
    <n v="240"/>
    <s v="Urram"/>
    <x v="5"/>
    <s v="Info- ja kommunikatsioonitehnoliigised kulud"/>
    <n v="55"/>
    <x v="0"/>
    <x v="0"/>
    <x v="0"/>
    <x v="0"/>
    <m/>
  </r>
  <r>
    <x v="8"/>
    <x v="42"/>
    <x v="42"/>
    <x v="20"/>
    <s v="Vabaaeg, kultuur ja religioon"/>
    <s v="Ulvi raamatukogu"/>
    <s v="uus tööarvuti"/>
    <n v="850"/>
    <s v="arvuti vajab väljavahetamist"/>
    <x v="5"/>
    <s v="Info- ja kommunikatsioonitehnoliigised kulud"/>
    <n v="55"/>
    <x v="0"/>
    <x v="0"/>
    <x v="0"/>
    <x v="0"/>
    <m/>
  </r>
  <r>
    <x v="8"/>
    <x v="43"/>
    <x v="43"/>
    <x v="20"/>
    <s v="Vabaaeg, kultuur ja religioon"/>
    <s v="Laekvere raamatukogu"/>
    <s v="bürootarbed, auhinnad-kingitused, telefon jne"/>
    <n v="500"/>
    <m/>
    <x v="0"/>
    <s v="Administreerimiskulud"/>
    <n v="55"/>
    <x v="0"/>
    <x v="0"/>
    <x v="0"/>
    <x v="0"/>
    <m/>
  </r>
  <r>
    <x v="8"/>
    <x v="43"/>
    <x v="43"/>
    <x v="20"/>
    <s v="Vabaaeg, kultuur ja religioon"/>
    <s v="Laekvere raamatukogu"/>
    <s v="perioodika "/>
    <n v="2000"/>
    <m/>
    <x v="0"/>
    <s v="Administreerimiskulud"/>
    <n v="55"/>
    <x v="0"/>
    <x v="0"/>
    <x v="0"/>
    <x v="0"/>
    <m/>
  </r>
  <r>
    <x v="8"/>
    <x v="43"/>
    <x v="43"/>
    <x v="20"/>
    <s v="Vabaaeg, kultuur ja religioon"/>
    <s v="Laekvere raamatukogu"/>
    <s v="Koolitused"/>
    <n v="1000"/>
    <m/>
    <x v="2"/>
    <s v="Koolituskulud"/>
    <n v="55"/>
    <x v="0"/>
    <x v="0"/>
    <x v="0"/>
    <x v="0"/>
    <m/>
  </r>
  <r>
    <x v="8"/>
    <x v="43"/>
    <x v="43"/>
    <x v="20"/>
    <s v="Vabaaeg, kultuur ja religioon"/>
    <s v="Laekvere raamatukogu"/>
    <s v="Isiklikus sõiduauto komp."/>
    <n v="1000"/>
    <m/>
    <x v="3"/>
    <s v="Sõidukite ülalpidamise kulud"/>
    <n v="55"/>
    <x v="0"/>
    <x v="0"/>
    <x v="0"/>
    <x v="0"/>
    <m/>
  </r>
  <r>
    <x v="8"/>
    <x v="43"/>
    <x v="43"/>
    <x v="20"/>
    <s v="Vabaaeg, kultuur ja religioon"/>
    <s v="Laekvere raamatukogu"/>
    <s v="Inventar"/>
    <n v="1019"/>
    <s v="Konkreetselt planeerimata, võib tekkida vajadus riiulitele. Muugas võiks remontida olemasoleva nurgadiivani ( riidevahetus)"/>
    <x v="8"/>
    <s v="Inventari kulud, v.a infotehnoloogia ja kaitseotstarbelised kulud"/>
    <n v="55"/>
    <x v="0"/>
    <x v="0"/>
    <x v="0"/>
    <x v="0"/>
    <m/>
  </r>
  <r>
    <x v="8"/>
    <x v="43"/>
    <x v="43"/>
    <x v="20"/>
    <s v="Vabaaeg, kultuur ja religioon"/>
    <s v="Laekvere raamatukogu"/>
    <s v="esmaabivahendid, prillihüvitis, gripivaktsiin, tervisekontroll"/>
    <n v="500"/>
    <m/>
    <x v="9"/>
    <s v="Meditsiinikulud ja hügieenitarbed"/>
    <n v="55"/>
    <x v="0"/>
    <x v="0"/>
    <x v="0"/>
    <x v="0"/>
    <m/>
  </r>
  <r>
    <x v="8"/>
    <x v="43"/>
    <x v="43"/>
    <x v="20"/>
    <s v="Vabaaeg, kultuur ja religioon"/>
    <s v="Laekvere raamatukogu"/>
    <s v="Teavikud"/>
    <n v="6500"/>
    <m/>
    <x v="10"/>
    <s v="Teavikud ja kunstiesemed"/>
    <n v="55"/>
    <x v="0"/>
    <x v="0"/>
    <x v="0"/>
    <x v="0"/>
    <m/>
  </r>
  <r>
    <x v="8"/>
    <x v="43"/>
    <x v="43"/>
    <x v="20"/>
    <s v="Vabaaeg, kultuur ja religioon"/>
    <s v="Laekvere raamatukogu"/>
    <s v="Kohtumised kirjanikuga rahvusvahelise lasteraamatupäeva tähistamiseks aprillis nii Muugas kui Laekveres"/>
    <n v="250"/>
    <m/>
    <x v="22"/>
    <s v="Kommunikatsiooni-, kultuuri- ja vaba aja sisustamise kulud"/>
    <n v="55"/>
    <x v="0"/>
    <x v="0"/>
    <x v="0"/>
    <x v="0"/>
    <m/>
  </r>
  <r>
    <x v="8"/>
    <x v="43"/>
    <x v="43"/>
    <x v="20"/>
    <s v="Vabaaeg, kultuur ja religioon"/>
    <s v="Laekvere raamatukogu"/>
    <s v="Eduard Vilde 155. sünniaastapäeva tähistamine- Simuna kihelkonnakoolide ja Vinni valla õpilaste reisijuttude kirjutamise konkurss, konkursi lõpuüritus"/>
    <n v="400"/>
    <m/>
    <x v="22"/>
    <s v="Kommunikatsiooni-, kultuuri- ja vaba aja sisustamise kulud"/>
    <n v="55"/>
    <x v="0"/>
    <x v="0"/>
    <x v="0"/>
    <x v="0"/>
    <m/>
  </r>
  <r>
    <x v="8"/>
    <x v="43"/>
    <x v="43"/>
    <x v="20"/>
    <s v="Vabaaeg, kultuur ja religioon"/>
    <s v="Laekvere raamatukogu"/>
    <s v="Raamatukogupäevade üritused, TÕN üritused "/>
    <n v="150"/>
    <m/>
    <x v="22"/>
    <s v="Kommunikatsiooni-, kultuuri- ja vaba aja sisustamise kulud"/>
    <n v="55"/>
    <x v="0"/>
    <x v="0"/>
    <x v="0"/>
    <x v="0"/>
    <m/>
  </r>
  <r>
    <x v="8"/>
    <x v="43"/>
    <x v="43"/>
    <x v="20"/>
    <s v="Vabaaeg, kultuur ja religioon"/>
    <s v="Laekvere raamatukogu"/>
    <s v="Karneval Muuga mõisas novembris Muuga- Laekvere Kooli algklasside lastele "/>
    <n v="150"/>
    <m/>
    <x v="22"/>
    <s v="Kommunikatsiooni-, kultuuri- ja vaba aja sisustamise kulud"/>
    <n v="55"/>
    <x v="0"/>
    <x v="0"/>
    <x v="0"/>
    <x v="0"/>
    <m/>
  </r>
  <r>
    <x v="8"/>
    <x v="43"/>
    <x v="43"/>
    <x v="20"/>
    <s v="Vabaaeg, kultuur ja religioon"/>
    <s v="Laekvere raamatukogu"/>
    <s v="muud planeerimata üritused"/>
    <n v="200"/>
    <m/>
    <x v="22"/>
    <s v="Kommunikatsiooni-, kultuuri- ja vaba aja sisustamise kulud"/>
    <n v="55"/>
    <x v="0"/>
    <x v="0"/>
    <x v="0"/>
    <x v="0"/>
    <m/>
  </r>
  <r>
    <x v="8"/>
    <x v="43"/>
    <x v="43"/>
    <x v="20"/>
    <s v="Vabaaeg, kultuur ja religioon"/>
    <s v="Laekvere raamatukogu"/>
    <s v="puhastus- ja korrashoiuvahendid"/>
    <n v="250"/>
    <m/>
    <x v="4"/>
    <s v="Kinnistute, hoonete ja ruumide majandamiskulud"/>
    <n v="55"/>
    <x v="0"/>
    <x v="0"/>
    <x v="0"/>
    <x v="0"/>
    <m/>
  </r>
  <r>
    <x v="8"/>
    <x v="43"/>
    <x v="43"/>
    <x v="20"/>
    <s v="Vabaaeg, kultuur ja religioon"/>
    <s v="Laekvere raamatukogu"/>
    <s v="Urrami hooldus ja arendus"/>
    <n v="250"/>
    <m/>
    <x v="5"/>
    <s v="Info- ja kommunikatsioonitehnoliigised kulud"/>
    <n v="55"/>
    <x v="0"/>
    <x v="0"/>
    <x v="0"/>
    <x v="0"/>
    <m/>
  </r>
  <r>
    <x v="8"/>
    <x v="43"/>
    <x v="43"/>
    <x v="20"/>
    <s v="Vabaaeg, kultuur ja religioon"/>
    <s v="Laekvere raamatukogu"/>
    <s v="remondi- ja hooldusteenused"/>
    <n v="1050"/>
    <m/>
    <x v="5"/>
    <s v="Info- ja kommunikatsioonitehnoliigised kulud"/>
    <n v="55"/>
    <x v="0"/>
    <x v="0"/>
    <x v="0"/>
    <x v="0"/>
    <m/>
  </r>
  <r>
    <x v="8"/>
    <x v="43"/>
    <x v="43"/>
    <x v="20"/>
    <s v="Vabaaeg, kultuur ja religioon"/>
    <s v="Muuga raamatukogu"/>
    <s v="perioodika "/>
    <n v="1700"/>
    <m/>
    <x v="0"/>
    <s v="Administreerimiskulud"/>
    <n v="55"/>
    <x v="0"/>
    <x v="0"/>
    <x v="0"/>
    <x v="0"/>
    <m/>
  </r>
  <r>
    <x v="8"/>
    <x v="43"/>
    <x v="43"/>
    <x v="20"/>
    <s v="Vabaaeg, kultuur ja religioon"/>
    <s v="Muuga raamatukogu"/>
    <s v="Teavikud"/>
    <n v="4500"/>
    <m/>
    <x v="10"/>
    <s v="Teavikud ja kunstiesemed"/>
    <n v="55"/>
    <x v="0"/>
    <x v="0"/>
    <x v="0"/>
    <x v="0"/>
    <m/>
  </r>
  <r>
    <x v="8"/>
    <x v="43"/>
    <x v="43"/>
    <x v="20"/>
    <s v="Vabaaeg, kultuur ja religioon"/>
    <s v="Muuga raamatukogu"/>
    <s v="Kohtumised kirjanikuga rahvusvahelise lasteraamatupäeva tähistamiseks aprillis nii Muugas kui Laekveres"/>
    <n v="250"/>
    <m/>
    <x v="22"/>
    <s v="Kommunikatsiooni-, kultuuri- ja vaba aja sisustamise kulud"/>
    <n v="55"/>
    <x v="0"/>
    <x v="0"/>
    <x v="0"/>
    <x v="0"/>
    <m/>
  </r>
  <r>
    <x v="8"/>
    <x v="43"/>
    <x v="43"/>
    <x v="20"/>
    <s v="Vabaaeg, kultuur ja religioon"/>
    <s v="Muuga raamatukogu"/>
    <s v="Raamatukoguöö märts-aprill Muugas "/>
    <n v="250"/>
    <m/>
    <x v="22"/>
    <s v="Kommunikatsiooni-, kultuuri- ja vaba aja sisustamise kulud"/>
    <n v="55"/>
    <x v="0"/>
    <x v="0"/>
    <x v="0"/>
    <x v="0"/>
    <m/>
  </r>
  <r>
    <x v="8"/>
    <x v="43"/>
    <x v="43"/>
    <x v="20"/>
    <s v="Vabaaeg, kultuur ja religioon"/>
    <s v="Muuga raamatukogu"/>
    <s v="Raamatukogupäevade üritused, TÕN üritused "/>
    <n v="150"/>
    <m/>
    <x v="22"/>
    <s v="Kommunikatsiooni-, kultuuri- ja vaba aja sisustamise kulud"/>
    <n v="55"/>
    <x v="0"/>
    <x v="0"/>
    <x v="0"/>
    <x v="0"/>
    <m/>
  </r>
  <r>
    <x v="8"/>
    <x v="43"/>
    <x v="43"/>
    <x v="20"/>
    <s v="Vabaaeg, kultuur ja religioon"/>
    <s v="Muuga raamatukogu"/>
    <s v="puhastus- ja korrashoiuvahendid"/>
    <n v="250"/>
    <m/>
    <x v="4"/>
    <s v="Kinnistute, hoonete ja ruumide majandamiskulud"/>
    <n v="55"/>
    <x v="0"/>
    <x v="0"/>
    <x v="0"/>
    <x v="0"/>
    <m/>
  </r>
  <r>
    <x v="8"/>
    <x v="43"/>
    <x v="43"/>
    <x v="20"/>
    <s v="Vabaaeg, kultuur ja religioon"/>
    <s v="Muuga raamatukogu"/>
    <s v="korstnapühkimisteenus"/>
    <n v="200"/>
    <m/>
    <x v="4"/>
    <s v="Kinnistute, hoonete ja ruumide majandamiskulud"/>
    <n v="55"/>
    <x v="0"/>
    <x v="0"/>
    <x v="0"/>
    <x v="0"/>
    <m/>
  </r>
  <r>
    <x v="8"/>
    <x v="43"/>
    <x v="43"/>
    <x v="20"/>
    <s v="Vabaaeg, kultuur ja religioon"/>
    <s v="Muuga raamatukogu"/>
    <s v="Urrami hooldus ja arendus"/>
    <n v="250"/>
    <m/>
    <x v="5"/>
    <s v="Info- ja kommunikatsioonitehnoliigised kulud"/>
    <n v="55"/>
    <x v="0"/>
    <x v="0"/>
    <x v="0"/>
    <x v="0"/>
    <m/>
  </r>
  <r>
    <x v="8"/>
    <x v="43"/>
    <x v="43"/>
    <x v="20"/>
    <s v="Vabaaeg, kultuur ja religioon"/>
    <s v="Muuga raamatukogu"/>
    <s v="Luminor liising Muuga 2 arvutit "/>
    <n v="1200"/>
    <m/>
    <x v="5"/>
    <s v="Info- ja kommunikatsioonitehnoliigised kulud"/>
    <n v="55"/>
    <x v="0"/>
    <x v="0"/>
    <x v="0"/>
    <x v="0"/>
    <m/>
  </r>
  <r>
    <x v="8"/>
    <x v="43"/>
    <x v="43"/>
    <x v="20"/>
    <s v="Vabaaeg, kultuur ja religioon"/>
    <s v="Muuga raamatukogu"/>
    <s v="bürootarbed, auhinnad-kingitused, telefon jne"/>
    <n v="500"/>
    <m/>
    <x v="0"/>
    <s v="Administreerimiskulud"/>
    <n v="55"/>
    <x v="0"/>
    <x v="0"/>
    <x v="0"/>
    <x v="0"/>
    <m/>
  </r>
  <r>
    <x v="8"/>
    <x v="43"/>
    <x v="43"/>
    <x v="20"/>
    <s v="Vabaaeg, kultuur ja religioon"/>
    <s v="Venevere raamatukogu"/>
    <s v="perioodika "/>
    <n v="1300"/>
    <m/>
    <x v="0"/>
    <s v="Administreerimiskulud"/>
    <n v="55"/>
    <x v="0"/>
    <x v="0"/>
    <x v="0"/>
    <x v="0"/>
    <m/>
  </r>
  <r>
    <x v="8"/>
    <x v="43"/>
    <x v="43"/>
    <x v="20"/>
    <s v="Vabaaeg, kultuur ja religioon"/>
    <s v="Venevere raamatukogu"/>
    <s v="Teavikud"/>
    <n v="2500"/>
    <m/>
    <x v="10"/>
    <s v="Teavikud ja kunstiesemed"/>
    <n v="55"/>
    <x v="0"/>
    <x v="0"/>
    <x v="0"/>
    <x v="0"/>
    <m/>
  </r>
  <r>
    <x v="8"/>
    <x v="43"/>
    <x v="43"/>
    <x v="20"/>
    <s v="Vabaaeg, kultuur ja religioon"/>
    <s v="Venevere raamatukogu"/>
    <s v="Raamatukogupäevade üritused, TÕN üritused "/>
    <n v="200"/>
    <m/>
    <x v="22"/>
    <s v="Kommunikatsiooni-, kultuuri- ja vaba aja sisustamise kulud"/>
    <n v="55"/>
    <x v="0"/>
    <x v="0"/>
    <x v="0"/>
    <x v="0"/>
    <m/>
  </r>
  <r>
    <x v="8"/>
    <x v="43"/>
    <x v="43"/>
    <x v="20"/>
    <s v="Vabaaeg, kultuur ja religioon"/>
    <s v="Venevere raamatukogu"/>
    <s v="puhastus- ja korrashoiuvahendid"/>
    <n v="100"/>
    <m/>
    <x v="4"/>
    <s v="Kinnistute, hoonete ja ruumide majandamiskulud"/>
    <n v="55"/>
    <x v="0"/>
    <x v="0"/>
    <x v="0"/>
    <x v="0"/>
    <m/>
  </r>
  <r>
    <x v="8"/>
    <x v="43"/>
    <x v="43"/>
    <x v="20"/>
    <s v="Vabaaeg, kultuur ja religioon"/>
    <s v="Venevere raamatukogu"/>
    <s v="korstnapühkimisteenus"/>
    <n v="200"/>
    <m/>
    <x v="4"/>
    <s v="Kinnistute, hoonete ja ruumide majandamiskulud"/>
    <n v="55"/>
    <x v="0"/>
    <x v="0"/>
    <x v="0"/>
    <x v="0"/>
    <m/>
  </r>
  <r>
    <x v="8"/>
    <x v="43"/>
    <x v="43"/>
    <x v="20"/>
    <s v="Vabaaeg, kultuur ja religioon"/>
    <s v="Venevere raamatukogu"/>
    <s v="Urrami hooldus ja arendus"/>
    <n v="250"/>
    <m/>
    <x v="5"/>
    <s v="Info- ja kommunikatsioonitehnoliigised kulud"/>
    <n v="55"/>
    <x v="0"/>
    <x v="0"/>
    <x v="0"/>
    <x v="0"/>
    <m/>
  </r>
  <r>
    <x v="8"/>
    <x v="43"/>
    <x v="43"/>
    <x v="20"/>
    <s v="Vabaaeg, kultuur ja religioon"/>
    <s v="Venevere raamatukogu"/>
    <s v="bürootarbed, auhinnad-kingitused, telefon jne"/>
    <n v="300"/>
    <m/>
    <x v="0"/>
    <s v="Administreerimiskulud"/>
    <n v="55"/>
    <x v="0"/>
    <x v="0"/>
    <x v="0"/>
    <x v="0"/>
    <m/>
  </r>
  <r>
    <x v="8"/>
    <x v="44"/>
    <x v="44"/>
    <x v="21"/>
    <s v="Vabaaeg, kultuur ja religioon"/>
    <s v="Kadila Seltsimaja"/>
    <s v="Elekter"/>
    <n v="1500"/>
    <m/>
    <x v="4"/>
    <s v="Kinnistute, hoonete ja ruumide majandamiskulud"/>
    <n v="55"/>
    <x v="0"/>
    <x v="0"/>
    <x v="0"/>
    <x v="0"/>
    <m/>
  </r>
  <r>
    <x v="8"/>
    <x v="44"/>
    <x v="44"/>
    <x v="21"/>
    <s v="Vabaaeg, kultuur ja religioon"/>
    <s v="Kadila Seltsimaja"/>
    <s v="Vesi ja kanalisatsioon"/>
    <n v="170"/>
    <m/>
    <x v="4"/>
    <s v="Kinnistute, hoonete ja ruumide majandamiskulud"/>
    <n v="55"/>
    <x v="0"/>
    <x v="0"/>
    <x v="0"/>
    <x v="0"/>
    <m/>
  </r>
  <r>
    <x v="8"/>
    <x v="44"/>
    <x v="44"/>
    <x v="21"/>
    <s v="Vabaaeg, kultuur ja religioon"/>
    <s v="Kadila Seltsimaja"/>
    <s v="Prügivedu"/>
    <n v="85"/>
    <m/>
    <x v="4"/>
    <s v="Kinnistute, hoonete ja ruumide majandamiskulud"/>
    <n v="55"/>
    <x v="0"/>
    <x v="0"/>
    <x v="0"/>
    <x v="0"/>
    <m/>
  </r>
  <r>
    <x v="8"/>
    <x v="44"/>
    <x v="44"/>
    <x v="21"/>
    <s v="Vabaaeg, kultuur ja religioon"/>
    <s v="Kadila Seltsimaja"/>
    <s v="Prügikonteineri rent"/>
    <n v="92.4"/>
    <m/>
    <x v="4"/>
    <s v="Kinnistute, hoonete ja ruumide majandamiskulud"/>
    <n v="55"/>
    <x v="0"/>
    <x v="0"/>
    <x v="0"/>
    <x v="0"/>
    <m/>
  </r>
  <r>
    <x v="8"/>
    <x v="44"/>
    <x v="44"/>
    <x v="21"/>
    <s v="Vabaaeg, kultuur ja religioon"/>
    <s v="Kadila Seltsimaja"/>
    <s v="Küttepuud"/>
    <n v="1800"/>
    <m/>
    <x v="4"/>
    <s v="Kinnistute, hoonete ja ruumide majandamiskulud"/>
    <n v="55"/>
    <x v="0"/>
    <x v="0"/>
    <x v="0"/>
    <x v="0"/>
    <m/>
  </r>
  <r>
    <x v="8"/>
    <x v="44"/>
    <x v="44"/>
    <x v="21"/>
    <s v="Vabaaeg, kultuur ja religioon"/>
    <s v="Kadila Seltsimaja"/>
    <s v="hoone kindlustus "/>
    <n v="200"/>
    <m/>
    <x v="4"/>
    <s v="Kinnistute, hoonete ja ruumide majandamiskulud"/>
    <n v="55"/>
    <x v="0"/>
    <x v="0"/>
    <x v="0"/>
    <x v="0"/>
    <m/>
  </r>
  <r>
    <x v="8"/>
    <x v="44"/>
    <x v="44"/>
    <x v="21"/>
    <s v="Vabaaeg, kultuur ja religioon"/>
    <s v="Kadila Seltsimaja"/>
    <s v="Sideteenused"/>
    <n v="600"/>
    <m/>
    <x v="0"/>
    <s v="Administreerimiskulud"/>
    <n v="55"/>
    <x v="0"/>
    <x v="0"/>
    <x v="0"/>
    <x v="0"/>
    <m/>
  </r>
  <r>
    <x v="8"/>
    <x v="44"/>
    <x v="44"/>
    <x v="21"/>
    <s v="Vabaaeg, kultuur ja religioon"/>
    <s v="Kadila Seltsimaja"/>
    <s v="Üritused"/>
    <n v="250"/>
    <m/>
    <x v="22"/>
    <s v="Kommunikatsiooni-, kultuuri- ja vaba aja sisustamise kulud"/>
    <n v="55"/>
    <x v="0"/>
    <x v="0"/>
    <x v="0"/>
    <x v="0"/>
    <m/>
  </r>
  <r>
    <x v="8"/>
    <x v="44"/>
    <x v="44"/>
    <x v="21"/>
    <s v="Vabaaeg, kultuur ja religioon"/>
    <s v="Kadila Seltsimaja"/>
    <s v="Korstnapühkija"/>
    <n v="160"/>
    <m/>
    <x v="4"/>
    <s v="Kinnistute, hoonete ja ruumide majandamiskulud"/>
    <n v="55"/>
    <x v="0"/>
    <x v="0"/>
    <x v="0"/>
    <x v="0"/>
    <m/>
  </r>
  <r>
    <x v="8"/>
    <x v="44"/>
    <x v="44"/>
    <x v="21"/>
    <s v="Vabaaeg, kultuur ja religioon"/>
    <s v="Kadila Seltsimaja"/>
    <s v="Muud kinnistukulud"/>
    <n v="500"/>
    <m/>
    <x v="4"/>
    <s v="Kinnistute, hoonete ja ruumide majandamiskulud"/>
    <n v="55"/>
    <x v="0"/>
    <x v="0"/>
    <x v="0"/>
    <x v="0"/>
    <m/>
  </r>
  <r>
    <x v="8"/>
    <x v="45"/>
    <x v="45"/>
    <x v="21"/>
    <s v="Vabaaeg, kultuur ja religioon"/>
    <s v="Pajusti klubi"/>
    <s v="Kulud, elektrile, küttele, prügi , vee eest, _x000a_kanalistasioon, korrashoiuvahendid, tuletõrje _x000a_ja signalisatsiooni hooldus, jäätmete vedamine, _x000a_pisiremont"/>
    <n v="15000"/>
    <m/>
    <x v="4"/>
    <s v="Kinnistute, hoonete ja ruumide majandamiskulud"/>
    <n v="55"/>
    <x v="0"/>
    <x v="0"/>
    <x v="0"/>
    <x v="0"/>
    <m/>
  </r>
  <r>
    <x v="8"/>
    <x v="45"/>
    <x v="45"/>
    <x v="21"/>
    <s v="Vabaaeg, kultuur ja religioon"/>
    <s v="Pajusti klubi"/>
    <s v="Koolitused"/>
    <n v="800"/>
    <s v="Klubi juhataja, ringide juhendajad"/>
    <x v="2"/>
    <s v="Koolituskulud"/>
    <n v="55"/>
    <x v="0"/>
    <x v="0"/>
    <x v="0"/>
    <x v="0"/>
    <m/>
  </r>
  <r>
    <x v="8"/>
    <x v="45"/>
    <x v="45"/>
    <x v="21"/>
    <s v="Vabaaeg, kultuur ja religioon"/>
    <s v="Pajusti klubi"/>
    <s v="isikliku sõiduauto komp."/>
    <n v="1440"/>
    <s v="12 kuud"/>
    <x v="3"/>
    <s v="Sõidukite ülalpidamise kulud"/>
    <n v="55"/>
    <x v="0"/>
    <x v="0"/>
    <x v="0"/>
    <x v="0"/>
    <m/>
  </r>
  <r>
    <x v="8"/>
    <x v="45"/>
    <x v="45"/>
    <x v="21"/>
    <s v="Vabaaeg, kultuur ja religioon"/>
    <s v="Pajusti klubi"/>
    <s v="arvutiprogrammid, hoolduse, tooner"/>
    <n v="1000"/>
    <m/>
    <x v="5"/>
    <s v="Info- ja kommunikatsioonitehnoliigised kulud"/>
    <n v="55"/>
    <x v="0"/>
    <x v="0"/>
    <x v="0"/>
    <x v="0"/>
    <m/>
  </r>
  <r>
    <x v="8"/>
    <x v="45"/>
    <x v="45"/>
    <x v="21"/>
    <s v="Vabaaeg, kultuur ja religioon"/>
    <s v="Ehitusnõunik"/>
    <s v="Pajusti klubi katus"/>
    <n v="40000"/>
    <m/>
    <x v="12"/>
    <s v="Rajatiste ja hoonete soetamine ja renoveerimine"/>
    <n v="15"/>
    <x v="3"/>
    <x v="3"/>
    <x v="3"/>
    <x v="2"/>
    <m/>
  </r>
  <r>
    <x v="8"/>
    <x v="45"/>
    <x v="45"/>
    <x v="21"/>
    <s v="Vabaaeg, kultuur ja religioon"/>
    <s v="Pajusti klubi"/>
    <s v="Ürituste plaan 2020"/>
    <n v="7200"/>
    <s v="Filharmoonikud ja advendikingitus Valla ürituste eelarvesse"/>
    <x v="22"/>
    <s v="Kommunikatsiooni-, kultuuri- ja vaba aja sisustamise kulud"/>
    <n v="55"/>
    <x v="0"/>
    <x v="0"/>
    <x v="0"/>
    <x v="0"/>
    <m/>
  </r>
  <r>
    <x v="8"/>
    <x v="45"/>
    <x v="45"/>
    <x v="21"/>
    <s v="Vabaaeg, kultuur ja religioon"/>
    <s v="Pajusti klubi"/>
    <s v="Sideteenused"/>
    <n v="560.04999999999995"/>
    <m/>
    <x v="0"/>
    <s v="Administreerimiskulud"/>
    <n v="55"/>
    <x v="0"/>
    <x v="0"/>
    <x v="0"/>
    <x v="0"/>
    <m/>
  </r>
  <r>
    <x v="8"/>
    <x v="45"/>
    <x v="45"/>
    <x v="21"/>
    <s v="Vabaaeg, kultuur ja religioon"/>
    <s v="Pajusti klubi"/>
    <s v="kontoritarbed"/>
    <n v="300"/>
    <m/>
    <x v="0"/>
    <s v="Administreerimiskulud"/>
    <n v="55"/>
    <x v="0"/>
    <x v="0"/>
    <x v="0"/>
    <x v="0"/>
    <m/>
  </r>
  <r>
    <x v="8"/>
    <x v="45"/>
    <x v="45"/>
    <x v="21"/>
    <s v="Vabaaeg, kultuur ja religioon"/>
    <s v="Pajusti klubi"/>
    <s v="Lilled Mõttelõng"/>
    <n v="270"/>
    <m/>
    <x v="22"/>
    <s v="Kommunikatsiooni-, kultuuri- ja vaba aja sisustamise kulud"/>
    <n v="55"/>
    <x v="0"/>
    <x v="0"/>
    <x v="0"/>
    <x v="0"/>
    <m/>
  </r>
  <r>
    <x v="8"/>
    <x v="45"/>
    <x v="45"/>
    <x v="21"/>
    <s v="Vabaaeg, kultuur ja religioon"/>
    <s v="Pajusti klubi"/>
    <s v="Lilled Elutark"/>
    <n v="270"/>
    <m/>
    <x v="22"/>
    <s v="Kommunikatsiooni-, kultuuri- ja vaba aja sisustamise kulud"/>
    <n v="55"/>
    <x v="0"/>
    <x v="0"/>
    <x v="0"/>
    <x v="0"/>
    <m/>
  </r>
  <r>
    <x v="8"/>
    <x v="46"/>
    <x v="46"/>
    <x v="21"/>
    <s v="Vabaaeg, kultuur ja religioon"/>
    <s v="Roela Rahvamaja"/>
    <s v="küte"/>
    <n v="16000"/>
    <s v="õliküte 21000 l. aastas"/>
    <x v="4"/>
    <s v="Kinnistute, hoonete ja ruumide majandamiskulud"/>
    <n v="55"/>
    <x v="0"/>
    <x v="0"/>
    <x v="0"/>
    <x v="0"/>
    <m/>
  </r>
  <r>
    <x v="8"/>
    <x v="46"/>
    <x v="46"/>
    <x v="21"/>
    <s v="Vabaaeg, kultuur ja religioon"/>
    <s v="Roela Rahvamaja"/>
    <s v="elekter"/>
    <n v="4800"/>
    <s v="28455 mhv rahvamaja, arvestuses ka Sinilille tn. valgustus"/>
    <x v="4"/>
    <s v="Kinnistute, hoonete ja ruumide majandamiskulud"/>
    <n v="55"/>
    <x v="0"/>
    <x v="0"/>
    <x v="0"/>
    <x v="0"/>
    <m/>
  </r>
  <r>
    <x v="8"/>
    <x v="46"/>
    <x v="46"/>
    <x v="21"/>
    <s v="Vabaaeg, kultuur ja religioon"/>
    <s v="Roela Rahvamaja"/>
    <s v="vesi ja kanalisatsioon"/>
    <n v="2575"/>
    <s v="Virumaa Veepumbakeskus, Fixum"/>
    <x v="4"/>
    <s v="Kinnistute, hoonete ja ruumide majandamiskulud"/>
    <n v="55"/>
    <x v="0"/>
    <x v="0"/>
    <x v="0"/>
    <x v="0"/>
    <m/>
  </r>
  <r>
    <x v="8"/>
    <x v="46"/>
    <x v="46"/>
    <x v="21"/>
    <s v="Vabaaeg, kultuur ja religioon"/>
    <s v="Roela Rahvamaja"/>
    <s v="ATS hooldus"/>
    <n v="460"/>
    <s v="U.K.V. Grupp"/>
    <x v="4"/>
    <s v="Kinnistute, hoonete ja ruumide majandamiskulud"/>
    <n v="55"/>
    <x v="0"/>
    <x v="0"/>
    <x v="0"/>
    <x v="0"/>
    <m/>
  </r>
  <r>
    <x v="8"/>
    <x v="46"/>
    <x v="46"/>
    <x v="21"/>
    <s v="Vabaaeg, kultuur ja religioon"/>
    <s v="Roela Rahvamaja"/>
    <s v="korrashoiuvahendid"/>
    <n v="360"/>
    <s v="wc paber, harjad, lapid, kodukeemia"/>
    <x v="4"/>
    <s v="Kinnistute, hoonete ja ruumide majandamiskulud"/>
    <n v="55"/>
    <x v="0"/>
    <x v="0"/>
    <x v="0"/>
    <x v="0"/>
    <m/>
  </r>
  <r>
    <x v="8"/>
    <x v="46"/>
    <x v="46"/>
    <x v="21"/>
    <s v="Vabaaeg, kultuur ja religioon"/>
    <s v="Roela Rahvamaja"/>
    <s v="valgustid"/>
    <n v="400"/>
    <s v="pirnid, prožektorid"/>
    <x v="4"/>
    <s v="Kinnistute, hoonete ja ruumide majandamiskulud"/>
    <n v="55"/>
    <x v="0"/>
    <x v="0"/>
    <x v="0"/>
    <x v="0"/>
    <m/>
  </r>
  <r>
    <x v="8"/>
    <x v="46"/>
    <x v="46"/>
    <x v="21"/>
    <s v="Vabaaeg, kultuur ja religioon"/>
    <s v="Roela Rahvamaja"/>
    <s v="pesu pesemine"/>
    <n v="100"/>
    <s v="teenus"/>
    <x v="4"/>
    <s v="Kinnistute, hoonete ja ruumide majandamiskulud"/>
    <n v="55"/>
    <x v="0"/>
    <x v="0"/>
    <x v="0"/>
    <x v="0"/>
    <m/>
  </r>
  <r>
    <x v="8"/>
    <x v="46"/>
    <x v="46"/>
    <x v="21"/>
    <s v="Vabaaeg, kultuur ja religioon"/>
    <s v="Roela Rahvamaja"/>
    <s v="remont"/>
    <n v="220"/>
    <s v="pisiremont"/>
    <x v="4"/>
    <s v="Kinnistute, hoonete ja ruumide majandamiskulud"/>
    <n v="55"/>
    <x v="0"/>
    <x v="0"/>
    <x v="0"/>
    <x v="0"/>
    <m/>
  </r>
  <r>
    <x v="8"/>
    <x v="46"/>
    <x v="46"/>
    <x v="21"/>
    <s v="Vabaaeg, kultuur ja religioon"/>
    <s v="Roela Rahvamaja"/>
    <s v="telefon, internet"/>
    <n v="730"/>
    <s v="3297299,internet digi tv"/>
    <x v="0"/>
    <s v="Administreerimiskulud"/>
    <n v="55"/>
    <x v="0"/>
    <x v="0"/>
    <x v="0"/>
    <x v="0"/>
    <m/>
  </r>
  <r>
    <x v="8"/>
    <x v="46"/>
    <x v="46"/>
    <x v="21"/>
    <s v="Vabaaeg, kultuur ja religioon"/>
    <s v="Roela Rahvamaja"/>
    <s v="mobiiltelefon"/>
    <n v="120"/>
    <n v="5273878"/>
    <x v="0"/>
    <s v="Administreerimiskulud"/>
    <n v="55"/>
    <x v="0"/>
    <x v="0"/>
    <x v="0"/>
    <x v="0"/>
    <m/>
  </r>
  <r>
    <x v="8"/>
    <x v="46"/>
    <x v="46"/>
    <x v="21"/>
    <s v="Vabaaeg, kultuur ja religioon"/>
    <s v="Roela Rahvamaja"/>
    <s v="postikulu, kuulutused"/>
    <n v="110"/>
    <s v="üritused,ümbrikud, plakatid"/>
    <x v="0"/>
    <s v="Administreerimiskulud"/>
    <n v="55"/>
    <x v="0"/>
    <x v="0"/>
    <x v="0"/>
    <x v="0"/>
    <m/>
  </r>
  <r>
    <x v="8"/>
    <x v="46"/>
    <x v="46"/>
    <x v="21"/>
    <s v="Vabaaeg, kultuur ja religioon"/>
    <s v="Roela Rahvamaja"/>
    <s v="tahma- ja tindikassetid"/>
    <n v="190"/>
    <s v="printerid"/>
    <x v="0"/>
    <s v="Administreerimiskulud"/>
    <n v="55"/>
    <x v="0"/>
    <x v="0"/>
    <x v="0"/>
    <x v="0"/>
    <m/>
  </r>
  <r>
    <x v="8"/>
    <x v="46"/>
    <x v="46"/>
    <x v="21"/>
    <s v="Vabaaeg, kultuur ja religioon"/>
    <s v="Roela Rahvamaja"/>
    <s v="koolitused"/>
    <n v="560"/>
    <s v="juhataja,ringijuhid"/>
    <x v="2"/>
    <s v="Koolituskulud"/>
    <n v="55"/>
    <x v="0"/>
    <x v="0"/>
    <x v="0"/>
    <x v="0"/>
    <m/>
  </r>
  <r>
    <x v="8"/>
    <x v="46"/>
    <x v="46"/>
    <x v="21"/>
    <s v="Vabaaeg, kultuur ja religioon"/>
    <s v="Roela Rahvamaja"/>
    <s v="isikliku sõiduauto komp."/>
    <n v="1536"/>
    <s v="12 kuud"/>
    <x v="3"/>
    <s v="Sõidukite ülalpidamise kulud"/>
    <n v="55"/>
    <x v="0"/>
    <x v="0"/>
    <x v="0"/>
    <x v="0"/>
    <m/>
  </r>
  <r>
    <x v="8"/>
    <x v="46"/>
    <x v="46"/>
    <x v="21"/>
    <s v="Vabaaeg, kultuur ja religioon"/>
    <s v="Roela Rahvamaja"/>
    <s v="näituste korraldamise kulud"/>
    <n v="400"/>
    <s v="ülesseadmine,transport"/>
    <x v="22"/>
    <s v="Kommunikatsiooni-, kultuuri- ja vaba aja sisustamise kulud"/>
    <n v="55"/>
    <x v="0"/>
    <x v="0"/>
    <x v="0"/>
    <x v="0"/>
    <m/>
  </r>
  <r>
    <x v="8"/>
    <x v="46"/>
    <x v="46"/>
    <x v="21"/>
    <s v="Vabaaeg, kultuur ja religioon"/>
    <s v="Roela Rahvamaja"/>
    <s v="valgustid (prožektorid),helitehnika (kõlarid,juhtmed)"/>
    <n v="3200"/>
    <m/>
    <x v="8"/>
    <s v="Inventari kulud, v.a infotehnoloogia ja kaitseotstarbelised kulud"/>
    <n v="55"/>
    <x v="0"/>
    <x v="0"/>
    <x v="0"/>
    <x v="0"/>
    <m/>
  </r>
  <r>
    <x v="8"/>
    <x v="46"/>
    <x v="46"/>
    <x v="21"/>
    <s v="Vabaaeg, kultuur ja religioon"/>
    <s v="Roela Rahvamaja"/>
    <s v="esmaabivahendid,prillid"/>
    <n v="400"/>
    <m/>
    <x v="9"/>
    <s v="Meditsiinikulud ja hügieenitarbed"/>
    <n v="55"/>
    <x v="0"/>
    <x v="0"/>
    <x v="0"/>
    <x v="0"/>
    <m/>
  </r>
  <r>
    <x v="8"/>
    <x v="46"/>
    <x v="46"/>
    <x v="21"/>
    <s v="Vabaaeg, kultuur ja religioon"/>
    <s v="Roela Rahvamaja"/>
    <s v="käelise tegevuse asjad,markerid,paberid,liim,värvid,rekvisiit,lilled"/>
    <n v="390"/>
    <m/>
    <x v="30"/>
    <s v="Õppevahendid"/>
    <n v="55"/>
    <x v="0"/>
    <x v="0"/>
    <x v="0"/>
    <x v="0"/>
    <m/>
  </r>
  <r>
    <x v="8"/>
    <x v="46"/>
    <x v="46"/>
    <x v="21"/>
    <s v="Vabaaeg, kultuur ja religioon"/>
    <s v="Roela Rahvamaja"/>
    <s v="arvutiprogrammid, hooldused"/>
    <n v="100"/>
    <m/>
    <x v="5"/>
    <s v="Info- ja kommunikatsioonitehnoliigised kulud"/>
    <n v="55"/>
    <x v="0"/>
    <x v="0"/>
    <x v="0"/>
    <x v="0"/>
    <m/>
  </r>
  <r>
    <x v="8"/>
    <x v="46"/>
    <x v="46"/>
    <x v="21"/>
    <s v="Vabaaeg, kultuur ja religioon"/>
    <s v="Roela Rahvamaja"/>
    <s v="RAM-i kontsert (RAM 75-EV 102)"/>
    <n v="1200"/>
    <s v="kontserdi maksumus"/>
    <x v="22"/>
    <s v="Kommunikatsiooni-, kultuuri- ja vaba aja sisustamise kulud"/>
    <n v="55"/>
    <x v="0"/>
    <x v="0"/>
    <x v="0"/>
    <x v="0"/>
    <m/>
  </r>
  <r>
    <x v="8"/>
    <x v="46"/>
    <x v="46"/>
    <x v="21"/>
    <s v="Vabaaeg, kultuur ja religioon"/>
    <s v="Roela Rahvamaja"/>
    <s v="Salongiõhtu Meenutame jaak Joalat ja Georg Otsa"/>
    <n v="1500"/>
    <s v="külalisesinejad"/>
    <x v="22"/>
    <s v="Kommunikatsiooni-, kultuuri- ja vaba aja sisustamise kulud"/>
    <n v="55"/>
    <x v="0"/>
    <x v="0"/>
    <x v="0"/>
    <x v="0"/>
    <m/>
  </r>
  <r>
    <x v="8"/>
    <x v="46"/>
    <x v="46"/>
    <x v="21"/>
    <s v="Vabaaeg, kultuur ja religioon"/>
    <s v="Roela Rahvamaja"/>
    <s v="Jaaniõhtu"/>
    <n v="1000"/>
    <s v="auhinnad,tantsumuusika"/>
    <x v="22"/>
    <s v="Kommunikatsiooni-, kultuuri- ja vaba aja sisustamise kulud"/>
    <n v="55"/>
    <x v="0"/>
    <x v="0"/>
    <x v="0"/>
    <x v="0"/>
    <m/>
  </r>
  <r>
    <x v="8"/>
    <x v="46"/>
    <x v="46"/>
    <x v="21"/>
    <s v="Vabaaeg, kultuur ja religioon"/>
    <s v="Roela Rahvamaja"/>
    <s v="advendi ja jõuluüritused. Aastalõpupidu"/>
    <n v="2500"/>
    <s v="esinejad, meened"/>
    <x v="22"/>
    <s v="Kommunikatsiooni-, kultuuri- ja vaba aja sisustamise kulud"/>
    <n v="55"/>
    <x v="0"/>
    <x v="0"/>
    <x v="0"/>
    <x v="0"/>
    <m/>
  </r>
  <r>
    <x v="8"/>
    <x v="46"/>
    <x v="46"/>
    <x v="21"/>
    <s v="Vabaaeg, kultuur ja religioon"/>
    <s v="Roela Rahvamaja"/>
    <s v="naistepäevapidu"/>
    <n v="50"/>
    <s v="lilled"/>
    <x v="22"/>
    <s v="Kommunikatsiooni-, kultuuri- ja vaba aja sisustamise kulud"/>
    <n v="55"/>
    <x v="0"/>
    <x v="0"/>
    <x v="0"/>
    <x v="0"/>
    <m/>
  </r>
  <r>
    <x v="8"/>
    <x v="46"/>
    <x v="46"/>
    <x v="21"/>
    <s v="Vabaaeg, kultuur ja religioon"/>
    <s v="Roela Rahvamaja"/>
    <s v="esinemised"/>
    <n v="400"/>
    <s v="väljasõidud"/>
    <x v="1"/>
    <s v="Mitmesugused majanduskulud"/>
    <n v="55"/>
    <x v="0"/>
    <x v="0"/>
    <x v="0"/>
    <x v="0"/>
    <m/>
  </r>
  <r>
    <x v="8"/>
    <x v="47"/>
    <x v="47"/>
    <x v="21"/>
    <s v="Vabaaeg, kultuur ja religioon"/>
    <s v="Laekvere Rahva Maja"/>
    <s v="Bürootarbed"/>
    <n v="300"/>
    <m/>
    <x v="0"/>
    <s v="Administreerimiskulud"/>
    <n v="55"/>
    <x v="0"/>
    <x v="0"/>
    <x v="0"/>
    <x v="0"/>
    <m/>
  </r>
  <r>
    <x v="8"/>
    <x v="47"/>
    <x v="47"/>
    <x v="21"/>
    <s v="Vabaaeg, kultuur ja religioon"/>
    <s v="Laekvere Rahva Maja"/>
    <s v="Lauatelefon, internet"/>
    <n v="500"/>
    <m/>
    <x v="0"/>
    <s v="Administreerimiskulud"/>
    <n v="55"/>
    <x v="0"/>
    <x v="0"/>
    <x v="0"/>
    <x v="0"/>
    <m/>
  </r>
  <r>
    <x v="8"/>
    <x v="47"/>
    <x v="47"/>
    <x v="21"/>
    <s v="Vabaaeg, kultuur ja religioon"/>
    <s v="Laekvere Rahva Maja"/>
    <s v="Trükised, ajalehed, ajakirjad"/>
    <n v="300"/>
    <s v="Virumaa teataja,Eesti Ekspress,  Maakodu"/>
    <x v="0"/>
    <s v="Administreerimiskulud"/>
    <n v="55"/>
    <x v="0"/>
    <x v="0"/>
    <x v="0"/>
    <x v="0"/>
    <m/>
  </r>
  <r>
    <x v="8"/>
    <x v="47"/>
    <x v="47"/>
    <x v="21"/>
    <s v="Vabaaeg, kultuur ja religioon"/>
    <s v="Laekvere Rahva Maja"/>
    <s v="Kuulutused, reklaam"/>
    <n v="100"/>
    <m/>
    <x v="0"/>
    <s v="Administreerimiskulud"/>
    <n v="55"/>
    <x v="0"/>
    <x v="0"/>
    <x v="0"/>
    <x v="0"/>
    <m/>
  </r>
  <r>
    <x v="8"/>
    <x v="47"/>
    <x v="47"/>
    <x v="21"/>
    <s v="Vabaaeg, kultuur ja religioon"/>
    <s v="Laekvere Rahva Maja"/>
    <s v="Kingitused, auhinnad"/>
    <n v="400"/>
    <m/>
    <x v="0"/>
    <s v="Administreerimiskulud"/>
    <n v="55"/>
    <x v="0"/>
    <x v="0"/>
    <x v="0"/>
    <x v="0"/>
    <m/>
  </r>
  <r>
    <x v="8"/>
    <x v="47"/>
    <x v="47"/>
    <x v="21"/>
    <s v="Vabaaeg, kultuur ja religioon"/>
    <s v="Laekvere Rahva Maja"/>
    <s v="Koolitused"/>
    <n v="200"/>
    <m/>
    <x v="2"/>
    <s v="Koolituskulud"/>
    <n v="55"/>
    <x v="0"/>
    <x v="0"/>
    <x v="0"/>
    <x v="0"/>
    <m/>
  </r>
  <r>
    <x v="8"/>
    <x v="47"/>
    <x v="47"/>
    <x v="21"/>
    <s v="Vabaaeg, kultuur ja religioon"/>
    <s v="Laekvere Rahva Maja"/>
    <s v="Isikliku sõiduauto komp."/>
    <n v="900"/>
    <m/>
    <x v="3"/>
    <s v="Sõidukite ülalpidamise kulud"/>
    <n v="55"/>
    <x v="0"/>
    <x v="0"/>
    <x v="0"/>
    <x v="0"/>
    <m/>
  </r>
  <r>
    <x v="8"/>
    <x v="47"/>
    <x v="47"/>
    <x v="21"/>
    <s v="Vabaaeg, kultuur ja religioon"/>
    <s v="Laekvere Rahva Maja"/>
    <s v="Töötajate tervisetõendid"/>
    <n v="400"/>
    <m/>
    <x v="9"/>
    <s v="Meditsiinikulud ja hügieenitarbed"/>
    <n v="55"/>
    <x v="0"/>
    <x v="0"/>
    <x v="0"/>
    <x v="0"/>
    <m/>
  </r>
  <r>
    <x v="8"/>
    <x v="47"/>
    <x v="47"/>
    <x v="21"/>
    <s v="Vabaaeg, kultuur ja religioon"/>
    <s v="Laekvere Rahva Maja"/>
    <s v="Üritused"/>
    <n v="18800"/>
    <s v="(jõulupidu Muuga mõisas 600eur, kokkusaamised, väljasõidud sünnipäevade tähistamine), muud ettenägematud kulud."/>
    <x v="22"/>
    <s v="Kommunikatsiooni-, kultuuri- ja vaba aja sisustamise kulud"/>
    <n v="55"/>
    <x v="0"/>
    <x v="0"/>
    <x v="0"/>
    <x v="0"/>
    <m/>
  </r>
  <r>
    <x v="8"/>
    <x v="47"/>
    <x v="47"/>
    <x v="21"/>
    <s v="Vabaaeg, kultuur ja religioon"/>
    <s v="Laekvere Rahva Maja"/>
    <s v="Toiduained"/>
    <n v="1000"/>
    <m/>
    <x v="22"/>
    <s v="Kommunikatsiooni-, kultuuri- ja vaba aja sisustamise kulud"/>
    <n v="55"/>
    <x v="0"/>
    <x v="0"/>
    <x v="0"/>
    <x v="0"/>
    <m/>
  </r>
  <r>
    <x v="8"/>
    <x v="47"/>
    <x v="47"/>
    <x v="21"/>
    <s v="Vabaaeg, kultuur ja religioon"/>
    <s v="Laekvere Rahva Maja"/>
    <s v="Küte"/>
    <n v="20000"/>
    <m/>
    <x v="4"/>
    <s v="Kinnistute, hoonete ja ruumide majandamiskulud"/>
    <n v="55"/>
    <x v="0"/>
    <x v="0"/>
    <x v="0"/>
    <x v="0"/>
    <m/>
  </r>
  <r>
    <x v="8"/>
    <x v="47"/>
    <x v="47"/>
    <x v="21"/>
    <s v="Vabaaeg, kultuur ja religioon"/>
    <s v="Laekvere Rahva Maja"/>
    <s v="Elekter"/>
    <n v="3000"/>
    <m/>
    <x v="4"/>
    <s v="Kinnistute, hoonete ja ruumide majandamiskulud"/>
    <n v="55"/>
    <x v="0"/>
    <x v="0"/>
    <x v="0"/>
    <x v="0"/>
    <m/>
  </r>
  <r>
    <x v="8"/>
    <x v="47"/>
    <x v="47"/>
    <x v="21"/>
    <s v="Vabaaeg, kultuur ja religioon"/>
    <s v="Laekvere Rahva Maja"/>
    <s v="Elektrikäitlemiskulu"/>
    <n v="400"/>
    <m/>
    <x v="4"/>
    <s v="Kinnistute, hoonete ja ruumide majandamiskulud"/>
    <n v="55"/>
    <x v="0"/>
    <x v="0"/>
    <x v="0"/>
    <x v="0"/>
    <m/>
  </r>
  <r>
    <x v="8"/>
    <x v="47"/>
    <x v="47"/>
    <x v="21"/>
    <s v="Vabaaeg, kultuur ja religioon"/>
    <s v="Laekvere Rahva Maja"/>
    <s v="Korrashoid, remont"/>
    <n v="2000"/>
    <s v="Remonttööd siseruumides"/>
    <x v="4"/>
    <s v="Kinnistute, hoonete ja ruumide majandamiskulud"/>
    <n v="55"/>
    <x v="0"/>
    <x v="0"/>
    <x v="0"/>
    <x v="0"/>
    <m/>
  </r>
  <r>
    <x v="8"/>
    <x v="47"/>
    <x v="47"/>
    <x v="21"/>
    <s v="Vabaaeg, kultuur ja religioon"/>
    <s v="Laekvere Rahva Maja"/>
    <s v="Prügivedu"/>
    <n v="100"/>
    <m/>
    <x v="4"/>
    <s v="Kinnistute, hoonete ja ruumide majandamiskulud"/>
    <n v="55"/>
    <x v="0"/>
    <x v="0"/>
    <x v="0"/>
    <x v="0"/>
    <m/>
  </r>
  <r>
    <x v="8"/>
    <x v="47"/>
    <x v="47"/>
    <x v="21"/>
    <s v="Vabaaeg, kultuur ja religioon"/>
    <s v="Laekvere Rahva Maja"/>
    <s v="Vesi, kanalisatsioon"/>
    <n v="500"/>
    <m/>
    <x v="4"/>
    <s v="Kinnistute, hoonete ja ruumide majandamiskulud"/>
    <n v="55"/>
    <x v="0"/>
    <x v="0"/>
    <x v="0"/>
    <x v="0"/>
    <m/>
  </r>
  <r>
    <x v="8"/>
    <x v="47"/>
    <x v="47"/>
    <x v="21"/>
    <s v="Vabaaeg, kultuur ja religioon"/>
    <s v="Laekvere Rahva Maja"/>
    <s v="Kindlustusmaksed"/>
    <n v="100"/>
    <m/>
    <x v="4"/>
    <s v="Kinnistute, hoonete ja ruumide majandamiskulud"/>
    <n v="55"/>
    <x v="0"/>
    <x v="0"/>
    <x v="0"/>
    <x v="0"/>
    <m/>
  </r>
  <r>
    <x v="8"/>
    <x v="47"/>
    <x v="47"/>
    <x v="21"/>
    <s v="Vabaaeg, kultuur ja religioon"/>
    <s v="Laekvere Rahva Maja"/>
    <s v="Elektritarvikud"/>
    <n v="500"/>
    <s v=" valgustus, pirnid, patareid"/>
    <x v="4"/>
    <s v="Kinnistute, hoonete ja ruumide majandamiskulud"/>
    <n v="55"/>
    <x v="0"/>
    <x v="0"/>
    <x v="0"/>
    <x v="0"/>
    <m/>
  </r>
  <r>
    <x v="8"/>
    <x v="47"/>
    <x v="47"/>
    <x v="21"/>
    <s v="Vabaaeg, kultuur ja religioon"/>
    <s v="Ehitusnõunik"/>
    <s v="Laekvere Rahvamaja keldrisse lasketiiru rajamine"/>
    <n v="64820"/>
    <m/>
    <x v="12"/>
    <s v="Rajatiste ja hoonete soetamine ja renoveerimine"/>
    <n v="15"/>
    <x v="3"/>
    <x v="3"/>
    <x v="3"/>
    <x v="2"/>
    <m/>
  </r>
  <r>
    <x v="8"/>
    <x v="47"/>
    <x v="47"/>
    <x v="21"/>
    <s v="Vabaaeg, kultuur ja religioon"/>
    <s v="Ehitusnõunik"/>
    <s v="Laekvere Rahvamaja, soojustuse projekteerimine ja noortetoa ventilatsioon"/>
    <n v="32000"/>
    <m/>
    <x v="12"/>
    <s v="Rajatiste ja hoonete soetamine ja renoveerimine"/>
    <n v="15"/>
    <x v="3"/>
    <x v="3"/>
    <x v="3"/>
    <x v="2"/>
    <m/>
  </r>
  <r>
    <x v="8"/>
    <x v="47"/>
    <x v="47"/>
    <x v="21"/>
    <s v="Vabaaeg, kultuur ja religioon"/>
    <s v="Laekvere Rahva Maja"/>
    <s v="MTÜ Eha kapellijuhendaja sõidukulud"/>
    <n v="552"/>
    <m/>
    <x v="3"/>
    <s v="Sõidukite ülalpidamise kulud"/>
    <n v="55"/>
    <x v="0"/>
    <x v="0"/>
    <x v="0"/>
    <x v="0"/>
    <m/>
  </r>
  <r>
    <x v="8"/>
    <x v="47"/>
    <x v="47"/>
    <x v="21"/>
    <s v="Vabaaeg, kultuur ja religioon"/>
    <s v="Ehitusnõunik"/>
    <s v="Laekvere Rahvamaja keldrisse lasketiiru rajamine"/>
    <n v="20000"/>
    <s v="PRIA toetus"/>
    <x v="12"/>
    <s v="Rajatiste ja hoonete soetamine ja renoveerimine"/>
    <n v="15"/>
    <x v="3"/>
    <x v="3"/>
    <x v="3"/>
    <x v="2"/>
    <m/>
  </r>
  <r>
    <x v="8"/>
    <x v="48"/>
    <x v="48"/>
    <x v="21"/>
    <s v="Vabaaeg, kultuur ja religioon"/>
    <s v="Venevere seltsimaja"/>
    <s v="kinnistukulud"/>
    <n v="8000"/>
    <m/>
    <x v="4"/>
    <s v="Kinnistute, hoonete ja ruumide majandamiskulud"/>
    <n v="55"/>
    <x v="0"/>
    <x v="0"/>
    <x v="0"/>
    <x v="0"/>
    <m/>
  </r>
  <r>
    <x v="8"/>
    <x v="48"/>
    <x v="48"/>
    <x v="21"/>
    <s v="Vabaaeg, kultuur ja religioon"/>
    <s v="Venevere seltsimaja"/>
    <s v="Bürootarbed"/>
    <n v="120"/>
    <m/>
    <x v="0"/>
    <s v="Administreerimiskulud"/>
    <n v="55"/>
    <x v="0"/>
    <x v="0"/>
    <x v="0"/>
    <x v="0"/>
    <m/>
  </r>
  <r>
    <x v="8"/>
    <x v="48"/>
    <x v="48"/>
    <x v="21"/>
    <s v="Vabaaeg, kultuur ja religioon"/>
    <s v="Venevere seltsimaja"/>
    <s v="koolitused"/>
    <n v="100"/>
    <m/>
    <x v="2"/>
    <s v="Koolituskulud"/>
    <n v="55"/>
    <x v="0"/>
    <x v="0"/>
    <x v="0"/>
    <x v="0"/>
    <m/>
  </r>
  <r>
    <x v="8"/>
    <x v="48"/>
    <x v="48"/>
    <x v="21"/>
    <s v="Vabaaeg, kultuur ja religioon"/>
    <s v="Venevere seltsimaja"/>
    <s v="Sõidukite majandamiskulud"/>
    <n v="400"/>
    <m/>
    <x v="3"/>
    <s v="Sõidukite ülalpidamise kulud"/>
    <n v="55"/>
    <x v="0"/>
    <x v="0"/>
    <x v="0"/>
    <x v="0"/>
    <m/>
  </r>
  <r>
    <x v="8"/>
    <x v="48"/>
    <x v="48"/>
    <x v="21"/>
    <s v="Vabaaeg, kultuur ja religioon"/>
    <s v="Venevere seltsimaja"/>
    <s v="Pokaalid 50tk 90.00, muu inventar vastavalt vajadusele"/>
    <n v="500"/>
    <m/>
    <x v="8"/>
    <s v="Inventari kulud, v.a infotehnoloogia ja kaitseotstarbelised kulud"/>
    <n v="55"/>
    <x v="0"/>
    <x v="0"/>
    <x v="0"/>
    <x v="0"/>
    <m/>
  </r>
  <r>
    <x v="8"/>
    <x v="48"/>
    <x v="48"/>
    <x v="21"/>
    <s v="Vabaaeg, kultuur ja religioon"/>
    <s v="Venevere seltsimaja"/>
    <s v="Üritused"/>
    <n v="2730"/>
    <m/>
    <x v="22"/>
    <s v="Kommunikatsiooni-, kultuuri- ja vaba aja sisustamise kulud"/>
    <n v="55"/>
    <x v="0"/>
    <x v="0"/>
    <x v="0"/>
    <x v="0"/>
    <m/>
  </r>
  <r>
    <x v="8"/>
    <x v="48"/>
    <x v="48"/>
    <x v="21"/>
    <s v="Vabaaeg, kultuur ja religioon"/>
    <s v="Venevere seltsimaja"/>
    <s v="IT kulud"/>
    <n v="600"/>
    <m/>
    <x v="5"/>
    <s v="Info- ja kommunikatsioonitehnoliigised kulud"/>
    <n v="55"/>
    <x v="0"/>
    <x v="0"/>
    <x v="0"/>
    <x v="0"/>
    <m/>
  </r>
  <r>
    <x v="8"/>
    <x v="49"/>
    <x v="49"/>
    <x v="21"/>
    <s v="Vabaaeg, kultuur ja religioon"/>
    <s v="Ulvi klubi"/>
    <s v="telefon ja internet"/>
    <n v="350"/>
    <s v="telefon 3295418, internet Andigo OÜ 25.90 x 12 "/>
    <x v="0"/>
    <s v="Administreerimiskulud"/>
    <n v="55"/>
    <x v="0"/>
    <x v="0"/>
    <x v="0"/>
    <x v="0"/>
    <m/>
  </r>
  <r>
    <x v="8"/>
    <x v="49"/>
    <x v="49"/>
    <x v="21"/>
    <s v="Vabaaeg, kultuur ja religioon"/>
    <s v="Ulvi klubi"/>
    <s v="printeri tahm "/>
    <n v="100"/>
    <s v="värviprinteri tahm "/>
    <x v="0"/>
    <s v="Administreerimiskulud"/>
    <n v="55"/>
    <x v="0"/>
    <x v="0"/>
    <x v="0"/>
    <x v="0"/>
    <m/>
  </r>
  <r>
    <x v="8"/>
    <x v="49"/>
    <x v="49"/>
    <x v="21"/>
    <s v="Vabaaeg, kultuur ja religioon"/>
    <s v="Ulvi klubi"/>
    <s v="paber, pliiats, markerid"/>
    <n v="50"/>
    <m/>
    <x v="0"/>
    <s v="Administreerimiskulud"/>
    <n v="55"/>
    <x v="0"/>
    <x v="0"/>
    <x v="0"/>
    <x v="0"/>
    <m/>
  </r>
  <r>
    <x v="8"/>
    <x v="49"/>
    <x v="49"/>
    <x v="21"/>
    <s v="Vabaaeg, kultuur ja religioon"/>
    <s v="Ulvi klubi"/>
    <s v="klubi juhataja koolitused"/>
    <n v="450"/>
    <s v="juhataja koolitused/täiendkursused/suvekool"/>
    <x v="2"/>
    <s v="Koolituskulud"/>
    <n v="55"/>
    <x v="0"/>
    <x v="0"/>
    <x v="0"/>
    <x v="0"/>
    <m/>
  </r>
  <r>
    <x v="8"/>
    <x v="49"/>
    <x v="49"/>
    <x v="21"/>
    <s v="Vabaaeg, kultuur ja religioon"/>
    <s v="Ulvi klubi"/>
    <s v="isikliku sõiduauto kasutamine juhatajal"/>
    <n v="720"/>
    <s v="12 x 60.- "/>
    <x v="3"/>
    <s v="Sõidukite ülalpidamise kulud"/>
    <n v="55"/>
    <x v="0"/>
    <x v="0"/>
    <x v="0"/>
    <x v="0"/>
    <m/>
  </r>
  <r>
    <x v="8"/>
    <x v="49"/>
    <x v="49"/>
    <x v="21"/>
    <s v="Vabaaeg, kultuur ja religioon"/>
    <s v="Ulvi klubi"/>
    <s v="klubi ringide esinemisväljasõidud"/>
    <n v="1500"/>
    <s v="bussi tellimine"/>
    <x v="22"/>
    <s v="Kommunikatsiooni-, kultuuri- ja vaba aja sisustamise kulud"/>
    <n v="55"/>
    <x v="0"/>
    <x v="0"/>
    <x v="0"/>
    <x v="0"/>
    <m/>
  </r>
  <r>
    <x v="8"/>
    <x v="49"/>
    <x v="49"/>
    <x v="21"/>
    <s v="Vabaaeg, kultuur ja religioon"/>
    <s v="Ulvi klubi"/>
    <s v="lilleteenus"/>
    <n v="150"/>
    <s v="ringijuhtide õnnitlemine, teiste asutuste õnnitlemine"/>
    <x v="22"/>
    <s v="Kommunikatsiooni-, kultuuri- ja vaba aja sisustamise kulud"/>
    <n v="55"/>
    <x v="0"/>
    <x v="0"/>
    <x v="0"/>
    <x v="0"/>
    <m/>
  </r>
  <r>
    <x v="8"/>
    <x v="49"/>
    <x v="49"/>
    <x v="21"/>
    <s v="Vabaaeg, kultuur ja religioon"/>
    <s v="Ulvi klubi"/>
    <s v="Vabariigi aastapäeva lipuheiskamine"/>
    <n v="200"/>
    <s v="esineja tellimine,vastuvõtulaud"/>
    <x v="22"/>
    <s v="Kommunikatsiooni-, kultuuri- ja vaba aja sisustamise kulud"/>
    <n v="55"/>
    <x v="0"/>
    <x v="0"/>
    <x v="0"/>
    <x v="0"/>
    <m/>
  </r>
  <r>
    <x v="8"/>
    <x v="49"/>
    <x v="49"/>
    <x v="21"/>
    <s v="Vabaaeg, kultuur ja religioon"/>
    <s v="Ulvi klubi"/>
    <s v="väiksemad üritused/koosviibimised"/>
    <n v="1000"/>
    <s v="aasta jooksul lisanduvad mitte pikalt ette planeeritud üritused"/>
    <x v="22"/>
    <s v="Kommunikatsiooni-, kultuuri- ja vaba aja sisustamise kulud"/>
    <n v="55"/>
    <x v="0"/>
    <x v="0"/>
    <x v="0"/>
    <x v="0"/>
    <m/>
  </r>
  <r>
    <x v="8"/>
    <x v="49"/>
    <x v="49"/>
    <x v="21"/>
    <s v="Vabaaeg, kultuur ja religioon"/>
    <s v="Ulvi klubi"/>
    <s v="emadepäeva kontsert "/>
    <n v="100"/>
    <s v="tort/lilled/esineja"/>
    <x v="22"/>
    <s v="Kommunikatsiooni-, kultuuri- ja vaba aja sisustamise kulud"/>
    <n v="55"/>
    <x v="0"/>
    <x v="0"/>
    <x v="0"/>
    <x v="0"/>
    <m/>
  </r>
  <r>
    <x v="8"/>
    <x v="49"/>
    <x v="49"/>
    <x v="21"/>
    <s v="Vabaaeg, kultuur ja religioon"/>
    <s v="Ulvi klubi"/>
    <s v="Rägavere piirkonna jaanituli"/>
    <n v="1500"/>
    <s v="ansambel/õhtujuht/auhinnad/lõke/lasteala"/>
    <x v="22"/>
    <s v="Kommunikatsiooni-, kultuuri- ja vaba aja sisustamise kulud"/>
    <n v="55"/>
    <x v="0"/>
    <x v="0"/>
    <x v="0"/>
    <x v="0"/>
    <m/>
  </r>
  <r>
    <x v="8"/>
    <x v="49"/>
    <x v="49"/>
    <x v="21"/>
    <s v="Vabaaeg, kultuur ja religioon"/>
    <s v="Ulvi klubi"/>
    <s v="koduste laste jõulupidu "/>
    <n v="100"/>
    <s v="jõuluvana tellimine"/>
    <x v="22"/>
    <s v="Kommunikatsiooni-, kultuuri- ja vaba aja sisustamise kulud"/>
    <n v="55"/>
    <x v="0"/>
    <x v="0"/>
    <x v="0"/>
    <x v="0"/>
    <m/>
  </r>
  <r>
    <x v="8"/>
    <x v="49"/>
    <x v="49"/>
    <x v="21"/>
    <s v="Vabaaeg, kultuur ja religioon"/>
    <s v="Ulvi klubi"/>
    <s v="taidlejate/piirkonna jõulupidu"/>
    <n v="200"/>
    <s v="esinejate tellimine/ ringijuhtide jõulupakid"/>
    <x v="22"/>
    <s v="Kommunikatsiooni-, kultuuri- ja vaba aja sisustamise kulud"/>
    <n v="55"/>
    <x v="0"/>
    <x v="0"/>
    <x v="0"/>
    <x v="0"/>
    <m/>
  </r>
  <r>
    <x v="8"/>
    <x v="49"/>
    <x v="49"/>
    <x v="21"/>
    <s v="Vabaaeg, kultuur ja religioon"/>
    <s v="Ulvi klubi"/>
    <s v="kevadine hooaja lõpetamine "/>
    <n v="300"/>
    <s v="esineja/tänukirjad/kringel/kohv"/>
    <x v="22"/>
    <s v="Kommunikatsiooni-, kultuuri- ja vaba aja sisustamise kulud"/>
    <n v="55"/>
    <x v="0"/>
    <x v="0"/>
    <x v="0"/>
    <x v="0"/>
    <m/>
  </r>
  <r>
    <x v="8"/>
    <x v="49"/>
    <x v="49"/>
    <x v="21"/>
    <s v="Vabaaeg, kultuur ja religioon"/>
    <s v="Ulvi klubi"/>
    <s v="Rägavere piirkonna vastalpäev"/>
    <n v="150"/>
    <s v="supp/kukklid/auhinnad"/>
    <x v="22"/>
    <s v="Kommunikatsiooni-, kultuuri- ja vaba aja sisustamise kulud"/>
    <n v="55"/>
    <x v="0"/>
    <x v="0"/>
    <x v="0"/>
    <x v="0"/>
    <m/>
  </r>
  <r>
    <x v="8"/>
    <x v="49"/>
    <x v="49"/>
    <x v="21"/>
    <s v="Vabaaeg, kultuur ja religioon"/>
    <s v="Ulvi klubi"/>
    <s v="dekoratsioonid üritustele"/>
    <n v="150"/>
    <m/>
    <x v="22"/>
    <s v="Kommunikatsiooni-, kultuuri- ja vaba aja sisustamise kulud"/>
    <n v="55"/>
    <x v="0"/>
    <x v="0"/>
    <x v="0"/>
    <x v="0"/>
    <m/>
  </r>
  <r>
    <x v="8"/>
    <x v="49"/>
    <x v="49"/>
    <x v="21"/>
    <s v="Vabaaeg, kultuur ja religioon"/>
    <s v="Ulvi klubi"/>
    <s v="eakate päeva tähistamine "/>
    <n v="100"/>
    <m/>
    <x v="22"/>
    <s v="Kommunikatsiooni-, kultuuri- ja vaba aja sisustamise kulud"/>
    <n v="55"/>
    <x v="0"/>
    <x v="0"/>
    <x v="0"/>
    <x v="0"/>
    <m/>
  </r>
  <r>
    <x v="8"/>
    <x v="49"/>
    <x v="49"/>
    <x v="21"/>
    <s v="Vabaaeg, kultuur ja religioon"/>
    <s v="Ulvi klubi"/>
    <s v="pesutöötlus"/>
    <n v="100"/>
    <s v="Virumaa Puhastus OÜ "/>
    <x v="4"/>
    <s v="Kinnistute, hoonete ja ruumide majandamiskulud"/>
    <n v="55"/>
    <x v="0"/>
    <x v="0"/>
    <x v="0"/>
    <x v="0"/>
    <m/>
  </r>
  <r>
    <x v="8"/>
    <x v="49"/>
    <x v="49"/>
    <x v="21"/>
    <s v="Vabaaeg, kultuur ja religioon"/>
    <s v="Ulvi klubi"/>
    <s v="vesi ja kanalisatsioon "/>
    <n v="400"/>
    <s v="Kunda Vesi OÜ"/>
    <x v="4"/>
    <s v="Kinnistute, hoonete ja ruumide majandamiskulud"/>
    <n v="55"/>
    <x v="0"/>
    <x v="0"/>
    <x v="0"/>
    <x v="0"/>
    <m/>
  </r>
  <r>
    <x v="8"/>
    <x v="49"/>
    <x v="49"/>
    <x v="21"/>
    <s v="Vabaaeg, kultuur ja religioon"/>
    <s v="Ulvi klubi"/>
    <s v="veeautomaadi rent/vesi"/>
    <n v="100"/>
    <s v="6.- x 12 "/>
    <x v="4"/>
    <s v="Kinnistute, hoonete ja ruumide majandamiskulud"/>
    <n v="55"/>
    <x v="0"/>
    <x v="0"/>
    <x v="0"/>
    <x v="0"/>
    <m/>
  </r>
  <r>
    <x v="8"/>
    <x v="49"/>
    <x v="49"/>
    <x v="21"/>
    <s v="Vabaaeg, kultuur ja religioon"/>
    <s v="Ulvi klubi"/>
    <s v="elekter"/>
    <n v="10000"/>
    <s v="Eesti Energia AS"/>
    <x v="4"/>
    <s v="Kinnistute, hoonete ja ruumide majandamiskulud"/>
    <n v="55"/>
    <x v="0"/>
    <x v="0"/>
    <x v="0"/>
    <x v="0"/>
    <m/>
  </r>
  <r>
    <x v="8"/>
    <x v="49"/>
    <x v="49"/>
    <x v="21"/>
    <s v="Vabaaeg, kultuur ja religioon"/>
    <s v="Ulvi klubi"/>
    <s v="maaküte"/>
    <n v="1000"/>
    <s v="Viru Maaküte OÜ "/>
    <x v="4"/>
    <s v="Kinnistute, hoonete ja ruumide majandamiskulud"/>
    <n v="55"/>
    <x v="0"/>
    <x v="0"/>
    <x v="0"/>
    <x v="0"/>
    <m/>
  </r>
  <r>
    <x v="8"/>
    <x v="49"/>
    <x v="49"/>
    <x v="21"/>
    <s v="Vabaaeg, kultuur ja religioon"/>
    <s v="Ulvi klubi"/>
    <s v="tulekustutite kontroll/hooldusteenus"/>
    <n v="200"/>
    <s v="Tamrex Ohutuse OÜ"/>
    <x v="4"/>
    <s v="Kinnistute, hoonete ja ruumide majandamiskulud"/>
    <n v="55"/>
    <x v="0"/>
    <x v="0"/>
    <x v="0"/>
    <x v="0"/>
    <m/>
  </r>
  <r>
    <x v="8"/>
    <x v="49"/>
    <x v="49"/>
    <x v="21"/>
    <s v="Vabaaeg, kultuur ja religioon"/>
    <s v="Ulvi klubi"/>
    <s v="valvesüsteemi hooldusteenua"/>
    <n v="120"/>
    <s v="KMPH Grupp OÜ"/>
    <x v="4"/>
    <s v="Kinnistute, hoonete ja ruumide majandamiskulud"/>
    <n v="55"/>
    <x v="0"/>
    <x v="0"/>
    <x v="0"/>
    <x v="0"/>
    <m/>
  </r>
  <r>
    <x v="8"/>
    <x v="49"/>
    <x v="49"/>
    <x v="21"/>
    <s v="Vabaaeg, kultuur ja religioon"/>
    <s v="Ulvi klubi"/>
    <s v="maja korrashoiuvahendid"/>
    <n v="1000"/>
    <s v="puh.vahendid, lapid, mopid, harjad, WC- ja kätebaperid, seebi jne."/>
    <x v="4"/>
    <s v="Kinnistute, hoonete ja ruumide majandamiskulud"/>
    <n v="55"/>
    <x v="0"/>
    <x v="0"/>
    <x v="0"/>
    <x v="0"/>
    <m/>
  </r>
  <r>
    <x v="8"/>
    <x v="49"/>
    <x v="49"/>
    <x v="21"/>
    <s v="Vabaaeg, kultuur ja religioon"/>
    <s v="Ulvi klubi"/>
    <s v="saali parketihooldus "/>
    <n v="800"/>
    <s v="iga aastane parketihooldus/vahendid/tööaeg"/>
    <x v="4"/>
    <s v="Kinnistute, hoonete ja ruumide majandamiskulud"/>
    <n v="55"/>
    <x v="0"/>
    <x v="0"/>
    <x v="0"/>
    <x v="0"/>
    <m/>
  </r>
  <r>
    <x v="8"/>
    <x v="49"/>
    <x v="49"/>
    <x v="21"/>
    <s v="Vabaaeg, kultuur ja religioon"/>
    <s v="Ulvi klubi"/>
    <s v="maja hooldustööd/remont"/>
    <n v="1000"/>
    <s v="ettenägematud kulud maja remondiks/pirnide vahetus/parandustööd/kanalisatsioonitööd"/>
    <x v="4"/>
    <s v="Kinnistute, hoonete ja ruumide majandamiskulud"/>
    <n v="55"/>
    <x v="0"/>
    <x v="0"/>
    <x v="0"/>
    <x v="0"/>
    <m/>
  </r>
  <r>
    <x v="8"/>
    <x v="49"/>
    <x v="49"/>
    <x v="21"/>
    <s v="Vabaaeg, kultuur ja religioon"/>
    <s v="Ulvi klubi"/>
    <s v="lilled õue lillekastidesse, amplid suvel maja ees"/>
    <n v="100"/>
    <m/>
    <x v="4"/>
    <s v="Kinnistute, hoonete ja ruumide majandamiskulud"/>
    <n v="55"/>
    <x v="0"/>
    <x v="0"/>
    <x v="0"/>
    <x v="0"/>
    <m/>
  </r>
  <r>
    <x v="8"/>
    <x v="49"/>
    <x v="49"/>
    <x v="21"/>
    <s v="Vabaaeg, kultuur ja religioon"/>
    <s v="Ulvi klubi"/>
    <s v="hoone kindlustus "/>
    <n v="300"/>
    <m/>
    <x v="4"/>
    <s v="Kinnistute, hoonete ja ruumide majandamiskulud"/>
    <n v="55"/>
    <x v="0"/>
    <x v="0"/>
    <x v="0"/>
    <x v="0"/>
    <m/>
  </r>
  <r>
    <x v="8"/>
    <x v="49"/>
    <x v="49"/>
    <x v="21"/>
    <s v="Vabaaeg, kultuur ja religioon"/>
    <s v="Ulvi klubi"/>
    <s v="arvutihooldus/programmid"/>
    <n v="300"/>
    <m/>
    <x v="5"/>
    <s v="Info- ja kommunikatsioonitehnoliigised kulud"/>
    <n v="55"/>
    <x v="0"/>
    <x v="0"/>
    <x v="0"/>
    <x v="0"/>
    <m/>
  </r>
  <r>
    <x v="8"/>
    <x v="50"/>
    <x v="50"/>
    <x v="22"/>
    <s v="Vabaaeg, kultuur ja religioon"/>
    <s v="Muuseumi juhataja"/>
    <s v="Transpordikulud"/>
    <n v="1000"/>
    <s v="Põlula, Tudu muuseumisse isikute vedu"/>
    <x v="1"/>
    <s v="Mitmesugused majanduskulud"/>
    <n v="55"/>
    <x v="0"/>
    <x v="0"/>
    <x v="0"/>
    <x v="0"/>
    <m/>
  </r>
  <r>
    <x v="8"/>
    <x v="50"/>
    <x v="50"/>
    <x v="22"/>
    <s v="Vabaaeg, kultuur ja religioon"/>
    <s v="Muuseumi juhataja"/>
    <s v="Skännerid"/>
    <n v="540"/>
    <s v="Põlula, Tudu, Roela, Viru-Jaagupi, Kadila, Laekvere"/>
    <x v="5"/>
    <s v="Info- ja kommunikatsioonitehnoliigised kulud"/>
    <n v="55"/>
    <x v="0"/>
    <x v="0"/>
    <x v="0"/>
    <x v="0"/>
    <m/>
  </r>
  <r>
    <x v="8"/>
    <x v="50"/>
    <x v="50"/>
    <x v="22"/>
    <s v="Vabaaeg, kultuur ja religioon"/>
    <s v="Muuseumi juhataja"/>
    <s v="Arhiveerimistarvikud"/>
    <n v="2400"/>
    <s v="Põlula, Tudu, Roela, Viru-Jaagupi, Kadila, Laekvere"/>
    <x v="0"/>
    <s v="Administreerimiskulud"/>
    <n v="55"/>
    <x v="0"/>
    <x v="0"/>
    <x v="0"/>
    <x v="0"/>
    <m/>
  </r>
  <r>
    <x v="8"/>
    <x v="50"/>
    <x v="50"/>
    <x v="22"/>
    <s v="Vabaaeg, kultuur ja religioon"/>
    <s v="Muuseumi juhataja"/>
    <s v="Materjalide ettevalmistamine näituseks"/>
    <n v="1500"/>
    <s v="Põlula, Tudu, Roela "/>
    <x v="1"/>
    <s v="Mitmesugused majanduskulud"/>
    <n v="55"/>
    <x v="0"/>
    <x v="0"/>
    <x v="0"/>
    <x v="0"/>
    <m/>
  </r>
  <r>
    <x v="8"/>
    <x v="50"/>
    <x v="50"/>
    <x v="22"/>
    <s v="Vabaaeg, kultuur ja religioon"/>
    <s v="Muuseumi juhataja"/>
    <s v="Isikliku sõiduauto komp."/>
    <n v="3685"/>
    <m/>
    <x v="3"/>
    <s v="Sõidukite ülalpidamise kulud"/>
    <n v="55"/>
    <x v="0"/>
    <x v="0"/>
    <x v="0"/>
    <x v="0"/>
    <m/>
  </r>
  <r>
    <x v="8"/>
    <x v="50"/>
    <x v="50"/>
    <x v="22"/>
    <s v="Vabaaeg, kultuur ja religioon"/>
    <s v="Muuseumi juhataja"/>
    <s v="Sideteenused"/>
    <n v="180"/>
    <m/>
    <x v="0"/>
    <s v="Administreerimiskulud"/>
    <n v="55"/>
    <x v="0"/>
    <x v="0"/>
    <x v="0"/>
    <x v="0"/>
    <m/>
  </r>
  <r>
    <x v="8"/>
    <x v="50"/>
    <x v="50"/>
    <x v="22"/>
    <s v="Vabaaeg, kultuur ja religioon"/>
    <s v="Muuseumi juhataja"/>
    <s v="Topoteegi aastane hooldustasu"/>
    <n v="300"/>
    <m/>
    <x v="5"/>
    <s v="Info- ja kommunikatsioonitehnoliigised kulud"/>
    <n v="55"/>
    <x v="0"/>
    <x v="0"/>
    <x v="0"/>
    <x v="0"/>
    <m/>
  </r>
  <r>
    <x v="8"/>
    <x v="50"/>
    <x v="50"/>
    <x v="22"/>
    <s v="Vabaaeg, kultuur ja religioon"/>
    <s v="Muuseumi juhataja"/>
    <s v="Topoteegi pidajate koolitus"/>
    <n v="200"/>
    <m/>
    <x v="2"/>
    <s v="Koolituskulud"/>
    <n v="55"/>
    <x v="0"/>
    <x v="0"/>
    <x v="0"/>
    <x v="0"/>
    <m/>
  </r>
  <r>
    <x v="8"/>
    <x v="50"/>
    <x v="50"/>
    <x v="22"/>
    <s v="Vabaaeg, kultuur ja religioon"/>
    <s v="Muuseumi juhataja"/>
    <s v="TLU töögrupi tegevuse kompenseerimine"/>
    <n v="1200"/>
    <s v="Majutus, transport, toitlustus"/>
    <x v="1"/>
    <s v="Mitmesugused majanduskulud"/>
    <n v="55"/>
    <x v="0"/>
    <x v="0"/>
    <x v="0"/>
    <x v="0"/>
    <m/>
  </r>
  <r>
    <x v="8"/>
    <x v="50"/>
    <x v="50"/>
    <x v="22"/>
    <s v="Vabaaeg, kultuur ja religioon"/>
    <s v="Muuseumi juhataja"/>
    <s v="Arhiveerimistarvikud"/>
    <n v="1000"/>
    <m/>
    <x v="0"/>
    <s v="Administreerimiskulud"/>
    <n v="55"/>
    <x v="0"/>
    <x v="0"/>
    <x v="0"/>
    <x v="0"/>
    <m/>
  </r>
  <r>
    <x v="8"/>
    <x v="50"/>
    <x v="50"/>
    <x v="22"/>
    <s v="Vabaaeg, kultuur ja religioon"/>
    <s v="Muuseumi juhataja"/>
    <s v="Koolitused"/>
    <n v="500"/>
    <m/>
    <x v="2"/>
    <s v="Koolituskulud"/>
    <n v="55"/>
    <x v="0"/>
    <x v="0"/>
    <x v="0"/>
    <x v="0"/>
    <m/>
  </r>
  <r>
    <x v="8"/>
    <x v="50"/>
    <x v="50"/>
    <x v="22"/>
    <s v="Vabaaeg, kultuur ja religioon"/>
    <s v="Muuseumi juhataja"/>
    <s v="Eksperdi kaasamine ERMist"/>
    <n v="600"/>
    <m/>
    <x v="1"/>
    <s v="Mitmesugused majanduskulud"/>
    <n v="55"/>
    <x v="0"/>
    <x v="0"/>
    <x v="0"/>
    <x v="0"/>
    <m/>
  </r>
  <r>
    <x v="8"/>
    <x v="50"/>
    <x v="50"/>
    <x v="22"/>
    <s v="Vabaaeg, kultuur ja religioon"/>
    <s v="Muuseumi juhataja"/>
    <s v="Ettenägematud kulud"/>
    <n v="2500"/>
    <m/>
    <x v="1"/>
    <s v="Mitmesugused majanduskulud"/>
    <n v="55"/>
    <x v="0"/>
    <x v="0"/>
    <x v="0"/>
    <x v="0"/>
    <m/>
  </r>
  <r>
    <x v="8"/>
    <x v="51"/>
    <x v="51"/>
    <x v="23"/>
    <s v="Vabaaeg, kultuur ja religioon"/>
    <s v="Kultuuri-ja avalike suhete nõunik"/>
    <s v="Vallalehe kirjastuskulud"/>
    <n v="14000"/>
    <m/>
    <x v="0"/>
    <s v="Administreerimiskulud"/>
    <n v="55"/>
    <x v="0"/>
    <x v="0"/>
    <x v="0"/>
    <x v="0"/>
    <m/>
  </r>
  <r>
    <x v="8"/>
    <x v="52"/>
    <x v="52"/>
    <x v="24"/>
    <s v="Vabaaeg, kultuur ja religioon"/>
    <s v="Vallavanem"/>
    <s v="Isikliku sõiduauto komp."/>
    <n v="1650"/>
    <s v="Hilje ametikoht"/>
    <x v="3"/>
    <s v="Sõidukite ülalpidamise kulud"/>
    <n v="55"/>
    <x v="0"/>
    <x v="0"/>
    <x v="0"/>
    <x v="0"/>
    <m/>
  </r>
  <r>
    <x v="8"/>
    <x v="52"/>
    <x v="52"/>
    <x v="24"/>
    <s v="Vabaaeg, kultuur ja religioon"/>
    <s v="Vallavanem"/>
    <s v="koolitused"/>
    <n v="350"/>
    <m/>
    <x v="2"/>
    <s v="Koolituskulud"/>
    <n v="55"/>
    <x v="0"/>
    <x v="0"/>
    <x v="0"/>
    <x v="0"/>
    <m/>
  </r>
  <r>
    <x v="8"/>
    <x v="52"/>
    <x v="52"/>
    <x v="24"/>
    <s v="Vabaaeg, kultuur ja religioon"/>
    <s v="Vallavanem"/>
    <s v="Sideteenused"/>
    <n v="120"/>
    <m/>
    <x v="0"/>
    <s v="Administreerimiskulud"/>
    <n v="55"/>
    <x v="0"/>
    <x v="0"/>
    <x v="0"/>
    <x v="0"/>
    <m/>
  </r>
  <r>
    <x v="8"/>
    <x v="52"/>
    <x v="52"/>
    <x v="24"/>
    <s v="Vabaaeg, kultuur ja religioon"/>
    <s v="Arendusnõunik"/>
    <s v="Raudteepärandi projektis osalemine"/>
    <n v="20000"/>
    <m/>
    <x v="12"/>
    <s v="Rajatiste ja hoonete soetamine ja renoveerimine"/>
    <n v="15"/>
    <x v="3"/>
    <x v="3"/>
    <x v="3"/>
    <x v="2"/>
    <m/>
  </r>
  <r>
    <x v="1"/>
    <x v="53"/>
    <x v="53"/>
    <x v="25"/>
    <s v="Haridus"/>
    <s v="Vinni lasteaed"/>
    <s v="Telefonid, internet"/>
    <n v="800"/>
    <s v="Telia"/>
    <x v="0"/>
    <s v="Administreerimiskulud"/>
    <n v="55"/>
    <x v="0"/>
    <x v="0"/>
    <x v="0"/>
    <x v="0"/>
    <m/>
  </r>
  <r>
    <x v="1"/>
    <x v="53"/>
    <x v="53"/>
    <x v="25"/>
    <s v="Haridus"/>
    <s v="Vinni lasteaed"/>
    <s v="Ajalehed, tööalane kirjandus, kuulutused"/>
    <n v="500"/>
    <s v="Õpetajate leht, tööalased teavikud jne"/>
    <x v="0"/>
    <s v="Administreerimiskulud"/>
    <n v="55"/>
    <x v="0"/>
    <x v="0"/>
    <x v="0"/>
    <x v="0"/>
    <m/>
  </r>
  <r>
    <x v="1"/>
    <x v="53"/>
    <x v="53"/>
    <x v="25"/>
    <s v="Haridus"/>
    <s v="Vinni lasteaed"/>
    <s v="Kantseleikaubad"/>
    <n v="450"/>
    <s v="paber, pastakad, tahm jne"/>
    <x v="0"/>
    <s v="Administreerimiskulud"/>
    <n v="55"/>
    <x v="0"/>
    <x v="0"/>
    <x v="0"/>
    <x v="0"/>
    <m/>
  </r>
  <r>
    <x v="1"/>
    <x v="53"/>
    <x v="53"/>
    <x v="25"/>
    <s v="Haridus"/>
    <s v="Vinni lasteaed"/>
    <s v="Koolitused pedagoogidele"/>
    <n v="1200"/>
    <m/>
    <x v="2"/>
    <s v="Koolituskulud"/>
    <n v="55"/>
    <x v="0"/>
    <x v="0"/>
    <x v="0"/>
    <x v="0"/>
    <m/>
  </r>
  <r>
    <x v="1"/>
    <x v="53"/>
    <x v="53"/>
    <x v="25"/>
    <s v="Haridus"/>
    <s v="Vinni lasteaed"/>
    <s v="Tellitud koolitused majja"/>
    <n v="500"/>
    <m/>
    <x v="2"/>
    <s v="Koolituskulud"/>
    <n v="55"/>
    <x v="0"/>
    <x v="0"/>
    <x v="0"/>
    <x v="0"/>
    <m/>
  </r>
  <r>
    <x v="1"/>
    <x v="53"/>
    <x v="53"/>
    <x v="25"/>
    <s v="Haridus"/>
    <s v="Vinni lasteaed"/>
    <s v="Ainesektsioonid"/>
    <n v="300"/>
    <m/>
    <x v="2"/>
    <s v="Koolituskulud"/>
    <n v="55"/>
    <x v="0"/>
    <x v="0"/>
    <x v="0"/>
    <x v="0"/>
    <m/>
  </r>
  <r>
    <x v="1"/>
    <x v="53"/>
    <x v="53"/>
    <x v="25"/>
    <s v="Haridus"/>
    <s v="Vinni lasteaed"/>
    <s v="Lähetus"/>
    <n v="300"/>
    <s v="bussipiletid, kütus"/>
    <x v="2"/>
    <s v="Koolituskulud"/>
    <n v="55"/>
    <x v="0"/>
    <x v="0"/>
    <x v="0"/>
    <x v="0"/>
    <m/>
  </r>
  <r>
    <x v="1"/>
    <x v="53"/>
    <x v="53"/>
    <x v="25"/>
    <s v="Haridus"/>
    <s v="Vinni lasteaed"/>
    <s v="Isikliku sõiduauto kasutus"/>
    <n v="1536"/>
    <s v="12x 64 x 2autot"/>
    <x v="3"/>
    <s v="Sõidukite ülalpidamise kulud"/>
    <n v="55"/>
    <x v="0"/>
    <x v="0"/>
    <x v="0"/>
    <x v="0"/>
    <m/>
  </r>
  <r>
    <x v="1"/>
    <x v="53"/>
    <x v="53"/>
    <x v="25"/>
    <s v="Haridus"/>
    <s v="Vinni lasteaed"/>
    <s v="Süntesaator"/>
    <n v="1500"/>
    <m/>
    <x v="8"/>
    <s v="Inventari kulud, v.a infotehnoloogia ja kaitseotstarbelised kulud"/>
    <n v="55"/>
    <x v="0"/>
    <x v="0"/>
    <x v="0"/>
    <x v="0"/>
    <m/>
  </r>
  <r>
    <x v="1"/>
    <x v="53"/>
    <x v="53"/>
    <x v="25"/>
    <s v="Haridus"/>
    <s v="Vinni lasteaed"/>
    <s v="Lumepuhur"/>
    <n v="1000"/>
    <m/>
    <x v="8"/>
    <s v="Inventari kulud, v.a infotehnoloogia ja kaitseotstarbelised kulud"/>
    <n v="55"/>
    <x v="0"/>
    <x v="0"/>
    <x v="0"/>
    <x v="0"/>
    <m/>
  </r>
  <r>
    <x v="1"/>
    <x v="53"/>
    <x v="53"/>
    <x v="25"/>
    <s v="Haridus"/>
    <s v="Vinni lasteaed"/>
    <s v="toidupäevade arv x 1,60 euroga- 25% puudumised"/>
    <n v="22000"/>
    <m/>
    <x v="29"/>
    <s v="Toiduained ja toitlustusteenused"/>
    <n v="55"/>
    <x v="0"/>
    <x v="0"/>
    <x v="0"/>
    <x v="0"/>
    <m/>
  </r>
  <r>
    <x v="1"/>
    <x v="53"/>
    <x v="53"/>
    <x v="25"/>
    <s v="Haridus"/>
    <s v="Vinni lasteaed"/>
    <s v="Hügieenitarbed"/>
    <n v="300"/>
    <s v="plaastrid, des.vahendid jne"/>
    <x v="9"/>
    <s v="Meditsiinikulud ja hügieenitarbed"/>
    <n v="55"/>
    <x v="0"/>
    <x v="0"/>
    <x v="0"/>
    <x v="0"/>
    <m/>
  </r>
  <r>
    <x v="1"/>
    <x v="53"/>
    <x v="53"/>
    <x v="25"/>
    <s v="Haridus"/>
    <s v="Vinni lasteaed"/>
    <s v="Korralised med. tõendid"/>
    <n v="200"/>
    <s v="tervise tõend, töötervishoiu arst"/>
    <x v="9"/>
    <s v="Meditsiinikulud ja hügieenitarbed"/>
    <n v="55"/>
    <x v="0"/>
    <x v="0"/>
    <x v="0"/>
    <x v="0"/>
    <m/>
  </r>
  <r>
    <x v="1"/>
    <x v="53"/>
    <x v="53"/>
    <x v="25"/>
    <s v="Haridus"/>
    <s v="Vinni lasteaed"/>
    <s v="Erialane pedagoogiline kirjandus"/>
    <n v="500"/>
    <m/>
    <x v="30"/>
    <s v="Õppevahendid"/>
    <n v="55"/>
    <x v="0"/>
    <x v="0"/>
    <x v="0"/>
    <x v="0"/>
    <m/>
  </r>
  <r>
    <x v="1"/>
    <x v="53"/>
    <x v="53"/>
    <x v="25"/>
    <s v="Haridus"/>
    <s v="Vinni lasteaed"/>
    <s v="Lasteraamatud ja teatmeteosed"/>
    <n v="500"/>
    <m/>
    <x v="30"/>
    <s v="Õppevahendid"/>
    <n v="55"/>
    <x v="0"/>
    <x v="0"/>
    <x v="0"/>
    <x v="0"/>
    <m/>
  </r>
  <r>
    <x v="1"/>
    <x v="53"/>
    <x v="53"/>
    <x v="25"/>
    <s v="Haridus"/>
    <s v="Vinni lasteaed"/>
    <s v="Paberid, värvid, pliiatsid, pintslid, liimid,meisterdamis vahendid jne"/>
    <n v="4400"/>
    <m/>
    <x v="30"/>
    <s v="Õppevahendid"/>
    <n v="55"/>
    <x v="0"/>
    <x v="0"/>
    <x v="0"/>
    <x v="0"/>
    <m/>
  </r>
  <r>
    <x v="1"/>
    <x v="53"/>
    <x v="53"/>
    <x v="25"/>
    <s v="Haridus"/>
    <s v="Vinni lasteaed"/>
    <s v="Mänguvahendid, õpikud, töövihikud"/>
    <n v="4400"/>
    <m/>
    <x v="30"/>
    <s v="Õppevahendid"/>
    <n v="55"/>
    <x v="0"/>
    <x v="0"/>
    <x v="0"/>
    <x v="0"/>
    <m/>
  </r>
  <r>
    <x v="1"/>
    <x v="53"/>
    <x v="53"/>
    <x v="25"/>
    <s v="Haridus"/>
    <s v="Vinni lasteaed"/>
    <s v="Mängupeod, väljasõidud, ühisüritused lastele"/>
    <n v="2000"/>
    <s v="auhinnad, bussi tellimine"/>
    <x v="22"/>
    <s v="Kommunikatsiooni-, kultuuri- ja vaba aja sisustamise kulud"/>
    <n v="55"/>
    <x v="0"/>
    <x v="0"/>
    <x v="0"/>
    <x v="0"/>
    <m/>
  </r>
  <r>
    <x v="1"/>
    <x v="53"/>
    <x v="53"/>
    <x v="25"/>
    <s v="Haridus"/>
    <s v="Vinni lasteaed"/>
    <s v="Ühisüritused personalile, väljasõidud"/>
    <n v="2000"/>
    <s v="bussi tellimine, ruumide rent"/>
    <x v="22"/>
    <s v="Kommunikatsiooni-, kultuuri- ja vaba aja sisustamise kulud"/>
    <n v="55"/>
    <x v="0"/>
    <x v="0"/>
    <x v="0"/>
    <x v="0"/>
    <m/>
  </r>
  <r>
    <x v="1"/>
    <x v="53"/>
    <x v="53"/>
    <x v="25"/>
    <s v="Haridus"/>
    <s v="Vinni lasteaed"/>
    <s v="soojus"/>
    <n v="18000"/>
    <s v="Askoterm OÜ"/>
    <x v="4"/>
    <s v="Kinnistute, hoonete ja ruumide majandamiskulud"/>
    <n v="55"/>
    <x v="0"/>
    <x v="0"/>
    <x v="0"/>
    <x v="0"/>
    <m/>
  </r>
  <r>
    <x v="1"/>
    <x v="53"/>
    <x v="53"/>
    <x v="25"/>
    <s v="Haridus"/>
    <s v="Vinni lasteaed"/>
    <s v="Vesi, kanalisatsioon"/>
    <n v="2500"/>
    <s v="Emajõe Veevärk AS"/>
    <x v="4"/>
    <s v="Kinnistute, hoonete ja ruumide majandamiskulud"/>
    <n v="55"/>
    <x v="0"/>
    <x v="0"/>
    <x v="0"/>
    <x v="0"/>
    <m/>
  </r>
  <r>
    <x v="1"/>
    <x v="53"/>
    <x v="53"/>
    <x v="25"/>
    <s v="Haridus"/>
    <s v="Vinni lasteaed"/>
    <s v="Elekter"/>
    <n v="6000"/>
    <s v="Eesti Energia AS"/>
    <x v="4"/>
    <s v="Kinnistute, hoonete ja ruumide majandamiskulud"/>
    <n v="55"/>
    <x v="0"/>
    <x v="0"/>
    <x v="0"/>
    <x v="0"/>
    <m/>
  </r>
  <r>
    <x v="1"/>
    <x v="53"/>
    <x v="53"/>
    <x v="25"/>
    <s v="Haridus"/>
    <s v="Vinni lasteaed"/>
    <s v="Prügi"/>
    <n v="360"/>
    <s v="MTÜ L- Virumaa Jäätmekeskus, Ragnr Sells OÜ"/>
    <x v="4"/>
    <s v="Kinnistute, hoonete ja ruumide majandamiskulud"/>
    <n v="55"/>
    <x v="0"/>
    <x v="0"/>
    <x v="0"/>
    <x v="0"/>
    <m/>
  </r>
  <r>
    <x v="1"/>
    <x v="53"/>
    <x v="53"/>
    <x v="25"/>
    <s v="Haridus"/>
    <s v="Vinni lasteaed"/>
    <s v="Pesu pesemine"/>
    <n v="1020"/>
    <s v="Pesumaja teenus 85x12"/>
    <x v="4"/>
    <s v="Kinnistute, hoonete ja ruumide majandamiskulud"/>
    <n v="55"/>
    <x v="0"/>
    <x v="0"/>
    <x v="0"/>
    <x v="0"/>
    <m/>
  </r>
  <r>
    <x v="1"/>
    <x v="53"/>
    <x v="53"/>
    <x v="25"/>
    <s v="Haridus"/>
    <s v="Vinni lasteaed"/>
    <s v="Ats hooldus"/>
    <n v="460"/>
    <s v="U.K.V Grupp OÜ  4x115"/>
    <x v="4"/>
    <s v="Kinnistute, hoonete ja ruumide majandamiskulud"/>
    <n v="55"/>
    <x v="0"/>
    <x v="0"/>
    <x v="0"/>
    <x v="0"/>
    <m/>
  </r>
  <r>
    <x v="1"/>
    <x v="53"/>
    <x v="53"/>
    <x v="25"/>
    <s v="Haridus"/>
    <s v="Vinni lasteaed"/>
    <s v="Liivafiltri hooldus, rasvakoguja"/>
    <n v="1200"/>
    <s v="Virumaa Veepumbakeskus OÜ, Protectpipe OÜ"/>
    <x v="4"/>
    <s v="Kinnistute, hoonete ja ruumide majandamiskulud"/>
    <n v="55"/>
    <x v="0"/>
    <x v="0"/>
    <x v="0"/>
    <x v="0"/>
    <m/>
  </r>
  <r>
    <x v="1"/>
    <x v="53"/>
    <x v="53"/>
    <x v="25"/>
    <s v="Haridus"/>
    <s v="Vinni lasteaed"/>
    <s v="Kahjurtõrje"/>
    <n v="192"/>
    <s v="Rentokil OÜ 48x4"/>
    <x v="4"/>
    <s v="Kinnistute, hoonete ja ruumide majandamiskulud"/>
    <n v="55"/>
    <x v="0"/>
    <x v="0"/>
    <x v="0"/>
    <x v="0"/>
    <m/>
  </r>
  <r>
    <x v="1"/>
    <x v="53"/>
    <x v="53"/>
    <x v="25"/>
    <s v="Haridus"/>
    <s v="Vinni lasteaed"/>
    <s v="Muruniiduk, murutraktor, trimmer"/>
    <n v="200"/>
    <s v="bensiin, remont, damiil"/>
    <x v="4"/>
    <s v="Kinnistute, hoonete ja ruumide majandamiskulud"/>
    <n v="55"/>
    <x v="0"/>
    <x v="0"/>
    <x v="0"/>
    <x v="0"/>
    <m/>
  </r>
  <r>
    <x v="1"/>
    <x v="53"/>
    <x v="53"/>
    <x v="25"/>
    <s v="Haridus"/>
    <s v="Vinni lasteaed"/>
    <s v="Koristusvahendid, puhastusvahendid, paberid jne"/>
    <n v="4000"/>
    <s v="Puhastusimport OÜ, Kaupmees, Bauhof"/>
    <x v="4"/>
    <s v="Kinnistute, hoonete ja ruumide majandamiskulud"/>
    <n v="55"/>
    <x v="0"/>
    <x v="0"/>
    <x v="0"/>
    <x v="0"/>
    <m/>
  </r>
  <r>
    <x v="1"/>
    <x v="53"/>
    <x v="53"/>
    <x v="25"/>
    <s v="Haridus"/>
    <s v="Vinni lasteaed"/>
    <s v="Jooksev remont-santehniline töö, turvavalgustus, mänguväljak jne"/>
    <n v="3000"/>
    <s v="materjalid, töö"/>
    <x v="4"/>
    <s v="Kinnistute, hoonete ja ruumide majandamiskulud"/>
    <n v="55"/>
    <x v="0"/>
    <x v="0"/>
    <x v="0"/>
    <x v="0"/>
    <m/>
  </r>
  <r>
    <x v="1"/>
    <x v="53"/>
    <x v="53"/>
    <x v="25"/>
    <s v="Haridus"/>
    <s v="Vinni lasteaed"/>
    <s v="Eliis, Anc programm"/>
    <n v="850"/>
    <m/>
    <x v="5"/>
    <s v="Info- ja kommunikatsioonitehnoliigised kulud"/>
    <n v="55"/>
    <x v="0"/>
    <x v="0"/>
    <x v="0"/>
    <x v="0"/>
    <m/>
  </r>
  <r>
    <x v="1"/>
    <x v="53"/>
    <x v="53"/>
    <x v="25"/>
    <s v="Haridus"/>
    <s v="Vinni lasteaed"/>
    <s v="Arvutiprogrammid, hooldused"/>
    <n v="350"/>
    <s v="viirusetõrje 10x25, dropbox"/>
    <x v="5"/>
    <s v="Info- ja kommunikatsioonitehnoliigised kulud"/>
    <n v="55"/>
    <x v="0"/>
    <x v="0"/>
    <x v="0"/>
    <x v="0"/>
    <m/>
  </r>
  <r>
    <x v="1"/>
    <x v="53"/>
    <x v="53"/>
    <x v="25"/>
    <s v="Haridus"/>
    <s v="Vinni lasteaed"/>
    <s v="Remont"/>
    <n v="200"/>
    <m/>
    <x v="5"/>
    <s v="Info- ja kommunikatsioonitehnoliigised kulud"/>
    <n v="55"/>
    <x v="0"/>
    <x v="0"/>
    <x v="0"/>
    <x v="0"/>
    <m/>
  </r>
  <r>
    <x v="1"/>
    <x v="53"/>
    <x v="53"/>
    <x v="25"/>
    <s v="Haridus"/>
    <s v="Vinni lasteaed"/>
    <s v="Mõisa kiviaed +tööriistakuur"/>
    <n v="5000"/>
    <s v="VALLA ETTEPANEK"/>
    <x v="4"/>
    <s v="Kinnistute, hoonete ja ruumide majandamiskulud"/>
    <n v="55"/>
    <x v="0"/>
    <x v="0"/>
    <x v="0"/>
    <x v="0"/>
    <m/>
  </r>
  <r>
    <x v="1"/>
    <x v="53"/>
    <x v="53"/>
    <x v="25"/>
    <s v="Haridus"/>
    <s v="Vinni lasteaed"/>
    <s v="Kiige tn poolne trepp"/>
    <n v="500"/>
    <s v="materjali kulu"/>
    <x v="4"/>
    <s v="Kinnistute, hoonete ja ruumide majandamiskulud"/>
    <n v="55"/>
    <x v="0"/>
    <x v="0"/>
    <x v="0"/>
    <x v="0"/>
    <m/>
  </r>
  <r>
    <x v="1"/>
    <x v="54"/>
    <x v="54"/>
    <x v="25"/>
    <s v="Haridus"/>
    <s v="Pajusti lasteaed"/>
    <s v="telefonid ja internet"/>
    <n v="760"/>
    <m/>
    <x v="0"/>
    <s v="Administreerimiskulud"/>
    <n v="55"/>
    <x v="0"/>
    <x v="0"/>
    <x v="0"/>
    <x v="0"/>
    <m/>
  </r>
  <r>
    <x v="1"/>
    <x v="54"/>
    <x v="54"/>
    <x v="25"/>
    <s v="Haridus"/>
    <s v="Pajusti lasteaed"/>
    <s v="mobiil"/>
    <n v="25"/>
    <m/>
    <x v="0"/>
    <s v="Administreerimiskulud"/>
    <n v="55"/>
    <x v="0"/>
    <x v="0"/>
    <x v="0"/>
    <x v="0"/>
    <m/>
  </r>
  <r>
    <x v="1"/>
    <x v="54"/>
    <x v="54"/>
    <x v="25"/>
    <s v="Haridus"/>
    <s v="Pajusti lasteaed"/>
    <s v="kuulutused/ postikulu"/>
    <n v="60"/>
    <m/>
    <x v="0"/>
    <s v="Administreerimiskulud"/>
    <n v="55"/>
    <x v="0"/>
    <x v="0"/>
    <x v="0"/>
    <x v="0"/>
    <m/>
  </r>
  <r>
    <x v="1"/>
    <x v="54"/>
    <x v="54"/>
    <x v="25"/>
    <s v="Haridus"/>
    <s v="Pajusti lasteaed"/>
    <s v="printerite tahmad"/>
    <n v="500"/>
    <m/>
    <x v="0"/>
    <s v="Administreerimiskulud"/>
    <n v="55"/>
    <x v="0"/>
    <x v="0"/>
    <x v="0"/>
    <x v="0"/>
    <m/>
  </r>
  <r>
    <x v="1"/>
    <x v="54"/>
    <x v="54"/>
    <x v="25"/>
    <s v="Haridus"/>
    <s v="Pajusti lasteaed"/>
    <s v="Koolitused"/>
    <n v="300"/>
    <m/>
    <x v="2"/>
    <s v="Koolituskulud"/>
    <n v="55"/>
    <x v="0"/>
    <x v="0"/>
    <x v="0"/>
    <x v="0"/>
    <m/>
  </r>
  <r>
    <x v="1"/>
    <x v="54"/>
    <x v="54"/>
    <x v="25"/>
    <s v="Haridus"/>
    <s v="Pajusti lasteaed"/>
    <s v="isikliku sõiduauto kasutus"/>
    <n v="704"/>
    <s v="64.- x 11 kuud"/>
    <x v="3"/>
    <s v="Sõidukite ülalpidamise kulud"/>
    <n v="55"/>
    <x v="0"/>
    <x v="0"/>
    <x v="0"/>
    <x v="0"/>
    <m/>
  </r>
  <r>
    <x v="1"/>
    <x v="54"/>
    <x v="54"/>
    <x v="25"/>
    <s v="Haridus"/>
    <s v="Pajusti lasteaed"/>
    <s v="rulood 2 rühma"/>
    <n v="600"/>
    <m/>
    <x v="8"/>
    <s v="Inventari kulud, v.a infotehnoloogia ja kaitseotstarbelised kulud"/>
    <n v="55"/>
    <x v="0"/>
    <x v="0"/>
    <x v="0"/>
    <x v="0"/>
    <m/>
  </r>
  <r>
    <x v="1"/>
    <x v="54"/>
    <x v="54"/>
    <x v="25"/>
    <s v="Haridus"/>
    <s v="Pajusti lasteaed"/>
    <s v="klaveri häälestamine"/>
    <n v="140"/>
    <m/>
    <x v="8"/>
    <s v="Inventari kulud, v.a infotehnoloogia ja kaitseotstarbelised kulud"/>
    <n v="55"/>
    <x v="0"/>
    <x v="0"/>
    <x v="0"/>
    <x v="0"/>
    <m/>
  </r>
  <r>
    <x v="1"/>
    <x v="54"/>
    <x v="54"/>
    <x v="25"/>
    <s v="Haridus"/>
    <s v="Pajusti lasteaed"/>
    <s v="toiduained "/>
    <n v="6500"/>
    <s v="5483 toidupäeva (so 55%) x1.15"/>
    <x v="29"/>
    <s v="Toiduained ja toitlustusteenused"/>
    <n v="55"/>
    <x v="0"/>
    <x v="0"/>
    <x v="0"/>
    <x v="0"/>
    <m/>
  </r>
  <r>
    <x v="1"/>
    <x v="54"/>
    <x v="54"/>
    <x v="25"/>
    <s v="Haridus"/>
    <s v="Pajusti lasteaed"/>
    <s v="töötajate tervisetõendid, esmaabivahendid"/>
    <n v="80"/>
    <m/>
    <x v="9"/>
    <s v="Meditsiinikulud ja hügieenitarbed"/>
    <n v="55"/>
    <x v="0"/>
    <x v="0"/>
    <x v="0"/>
    <x v="0"/>
    <m/>
  </r>
  <r>
    <x v="1"/>
    <x v="54"/>
    <x v="54"/>
    <x v="25"/>
    <s v="Haridus"/>
    <s v="Pajusti lasteaed"/>
    <s v="töövihikud, raamatud, mänguasjad, metoodilised vahendid ja kirjandus"/>
    <n v="4800"/>
    <m/>
    <x v="30"/>
    <s v="Õppevahendid"/>
    <n v="55"/>
    <x v="0"/>
    <x v="0"/>
    <x v="0"/>
    <x v="0"/>
    <m/>
  </r>
  <r>
    <x v="1"/>
    <x v="54"/>
    <x v="54"/>
    <x v="25"/>
    <s v="Haridus"/>
    <s v="Pajusti lasteaed"/>
    <s v="üritused"/>
    <n v="200"/>
    <m/>
    <x v="22"/>
    <s v="Kommunikatsiooni-, kultuuri- ja vaba aja sisustamise kulud"/>
    <n v="55"/>
    <x v="0"/>
    <x v="0"/>
    <x v="0"/>
    <x v="0"/>
    <m/>
  </r>
  <r>
    <x v="1"/>
    <x v="54"/>
    <x v="54"/>
    <x v="25"/>
    <s v="Haridus"/>
    <s v="Pajusti lasteaed"/>
    <s v="laste õppereisid"/>
    <n v="350"/>
    <m/>
    <x v="22"/>
    <s v="Kommunikatsiooni-, kultuuri- ja vaba aja sisustamise kulud"/>
    <n v="55"/>
    <x v="0"/>
    <x v="0"/>
    <x v="0"/>
    <x v="0"/>
    <m/>
  </r>
  <r>
    <x v="1"/>
    <x v="54"/>
    <x v="54"/>
    <x v="25"/>
    <s v="Haridus"/>
    <s v="Pajusti lasteaed"/>
    <s v="küte"/>
    <n v="6951"/>
    <s v="77,2x90MVH"/>
    <x v="4"/>
    <s v="Kinnistute, hoonete ja ruumide majandamiskulud"/>
    <n v="55"/>
    <x v="0"/>
    <x v="0"/>
    <x v="0"/>
    <x v="0"/>
    <m/>
  </r>
  <r>
    <x v="1"/>
    <x v="54"/>
    <x v="54"/>
    <x v="25"/>
    <s v="Haridus"/>
    <s v="Pajusti lasteaed"/>
    <s v="elekter"/>
    <n v="2860"/>
    <s v="2018.a.+ 10%"/>
    <x v="4"/>
    <s v="Kinnistute, hoonete ja ruumide majandamiskulud"/>
    <n v="55"/>
    <x v="0"/>
    <x v="0"/>
    <x v="0"/>
    <x v="0"/>
    <m/>
  </r>
  <r>
    <x v="1"/>
    <x v="54"/>
    <x v="54"/>
    <x v="25"/>
    <s v="Haridus"/>
    <s v="Pajusti lasteaed"/>
    <s v="vesi ja kanalisatsioon"/>
    <n v="927"/>
    <s v="2,376 eur x 390m3"/>
    <x v="4"/>
    <s v="Kinnistute, hoonete ja ruumide majandamiskulud"/>
    <n v="55"/>
    <x v="0"/>
    <x v="0"/>
    <x v="0"/>
    <x v="0"/>
    <m/>
  </r>
  <r>
    <x v="1"/>
    <x v="54"/>
    <x v="54"/>
    <x v="25"/>
    <s v="Haridus"/>
    <s v="Pajusti lasteaed"/>
    <s v="korrashoiuvahendid"/>
    <n v="1300"/>
    <s v="puhastusvahendid, lapid, mopid, paber"/>
    <x v="4"/>
    <s v="Kinnistute, hoonete ja ruumide majandamiskulud"/>
    <n v="55"/>
    <x v="0"/>
    <x v="0"/>
    <x v="0"/>
    <x v="0"/>
    <m/>
  </r>
  <r>
    <x v="1"/>
    <x v="54"/>
    <x v="54"/>
    <x v="25"/>
    <s v="Haridus"/>
    <s v="Pajusti lasteaed"/>
    <s v="ATS hooldus"/>
    <n v="184"/>
    <s v="46x 4 kvartalit"/>
    <x v="4"/>
    <s v="Kinnistute, hoonete ja ruumide majandamiskulud"/>
    <n v="55"/>
    <x v="0"/>
    <x v="0"/>
    <x v="0"/>
    <x v="0"/>
    <m/>
  </r>
  <r>
    <x v="1"/>
    <x v="54"/>
    <x v="54"/>
    <x v="25"/>
    <s v="Haridus"/>
    <s v="Pajusti lasteaed"/>
    <s v="pesupesemise teenus"/>
    <n v="540"/>
    <s v="45x 12 korda"/>
    <x v="4"/>
    <s v="Kinnistute, hoonete ja ruumide majandamiskulud"/>
    <n v="55"/>
    <x v="0"/>
    <x v="0"/>
    <x v="0"/>
    <x v="0"/>
    <m/>
  </r>
  <r>
    <x v="1"/>
    <x v="54"/>
    <x v="54"/>
    <x v="25"/>
    <s v="Haridus"/>
    <s v="Pajusti lasteaed"/>
    <s v="kanal.pumpade hooldus"/>
    <n v="240"/>
    <s v="60x 4 korda aastas"/>
    <x v="4"/>
    <s v="Kinnistute, hoonete ja ruumide majandamiskulud"/>
    <n v="55"/>
    <x v="0"/>
    <x v="0"/>
    <x v="0"/>
    <x v="0"/>
    <m/>
  </r>
  <r>
    <x v="1"/>
    <x v="54"/>
    <x v="54"/>
    <x v="25"/>
    <s v="Haridus"/>
    <s v="Pajusti lasteaed"/>
    <s v="prügivedu ja konteineri rent"/>
    <n v="117"/>
    <s v="R-S 3.86 J 5.84x12 kuud"/>
    <x v="4"/>
    <s v="Kinnistute, hoonete ja ruumide majandamiskulud"/>
    <n v="55"/>
    <x v="0"/>
    <x v="0"/>
    <x v="0"/>
    <x v="0"/>
    <m/>
  </r>
  <r>
    <x v="1"/>
    <x v="54"/>
    <x v="54"/>
    <x v="25"/>
    <s v="Haridus"/>
    <s v="Pajusti lasteaed"/>
    <s v="ELIIS"/>
    <n v="260"/>
    <m/>
    <x v="5"/>
    <s v="Info- ja kommunikatsioonitehnoliigised kulud"/>
    <n v="55"/>
    <x v="0"/>
    <x v="0"/>
    <x v="0"/>
    <x v="0"/>
    <m/>
  </r>
  <r>
    <x v="1"/>
    <x v="54"/>
    <x v="54"/>
    <x v="25"/>
    <s v="Haridus"/>
    <s v="Pajusti lasteaed"/>
    <s v="hooldused, remont, varuosad"/>
    <n v="120"/>
    <m/>
    <x v="5"/>
    <s v="Info- ja kommunikatsioonitehnoliigised kulud"/>
    <n v="55"/>
    <x v="0"/>
    <x v="0"/>
    <x v="0"/>
    <x v="0"/>
    <m/>
  </r>
  <r>
    <x v="1"/>
    <x v="54"/>
    <x v="54"/>
    <x v="25"/>
    <s v="Haridus"/>
    <s v="Ehitusnõunik"/>
    <s v="Pajusti Lasteaia rühmaruumide remont"/>
    <n v="80000"/>
    <m/>
    <x v="12"/>
    <s v="Rajatiste ja hoonete soetamine ja renoveerimine"/>
    <n v="15"/>
    <x v="3"/>
    <x v="3"/>
    <x v="3"/>
    <x v="2"/>
    <m/>
  </r>
  <r>
    <x v="1"/>
    <x v="54"/>
    <x v="54"/>
    <x v="25"/>
    <s v="Haridus"/>
    <s v="Pajusti lasteaed"/>
    <s v="Korrashoiu- ja puhastusvahendid"/>
    <n v="967"/>
    <m/>
    <x v="4"/>
    <s v="Kinnistute, hoonete ja ruumide majandamiskulud"/>
    <n v="55"/>
    <x v="0"/>
    <x v="0"/>
    <x v="0"/>
    <x v="0"/>
    <m/>
  </r>
  <r>
    <x v="1"/>
    <x v="54"/>
    <x v="54"/>
    <x v="25"/>
    <s v="Haridus"/>
    <s v="Pajusti lasteaed"/>
    <s v="Mänguväljaku rajamine"/>
    <n v="5500"/>
    <m/>
    <x v="4"/>
    <s v="Kinnistute, hoonete ja ruumide majandamiskulud"/>
    <n v="55"/>
    <x v="0"/>
    <x v="0"/>
    <x v="0"/>
    <x v="0"/>
    <m/>
  </r>
  <r>
    <x v="1"/>
    <x v="55"/>
    <x v="55"/>
    <x v="25"/>
    <s v="Haridus"/>
    <s v="Kulina lasteaed"/>
    <s v="telefon ja internet"/>
    <n v="650"/>
    <s v="Elion"/>
    <x v="0"/>
    <s v="Administreerimiskulud"/>
    <n v="55"/>
    <x v="0"/>
    <x v="0"/>
    <x v="0"/>
    <x v="0"/>
    <m/>
  </r>
  <r>
    <x v="1"/>
    <x v="55"/>
    <x v="55"/>
    <x v="25"/>
    <s v="Haridus"/>
    <s v="Kulina lasteaed"/>
    <s v="kantseleikaup"/>
    <n v="100"/>
    <s v="koopiapaber, kilekaaned jms"/>
    <x v="0"/>
    <s v="Administreerimiskulud"/>
    <n v="55"/>
    <x v="0"/>
    <x v="0"/>
    <x v="0"/>
    <x v="0"/>
    <m/>
  </r>
  <r>
    <x v="1"/>
    <x v="55"/>
    <x v="55"/>
    <x v="25"/>
    <s v="Haridus"/>
    <s v="Kulina lasteaed"/>
    <s v="printeritahm"/>
    <n v="120"/>
    <m/>
    <x v="0"/>
    <s v="Administreerimiskulud"/>
    <n v="55"/>
    <x v="0"/>
    <x v="0"/>
    <x v="0"/>
    <x v="0"/>
    <m/>
  </r>
  <r>
    <x v="1"/>
    <x v="55"/>
    <x v="55"/>
    <x v="25"/>
    <s v="Haridus"/>
    <s v="Kulina lasteaed"/>
    <s v="liikmemaks"/>
    <n v="16"/>
    <s v="L-Viru Haridusjuhtide Liit"/>
    <x v="0"/>
    <s v="Administreerimiskulud"/>
    <n v="55"/>
    <x v="0"/>
    <x v="0"/>
    <x v="0"/>
    <x v="0"/>
    <m/>
  </r>
  <r>
    <x v="1"/>
    <x v="55"/>
    <x v="55"/>
    <x v="25"/>
    <s v="Haridus"/>
    <s v="Kulina lasteaed"/>
    <s v="Haridus 2019"/>
    <n v="25"/>
    <s v="aasta tellimus"/>
    <x v="0"/>
    <s v="Administreerimiskulud"/>
    <n v="55"/>
    <x v="0"/>
    <x v="0"/>
    <x v="0"/>
    <x v="0"/>
    <m/>
  </r>
  <r>
    <x v="1"/>
    <x v="55"/>
    <x v="55"/>
    <x v="25"/>
    <s v="Haridus"/>
    <s v="Kulina lasteaed"/>
    <s v="Eliis"/>
    <n v="288"/>
    <s v="24*12 "/>
    <x v="0"/>
    <s v="Administreerimiskulud"/>
    <n v="55"/>
    <x v="0"/>
    <x v="0"/>
    <x v="0"/>
    <x v="0"/>
    <m/>
  </r>
  <r>
    <x v="1"/>
    <x v="55"/>
    <x v="55"/>
    <x v="25"/>
    <s v="Haridus"/>
    <s v="Kulina lasteaed"/>
    <s v="Õpetajate leht"/>
    <n v="28"/>
    <s v="aastatellimus"/>
    <x v="0"/>
    <s v="Administreerimiskulud"/>
    <n v="55"/>
    <x v="0"/>
    <x v="0"/>
    <x v="0"/>
    <x v="0"/>
    <m/>
  </r>
  <r>
    <x v="1"/>
    <x v="55"/>
    <x v="55"/>
    <x v="25"/>
    <s v="Haridus"/>
    <s v="Kulina lasteaed"/>
    <s v="Täheke"/>
    <n v="18"/>
    <s v="aastatellimus"/>
    <x v="0"/>
    <s v="Administreerimiskulud"/>
    <n v="55"/>
    <x v="0"/>
    <x v="0"/>
    <x v="0"/>
    <x v="0"/>
    <m/>
  </r>
  <r>
    <x v="1"/>
    <x v="55"/>
    <x v="55"/>
    <x v="25"/>
    <s v="Haridus"/>
    <s v="Kulina lasteaed"/>
    <s v="koolituste plaan"/>
    <n v="504"/>
    <m/>
    <x v="2"/>
    <s v="Koolituskulud"/>
    <n v="55"/>
    <x v="0"/>
    <x v="0"/>
    <x v="0"/>
    <x v="0"/>
    <m/>
  </r>
  <r>
    <x v="1"/>
    <x v="55"/>
    <x v="55"/>
    <x v="25"/>
    <s v="Haridus"/>
    <s v="Kulina lasteaed"/>
    <s v="Esmaabi"/>
    <n v="165"/>
    <m/>
    <x v="2"/>
    <s v="Koolituskulud"/>
    <n v="55"/>
    <x v="0"/>
    <x v="0"/>
    <x v="0"/>
    <x v="0"/>
    <m/>
  </r>
  <r>
    <x v="1"/>
    <x v="55"/>
    <x v="55"/>
    <x v="25"/>
    <s v="Haridus"/>
    <s v="Kulina lasteaed"/>
    <s v="Isikliku sõiduauto komp."/>
    <n v="1430"/>
    <s v="130*11 isikliku sõiduauto kasutamine"/>
    <x v="3"/>
    <s v="Sõidukite ülalpidamise kulud"/>
    <n v="55"/>
    <x v="0"/>
    <x v="0"/>
    <x v="0"/>
    <x v="0"/>
    <m/>
  </r>
  <r>
    <x v="1"/>
    <x v="55"/>
    <x v="55"/>
    <x v="25"/>
    <s v="Haridus"/>
    <s v="Kulina lasteaed"/>
    <s v="paberipurustaja"/>
    <n v="250"/>
    <s v="andmekaitse"/>
    <x v="8"/>
    <s v="Inventari kulud, v.a infotehnoloogia ja kaitseotstarbelised kulud"/>
    <n v="55"/>
    <x v="0"/>
    <x v="0"/>
    <x v="0"/>
    <x v="0"/>
    <m/>
  </r>
  <r>
    <x v="1"/>
    <x v="55"/>
    <x v="55"/>
    <x v="25"/>
    <s v="Haridus"/>
    <s v="Kulina lasteaed"/>
    <s v="mängunurga köögimööbel"/>
    <n v="350"/>
    <s v="mesimuumu rühma mängunurk"/>
    <x v="8"/>
    <s v="Inventari kulud, v.a infotehnoloogia ja kaitseotstarbelised kulud"/>
    <n v="55"/>
    <x v="0"/>
    <x v="0"/>
    <x v="0"/>
    <x v="0"/>
    <m/>
  </r>
  <r>
    <x v="1"/>
    <x v="55"/>
    <x v="55"/>
    <x v="25"/>
    <s v="Haridus"/>
    <s v="Kulina lasteaed"/>
    <s v="muusikaesitaja"/>
    <n v="300"/>
    <s v="et mängiks mp3 formaati, võimendusega ühildatav-muusikaõpetaja"/>
    <x v="8"/>
    <s v="Inventari kulud, v.a infotehnoloogia ja kaitseotstarbelised kulud"/>
    <n v="55"/>
    <x v="0"/>
    <x v="0"/>
    <x v="0"/>
    <x v="0"/>
    <m/>
  </r>
  <r>
    <x v="1"/>
    <x v="55"/>
    <x v="55"/>
    <x v="25"/>
    <s v="Haridus"/>
    <s v="Kulina lasteaed"/>
    <s v="vaip 1,35*1,7"/>
    <n v="80"/>
    <s v="mesimummurühma mängunurk"/>
    <x v="8"/>
    <s v="Inventari kulud, v.a infotehnoloogia ja kaitseotstarbelised kulud"/>
    <n v="55"/>
    <x v="0"/>
    <x v="0"/>
    <x v="0"/>
    <x v="0"/>
    <m/>
  </r>
  <r>
    <x v="1"/>
    <x v="55"/>
    <x v="55"/>
    <x v="25"/>
    <s v="Haridus"/>
    <s v="Kulina lasteaed"/>
    <s v="magnettahvel"/>
    <n v="75"/>
    <s v="mesimummu rühm"/>
    <x v="8"/>
    <s v="Inventari kulud, v.a infotehnoloogia ja kaitseotstarbelised kulud"/>
    <n v="55"/>
    <x v="0"/>
    <x v="0"/>
    <x v="0"/>
    <x v="0"/>
    <m/>
  </r>
  <r>
    <x v="1"/>
    <x v="55"/>
    <x v="55"/>
    <x v="25"/>
    <s v="Haridus"/>
    <s v="Kulina lasteaed"/>
    <s v="liivakast 3000mm*3000mm"/>
    <n v="250"/>
    <s v="Lepatriinu rühm, ilmastikukindel, taaskasutatavast plastmaterjalist, kaetav-praegune liivakastiraam lagunev"/>
    <x v="8"/>
    <s v="Inventari kulud, v.a infotehnoloogia ja kaitseotstarbelised kulud"/>
    <n v="55"/>
    <x v="0"/>
    <x v="0"/>
    <x v="0"/>
    <x v="0"/>
    <m/>
  </r>
  <r>
    <x v="1"/>
    <x v="55"/>
    <x v="55"/>
    <x v="25"/>
    <s v="Haridus"/>
    <s v="Kulina lasteaed"/>
    <s v="toitlustamine"/>
    <n v="6200"/>
    <s v="toidupäevade arv*lastearv*toidupäevamaksumus-30%, kokandustunnid 2 korda kuus  rühmades"/>
    <x v="29"/>
    <s v="Toiduained ja toitlustusteenused"/>
    <n v="55"/>
    <x v="0"/>
    <x v="0"/>
    <x v="0"/>
    <x v="0"/>
    <m/>
  </r>
  <r>
    <x v="1"/>
    <x v="55"/>
    <x v="55"/>
    <x v="25"/>
    <s v="Haridus"/>
    <s v="Kulina lasteaed"/>
    <s v="tervisekontroll"/>
    <n v="120"/>
    <s v="(orienteeruv summa) TTOSt tulev kohustus-kokk"/>
    <x v="9"/>
    <s v="Meditsiinikulud ja hügieenitarbed"/>
    <n v="55"/>
    <x v="0"/>
    <x v="0"/>
    <x v="0"/>
    <x v="0"/>
    <m/>
  </r>
  <r>
    <x v="1"/>
    <x v="55"/>
    <x v="55"/>
    <x v="25"/>
    <s v="Haridus"/>
    <s v="Kulina lasteaed"/>
    <s v="õppevahendid"/>
    <n v="1700"/>
    <s v="kunstitarbed, õppemängud, mänguasjad, õppematerjal, metoodiline kirjandus jms"/>
    <x v="30"/>
    <s v="Õppevahendid"/>
    <n v="55"/>
    <x v="0"/>
    <x v="0"/>
    <x v="0"/>
    <x v="0"/>
    <m/>
  </r>
  <r>
    <x v="1"/>
    <x v="55"/>
    <x v="55"/>
    <x v="25"/>
    <s v="Haridus"/>
    <s v="Kulina lasteaed"/>
    <s v="Matatalab, ozobot"/>
    <n v="740"/>
    <s v="robootikaseadmed, võimalusel taotleme kevadel projektirahasid, kus omafinantseering 15% taotletud summast"/>
    <x v="30"/>
    <s v="Õppevahendid"/>
    <n v="55"/>
    <x v="0"/>
    <x v="0"/>
    <x v="0"/>
    <x v="0"/>
    <m/>
  </r>
  <r>
    <x v="1"/>
    <x v="55"/>
    <x v="55"/>
    <x v="25"/>
    <s v="Haridus"/>
    <s v="Kulina lasteaed"/>
    <s v="õppekäigud"/>
    <n v="500"/>
    <s v="õppekäigud, ekskursioon, jõulupidu, lõpupidu, lasteaia sünnipäev"/>
    <x v="22"/>
    <s v="Kommunikatsiooni-, kultuuri- ja vaba aja sisustamise kulud"/>
    <n v="55"/>
    <x v="0"/>
    <x v="0"/>
    <x v="0"/>
    <x v="0"/>
    <m/>
  </r>
  <r>
    <x v="1"/>
    <x v="55"/>
    <x v="55"/>
    <x v="25"/>
    <s v="Haridus"/>
    <s v="Kulina lasteaed"/>
    <s v="elekter"/>
    <n v="6000"/>
    <s v="keskmine tarbimine 30860KWhx0,11652 euri kwh"/>
    <x v="4"/>
    <s v="Kinnistute, hoonete ja ruumide majandamiskulud"/>
    <n v="55"/>
    <x v="0"/>
    <x v="0"/>
    <x v="0"/>
    <x v="0"/>
    <m/>
  </r>
  <r>
    <x v="1"/>
    <x v="55"/>
    <x v="55"/>
    <x v="25"/>
    <s v="Haridus"/>
    <s v="Kulina lasteaed"/>
    <s v="vesi-ja kanalisatsioon"/>
    <n v="360"/>
    <s v="Emajõe Veevärk"/>
    <x v="4"/>
    <s v="Kinnistute, hoonete ja ruumide majandamiskulud"/>
    <n v="55"/>
    <x v="0"/>
    <x v="0"/>
    <x v="0"/>
    <x v="0"/>
    <m/>
  </r>
  <r>
    <x v="1"/>
    <x v="55"/>
    <x v="55"/>
    <x v="25"/>
    <s v="Haridus"/>
    <s v="Kulina lasteaed"/>
    <s v="Korrashoiuvahendid"/>
    <n v="600"/>
    <s v="puhastusvahendid, tarvikud, WC paber jms"/>
    <x v="4"/>
    <s v="Kinnistute, hoonete ja ruumide majandamiskulud"/>
    <n v="55"/>
    <x v="0"/>
    <x v="0"/>
    <x v="0"/>
    <x v="0"/>
    <m/>
  </r>
  <r>
    <x v="1"/>
    <x v="55"/>
    <x v="55"/>
    <x v="25"/>
    <s v="Haridus"/>
    <s v="Kulina lasteaed"/>
    <s v="prügi"/>
    <n v="160"/>
    <s v="L-Viru Jäätmekeskus (6,56*12)+ ohtlikud jäätmed jms"/>
    <x v="4"/>
    <s v="Kinnistute, hoonete ja ruumide majandamiskulud"/>
    <n v="55"/>
    <x v="0"/>
    <x v="0"/>
    <x v="0"/>
    <x v="0"/>
    <m/>
  </r>
  <r>
    <x v="1"/>
    <x v="55"/>
    <x v="55"/>
    <x v="25"/>
    <s v="Haridus"/>
    <s v="Kulina lasteaed"/>
    <s v="ATS hooldus"/>
    <n v="276"/>
    <s v="U.K.V.Grupp kord kvartalis"/>
    <x v="4"/>
    <s v="Kinnistute, hoonete ja ruumide majandamiskulud"/>
    <n v="55"/>
    <x v="0"/>
    <x v="0"/>
    <x v="0"/>
    <x v="0"/>
    <m/>
  </r>
  <r>
    <x v="1"/>
    <x v="55"/>
    <x v="55"/>
    <x v="25"/>
    <s v="Haridus"/>
    <s v="Kulina lasteaed"/>
    <s v="Turvavalgustus, elektritööd"/>
    <n v="145"/>
    <s v="E.Ilves"/>
    <x v="4"/>
    <s v="Kinnistute, hoonete ja ruumide majandamiskulud"/>
    <n v="55"/>
    <x v="0"/>
    <x v="0"/>
    <x v="0"/>
    <x v="0"/>
    <m/>
  </r>
  <r>
    <x v="1"/>
    <x v="55"/>
    <x v="55"/>
    <x v="25"/>
    <s v="Haridus"/>
    <s v="Kulina lasteaed"/>
    <s v="Puhastussool veefiltrile"/>
    <n v="110"/>
    <s v="FEB AS"/>
    <x v="4"/>
    <s v="Kinnistute, hoonete ja ruumide majandamiskulud"/>
    <n v="55"/>
    <x v="0"/>
    <x v="0"/>
    <x v="0"/>
    <x v="0"/>
    <m/>
  </r>
  <r>
    <x v="1"/>
    <x v="55"/>
    <x v="55"/>
    <x v="25"/>
    <s v="Haridus"/>
    <s v="Kulina lasteaed"/>
    <s v="maakütte aastane hooldus"/>
    <n v="690"/>
    <s v="TJ Hooldus OÜ"/>
    <x v="4"/>
    <s v="Kinnistute, hoonete ja ruumide majandamiskulud"/>
    <n v="55"/>
    <x v="0"/>
    <x v="0"/>
    <x v="0"/>
    <x v="0"/>
    <m/>
  </r>
  <r>
    <x v="1"/>
    <x v="55"/>
    <x v="55"/>
    <x v="25"/>
    <s v="Haridus"/>
    <s v="Kulina lasteaed"/>
    <s v="muruniitmine"/>
    <n v="120"/>
    <s v="õli, bensiin, hooldus"/>
    <x v="4"/>
    <s v="Kinnistute, hoonete ja ruumide majandamiskulud"/>
    <n v="55"/>
    <x v="0"/>
    <x v="0"/>
    <x v="0"/>
    <x v="0"/>
    <m/>
  </r>
  <r>
    <x v="1"/>
    <x v="55"/>
    <x v="55"/>
    <x v="25"/>
    <s v="Haridus"/>
    <s v="Kulina lasteaed"/>
    <s v="paviljonide korrastamine"/>
    <n v="200"/>
    <s v="tasandusegu põrandaaukude parandamiseks, värvid"/>
    <x v="4"/>
    <s v="Kinnistute, hoonete ja ruumide majandamiskulud"/>
    <n v="55"/>
    <x v="0"/>
    <x v="0"/>
    <x v="0"/>
    <x v="0"/>
    <m/>
  </r>
  <r>
    <x v="1"/>
    <x v="55"/>
    <x v="55"/>
    <x v="25"/>
    <s v="Haridus"/>
    <s v="Kulina lasteaed"/>
    <s v="rulood"/>
    <n v="975"/>
    <s v="Lepatriinu rühma magamistuba, praegused rulood osaliselt katki, kinnitusklambrid muutunud rabedaks"/>
    <x v="4"/>
    <s v="Kinnistute, hoonete ja ruumide majandamiskulud"/>
    <n v="55"/>
    <x v="0"/>
    <x v="0"/>
    <x v="0"/>
    <x v="0"/>
    <m/>
  </r>
  <r>
    <x v="1"/>
    <x v="55"/>
    <x v="55"/>
    <x v="25"/>
    <s v="Haridus"/>
    <s v="Kulina lasteaed"/>
    <s v="arvutikõlarid"/>
    <n v="50"/>
    <s v="mesimummu rühma arvutile"/>
    <x v="5"/>
    <s v="Info- ja kommunikatsioonitehnoliigised kulud"/>
    <n v="55"/>
    <x v="0"/>
    <x v="0"/>
    <x v="0"/>
    <x v="0"/>
    <m/>
  </r>
  <r>
    <x v="1"/>
    <x v="56"/>
    <x v="56"/>
    <x v="25"/>
    <s v="Haridus"/>
    <s v="Tudu lasteaed"/>
    <s v="uue õppekava rakend"/>
    <n v="100"/>
    <m/>
    <x v="2"/>
    <s v="Koolituskulud"/>
    <n v="55"/>
    <x v="0"/>
    <x v="0"/>
    <x v="0"/>
    <x v="0"/>
    <m/>
  </r>
  <r>
    <x v="1"/>
    <x v="56"/>
    <x v="56"/>
    <x v="25"/>
    <s v="Haridus"/>
    <s v="Tudu lasteaed"/>
    <s v="lasteaia toidukaup"/>
    <n v="4073"/>
    <m/>
    <x v="29"/>
    <s v="Toiduained ja toitlustusteenused"/>
    <n v="55"/>
    <x v="0"/>
    <x v="0"/>
    <x v="0"/>
    <x v="0"/>
    <m/>
  </r>
  <r>
    <x v="1"/>
    <x v="56"/>
    <x v="56"/>
    <x v="25"/>
    <s v="Haridus"/>
    <s v="Tudu lasteaed"/>
    <s v="õpikud "/>
    <n v="150"/>
    <m/>
    <x v="30"/>
    <s v="Õppevahendid"/>
    <n v="55"/>
    <x v="0"/>
    <x v="0"/>
    <x v="0"/>
    <x v="0"/>
    <m/>
  </r>
  <r>
    <x v="1"/>
    <x v="56"/>
    <x v="56"/>
    <x v="25"/>
    <s v="Haridus"/>
    <s v="Tudu lasteaed"/>
    <s v="töövihikud"/>
    <n v="50"/>
    <m/>
    <x v="30"/>
    <s v="Õppevahendid"/>
    <n v="55"/>
    <x v="0"/>
    <x v="0"/>
    <x v="0"/>
    <x v="0"/>
    <m/>
  </r>
  <r>
    <x v="1"/>
    <x v="56"/>
    <x v="56"/>
    <x v="25"/>
    <s v="Haridus"/>
    <s v="Tudu lasteaed"/>
    <s v="mänguasjad, paber, värvid jm"/>
    <n v="150"/>
    <m/>
    <x v="30"/>
    <s v="Õppevahendid"/>
    <n v="55"/>
    <x v="0"/>
    <x v="0"/>
    <x v="0"/>
    <x v="0"/>
    <m/>
  </r>
  <r>
    <x v="1"/>
    <x v="56"/>
    <x v="56"/>
    <x v="25"/>
    <s v="Haridus"/>
    <s v="Tudu lasteaed"/>
    <s v="eriped tegevus"/>
    <n v="900"/>
    <m/>
    <x v="30"/>
    <s v="Õppevahendid"/>
    <n v="55"/>
    <x v="0"/>
    <x v="0"/>
    <x v="0"/>
    <x v="0"/>
    <m/>
  </r>
  <r>
    <x v="1"/>
    <x v="57"/>
    <x v="57"/>
    <x v="25"/>
    <s v="Haridus"/>
    <s v="Ulvi lasteaed"/>
    <s v="Koolitused"/>
    <n v="600"/>
    <m/>
    <x v="2"/>
    <s v="Koolituskulud"/>
    <n v="55"/>
    <x v="0"/>
    <x v="0"/>
    <x v="0"/>
    <x v="0"/>
    <m/>
  </r>
  <r>
    <x v="1"/>
    <x v="57"/>
    <x v="57"/>
    <x v="25"/>
    <s v="Haridus"/>
    <s v="Ulvi lasteaed"/>
    <s v="Inventari jooksev hooldus "/>
    <n v="150"/>
    <m/>
    <x v="8"/>
    <s v="Inventari kulud, v.a infotehnoloogia ja kaitseotstarbelised kulud"/>
    <n v="55"/>
    <x v="0"/>
    <x v="0"/>
    <x v="0"/>
    <x v="0"/>
    <m/>
  </r>
  <r>
    <x v="1"/>
    <x v="57"/>
    <x v="57"/>
    <x v="25"/>
    <s v="Haridus"/>
    <s v="Ulvi lasteaed"/>
    <s v="Laud tk.2  200 eurot"/>
    <n v="200"/>
    <s v="Planeerin kaks, ühe tk.hind 100 eurot"/>
    <x v="8"/>
    <s v="Inventari kulud, v.a infotehnoloogia ja kaitseotstarbelised kulud"/>
    <n v="55"/>
    <x v="0"/>
    <x v="0"/>
    <x v="0"/>
    <x v="0"/>
    <m/>
  </r>
  <r>
    <x v="1"/>
    <x v="57"/>
    <x v="57"/>
    <x v="25"/>
    <s v="Haridus"/>
    <s v="Ulvi lasteaed"/>
    <s v="Riiul tk.1 100 eurot"/>
    <n v="100"/>
    <m/>
    <x v="8"/>
    <s v="Inventari kulud, v.a infotehnoloogia ja kaitseotstarbelised kulud"/>
    <n v="55"/>
    <x v="0"/>
    <x v="0"/>
    <x v="0"/>
    <x v="0"/>
    <m/>
  </r>
  <r>
    <x v="1"/>
    <x v="57"/>
    <x v="57"/>
    <x v="25"/>
    <s v="Haridus"/>
    <s v="Ulvi lasteaed"/>
    <s v="4 kohal voodi kompl. Tk.1 600 eurot"/>
    <n v="600"/>
    <s v="Planeerin ühe"/>
    <x v="8"/>
    <s v="Inventari kulud, v.a infotehnoloogia ja kaitseotstarbelised kulud"/>
    <n v="55"/>
    <x v="0"/>
    <x v="0"/>
    <x v="0"/>
    <x v="0"/>
    <m/>
  </r>
  <r>
    <x v="1"/>
    <x v="57"/>
    <x v="57"/>
    <x v="25"/>
    <s v="Haridus"/>
    <s v="Ulvi lasteaed"/>
    <s v="3 kohal voodi kompl. Tk.1 500 eurot"/>
    <n v="500"/>
    <s v="Planeerin ühe"/>
    <x v="8"/>
    <s v="Inventari kulud, v.a infotehnoloogia ja kaitseotstarbelised kulud"/>
    <n v="55"/>
    <x v="0"/>
    <x v="0"/>
    <x v="0"/>
    <x v="0"/>
    <m/>
  </r>
  <r>
    <x v="1"/>
    <x v="57"/>
    <x v="57"/>
    <x v="25"/>
    <s v="Haridus"/>
    <s v="Ulvi lasteaed"/>
    <s v="toolid tk.15  500 eurot"/>
    <n v="500"/>
    <s v="Planeerin 15 tk soetada, ühe tk.hind umbes 33 eurot"/>
    <x v="8"/>
    <s v="Inventari kulud, v.a infotehnoloogia ja kaitseotstarbelised kulud"/>
    <n v="55"/>
    <x v="0"/>
    <x v="0"/>
    <x v="0"/>
    <x v="0"/>
    <m/>
  </r>
  <r>
    <x v="1"/>
    <x v="57"/>
    <x v="57"/>
    <x v="25"/>
    <s v="Haridus"/>
    <s v="Ulvi lasteaed"/>
    <s v="toiduained 30 last x230 päeva x 1.40"/>
    <n v="7000"/>
    <m/>
    <x v="29"/>
    <s v="Toiduained ja toitlustusteenused"/>
    <n v="55"/>
    <x v="0"/>
    <x v="0"/>
    <x v="0"/>
    <x v="0"/>
    <m/>
  </r>
  <r>
    <x v="1"/>
    <x v="57"/>
    <x v="57"/>
    <x v="25"/>
    <s v="Haridus"/>
    <s v="Ulvi lasteaed"/>
    <s v="Meditsiinikulud"/>
    <n v="100"/>
    <m/>
    <x v="9"/>
    <s v="Meditsiinikulud ja hügieenitarbed"/>
    <n v="55"/>
    <x v="0"/>
    <x v="0"/>
    <x v="0"/>
    <x v="0"/>
    <m/>
  </r>
  <r>
    <x v="1"/>
    <x v="57"/>
    <x v="57"/>
    <x v="25"/>
    <s v="Haridus"/>
    <s v="Ulvi lasteaed"/>
    <s v="õppekäigud"/>
    <n v="1000"/>
    <m/>
    <x v="30"/>
    <s v="Õppevahendid"/>
    <n v="55"/>
    <x v="0"/>
    <x v="0"/>
    <x v="0"/>
    <x v="0"/>
    <m/>
  </r>
  <r>
    <x v="1"/>
    <x v="57"/>
    <x v="57"/>
    <x v="25"/>
    <s v="Haridus"/>
    <s v="Ulvi lasteaed"/>
    <s v="Õppevahendid"/>
    <n v="1000"/>
    <m/>
    <x v="30"/>
    <s v="Õppevahendid"/>
    <n v="55"/>
    <x v="0"/>
    <x v="0"/>
    <x v="0"/>
    <x v="0"/>
    <m/>
  </r>
  <r>
    <x v="1"/>
    <x v="57"/>
    <x v="57"/>
    <x v="25"/>
    <s v="Haridus"/>
    <s v="Ulvi lasteaed"/>
    <s v="mänguasjad"/>
    <n v="2000"/>
    <m/>
    <x v="30"/>
    <s v="Õppevahendid"/>
    <n v="55"/>
    <x v="0"/>
    <x v="0"/>
    <x v="0"/>
    <x v="0"/>
    <m/>
  </r>
  <r>
    <x v="1"/>
    <x v="57"/>
    <x v="57"/>
    <x v="25"/>
    <s v="Haridus"/>
    <s v="Ulvi lasteaed"/>
    <s v="Ühisüritused"/>
    <n v="250"/>
    <m/>
    <x v="22"/>
    <s v="Kommunikatsiooni-, kultuuri- ja vaba aja sisustamise kulud"/>
    <n v="55"/>
    <x v="0"/>
    <x v="0"/>
    <x v="0"/>
    <x v="0"/>
    <m/>
  </r>
  <r>
    <x v="1"/>
    <x v="57"/>
    <x v="57"/>
    <x v="25"/>
    <s v="Haridus"/>
    <s v="Ulvi lasteaed"/>
    <s v="Ürituste transport"/>
    <n v="250"/>
    <m/>
    <x v="22"/>
    <s v="Kommunikatsiooni-, kultuuri- ja vaba aja sisustamise kulud"/>
    <n v="55"/>
    <x v="0"/>
    <x v="0"/>
    <x v="0"/>
    <x v="0"/>
    <m/>
  </r>
  <r>
    <x v="1"/>
    <x v="57"/>
    <x v="57"/>
    <x v="25"/>
    <s v="Haridus"/>
    <s v="Ulvi lasteaed"/>
    <s v="ruumide küte"/>
    <n v="4500"/>
    <m/>
    <x v="4"/>
    <s v="Kinnistute, hoonete ja ruumide majandamiskulud"/>
    <n v="55"/>
    <x v="0"/>
    <x v="0"/>
    <x v="0"/>
    <x v="0"/>
    <m/>
  </r>
  <r>
    <x v="1"/>
    <x v="57"/>
    <x v="57"/>
    <x v="25"/>
    <s v="Haridus"/>
    <s v="Ulvi lasteaed"/>
    <s v="analüüsid"/>
    <n v="200"/>
    <m/>
    <x v="4"/>
    <s v="Kinnistute, hoonete ja ruumide majandamiskulud"/>
    <n v="55"/>
    <x v="0"/>
    <x v="0"/>
    <x v="0"/>
    <x v="0"/>
    <m/>
  </r>
  <r>
    <x v="1"/>
    <x v="57"/>
    <x v="57"/>
    <x v="25"/>
    <s v="Haridus"/>
    <s v="Ulvi lasteaed"/>
    <s v="elekter"/>
    <n v="3500"/>
    <m/>
    <x v="4"/>
    <s v="Kinnistute, hoonete ja ruumide majandamiskulud"/>
    <n v="55"/>
    <x v="0"/>
    <x v="0"/>
    <x v="0"/>
    <x v="0"/>
    <m/>
  </r>
  <r>
    <x v="1"/>
    <x v="57"/>
    <x v="57"/>
    <x v="25"/>
    <s v="Haridus"/>
    <s v="Ulvi lasteaed"/>
    <s v="koridori remont"/>
    <n v="1000"/>
    <m/>
    <x v="4"/>
    <s v="Kinnistute, hoonete ja ruumide majandamiskulud"/>
    <n v="55"/>
    <x v="0"/>
    <x v="0"/>
    <x v="0"/>
    <x v="0"/>
    <m/>
  </r>
  <r>
    <x v="1"/>
    <x v="57"/>
    <x v="57"/>
    <x v="25"/>
    <s v="Haridus"/>
    <s v="Ulvi lasteaed"/>
    <s v="prügi"/>
    <n v="250"/>
    <m/>
    <x v="4"/>
    <s v="Kinnistute, hoonete ja ruumide majandamiskulud"/>
    <n v="55"/>
    <x v="0"/>
    <x v="0"/>
    <x v="0"/>
    <x v="0"/>
    <m/>
  </r>
  <r>
    <x v="1"/>
    <x v="57"/>
    <x v="57"/>
    <x v="25"/>
    <s v="Haridus"/>
    <s v="Ulvi lasteaed"/>
    <s v="majanduskaup"/>
    <n v="2400"/>
    <m/>
    <x v="4"/>
    <s v="Kinnistute, hoonete ja ruumide majandamiskulud"/>
    <n v="55"/>
    <x v="0"/>
    <x v="0"/>
    <x v="0"/>
    <x v="0"/>
    <m/>
  </r>
  <r>
    <x v="1"/>
    <x v="57"/>
    <x v="57"/>
    <x v="25"/>
    <s v="Haridus"/>
    <s v="Ulvi lasteaed"/>
    <s v="ventilatsiooni väljaehitus"/>
    <n v="6000"/>
    <m/>
    <x v="4"/>
    <s v="Kinnistute, hoonete ja ruumide majandamiskulud"/>
    <n v="55"/>
    <x v="0"/>
    <x v="0"/>
    <x v="0"/>
    <x v="0"/>
    <m/>
  </r>
  <r>
    <x v="1"/>
    <x v="57"/>
    <x v="57"/>
    <x v="25"/>
    <s v="Haridus"/>
    <s v="Ulvi lasteaed"/>
    <s v="muruniidukile bensiin"/>
    <n v="100"/>
    <m/>
    <x v="4"/>
    <s v="Kinnistute, hoonete ja ruumide majandamiskulud"/>
    <n v="55"/>
    <x v="0"/>
    <x v="0"/>
    <x v="0"/>
    <x v="0"/>
    <m/>
  </r>
  <r>
    <x v="1"/>
    <x v="57"/>
    <x v="57"/>
    <x v="25"/>
    <s v="Haridus"/>
    <s v="Ulvi lasteaed"/>
    <s v="IT alane hooldus"/>
    <n v="500"/>
    <m/>
    <x v="5"/>
    <s v="Info- ja kommunikatsioonitehnoliigised kulud"/>
    <n v="55"/>
    <x v="0"/>
    <x v="0"/>
    <x v="0"/>
    <x v="0"/>
    <m/>
  </r>
  <r>
    <x v="1"/>
    <x v="58"/>
    <x v="58"/>
    <x v="25"/>
    <s v="Haridus"/>
    <s v="Muuga-Laekvere kool"/>
    <s v="küte"/>
    <n v="9000"/>
    <m/>
    <x v="4"/>
    <s v="Kinnistute, hoonete ja ruumide majandamiskulud"/>
    <n v="55"/>
    <x v="0"/>
    <x v="0"/>
    <x v="0"/>
    <x v="0"/>
    <m/>
  </r>
  <r>
    <x v="1"/>
    <x v="58"/>
    <x v="58"/>
    <x v="25"/>
    <s v="Haridus"/>
    <s v="Muuga-Laekvere kool"/>
    <s v="elekter"/>
    <n v="4000"/>
    <m/>
    <x v="4"/>
    <s v="Kinnistute, hoonete ja ruumide majandamiskulud"/>
    <n v="55"/>
    <x v="0"/>
    <x v="0"/>
    <x v="0"/>
    <x v="0"/>
    <m/>
  </r>
  <r>
    <x v="1"/>
    <x v="58"/>
    <x v="58"/>
    <x v="25"/>
    <s v="Haridus"/>
    <s v="Muuga-Laekvere kool"/>
    <s v="el.käitlus"/>
    <n v="400"/>
    <m/>
    <x v="4"/>
    <s v="Kinnistute, hoonete ja ruumide majandamiskulud"/>
    <n v="55"/>
    <x v="0"/>
    <x v="0"/>
    <x v="0"/>
    <x v="0"/>
    <m/>
  </r>
  <r>
    <x v="1"/>
    <x v="58"/>
    <x v="58"/>
    <x v="25"/>
    <s v="Haridus"/>
    <s v="Muuga-Laekvere kool"/>
    <s v="korrashoid"/>
    <n v="3500"/>
    <m/>
    <x v="4"/>
    <s v="Kinnistute, hoonete ja ruumide majandamiskulud"/>
    <n v="55"/>
    <x v="0"/>
    <x v="0"/>
    <x v="0"/>
    <x v="0"/>
    <m/>
  </r>
  <r>
    <x v="1"/>
    <x v="58"/>
    <x v="58"/>
    <x v="25"/>
    <s v="Haridus"/>
    <s v="Muuga-Laekvere kool"/>
    <s v="prügi"/>
    <n v="500"/>
    <m/>
    <x v="4"/>
    <s v="Kinnistute, hoonete ja ruumide majandamiskulud"/>
    <n v="55"/>
    <x v="0"/>
    <x v="0"/>
    <x v="0"/>
    <x v="0"/>
    <m/>
  </r>
  <r>
    <x v="1"/>
    <x v="58"/>
    <x v="58"/>
    <x v="25"/>
    <s v="Haridus"/>
    <s v="Muuga-Laekvere kool"/>
    <s v="korstnapühkija"/>
    <n v="0"/>
    <m/>
    <x v="4"/>
    <s v="Kinnistute, hoonete ja ruumide majandamiskulud"/>
    <n v="55"/>
    <x v="0"/>
    <x v="0"/>
    <x v="0"/>
    <x v="0"/>
    <m/>
  </r>
  <r>
    <x v="1"/>
    <x v="58"/>
    <x v="58"/>
    <x v="25"/>
    <s v="Haridus"/>
    <s v="Muuga-Laekvere kool"/>
    <s v="vesi kanalisatsioon"/>
    <n v="1900"/>
    <m/>
    <x v="4"/>
    <s v="Kinnistute, hoonete ja ruumide majandamiskulud"/>
    <n v="55"/>
    <x v="0"/>
    <x v="0"/>
    <x v="0"/>
    <x v="0"/>
    <m/>
  </r>
  <r>
    <x v="1"/>
    <x v="58"/>
    <x v="58"/>
    <x v="25"/>
    <s v="Haridus"/>
    <s v="Muuga-Laekvere kool"/>
    <s v="rem tööd"/>
    <n v="500"/>
    <m/>
    <x v="4"/>
    <s v="Kinnistute, hoonete ja ruumide majandamiskulud"/>
    <n v="55"/>
    <x v="0"/>
    <x v="0"/>
    <x v="0"/>
    <x v="0"/>
    <m/>
  </r>
  <r>
    <x v="1"/>
    <x v="58"/>
    <x v="58"/>
    <x v="25"/>
    <s v="Haridus"/>
    <s v="Muuga-Laekvere kool"/>
    <s v="kindlustus"/>
    <n v="1200"/>
    <m/>
    <x v="4"/>
    <s v="Kinnistute, hoonete ja ruumide majandamiskulud"/>
    <n v="55"/>
    <x v="0"/>
    <x v="0"/>
    <x v="0"/>
    <x v="0"/>
    <m/>
  </r>
  <r>
    <x v="1"/>
    <x v="58"/>
    <x v="58"/>
    <x v="25"/>
    <s v="Haridus"/>
    <s v="Muuga-Laekvere kool"/>
    <s v="Muud kinnistukulud"/>
    <n v="200"/>
    <m/>
    <x v="4"/>
    <s v="Kinnistute, hoonete ja ruumide majandamiskulud"/>
    <n v="55"/>
    <x v="0"/>
    <x v="0"/>
    <x v="0"/>
    <x v="0"/>
    <m/>
  </r>
  <r>
    <x v="1"/>
    <x v="58"/>
    <x v="58"/>
    <x v="25"/>
    <s v="Haridus"/>
    <s v="Muuga-Laekvere kool"/>
    <s v="voodipesu"/>
    <n v="500"/>
    <m/>
    <x v="4"/>
    <s v="Kinnistute, hoonete ja ruumide majandamiskulud"/>
    <n v="55"/>
    <x v="0"/>
    <x v="0"/>
    <x v="0"/>
    <x v="0"/>
    <m/>
  </r>
  <r>
    <x v="1"/>
    <x v="58"/>
    <x v="58"/>
    <x v="25"/>
    <s v="Haridus"/>
    <s v="Muuga-Laekvere kool"/>
    <s v="ohutusvahendite kontroll"/>
    <n v="150"/>
    <m/>
    <x v="4"/>
    <s v="Kinnistute, hoonete ja ruumide majandamiskulud"/>
    <n v="55"/>
    <x v="0"/>
    <x v="0"/>
    <x v="0"/>
    <x v="0"/>
    <m/>
  </r>
  <r>
    <x v="1"/>
    <x v="58"/>
    <x v="58"/>
    <x v="25"/>
    <s v="Haridus"/>
    <s v="Muuga-Laekvere kool"/>
    <s v="büroo"/>
    <n v="600"/>
    <m/>
    <x v="0"/>
    <s v="Administreerimiskulud"/>
    <n v="55"/>
    <x v="0"/>
    <x v="0"/>
    <x v="0"/>
    <x v="0"/>
    <m/>
  </r>
  <r>
    <x v="1"/>
    <x v="58"/>
    <x v="58"/>
    <x v="25"/>
    <s v="Haridus"/>
    <s v="Muuga-Laekvere kool"/>
    <s v="tahm"/>
    <n v="400"/>
    <m/>
    <x v="0"/>
    <s v="Administreerimiskulud"/>
    <n v="55"/>
    <x v="0"/>
    <x v="0"/>
    <x v="0"/>
    <x v="0"/>
    <m/>
  </r>
  <r>
    <x v="1"/>
    <x v="58"/>
    <x v="58"/>
    <x v="25"/>
    <s v="Haridus"/>
    <s v="Muuga-Laekvere kool"/>
    <s v="trükised"/>
    <n v="100"/>
    <m/>
    <x v="0"/>
    <s v="Administreerimiskulud"/>
    <n v="55"/>
    <x v="0"/>
    <x v="0"/>
    <x v="0"/>
    <x v="0"/>
    <m/>
  </r>
  <r>
    <x v="1"/>
    <x v="58"/>
    <x v="58"/>
    <x v="25"/>
    <s v="Haridus"/>
    <s v="Muuga-Laekvere kool"/>
    <s v="post"/>
    <n v="50"/>
    <m/>
    <x v="0"/>
    <s v="Administreerimiskulud"/>
    <n v="55"/>
    <x v="0"/>
    <x v="0"/>
    <x v="0"/>
    <x v="0"/>
    <m/>
  </r>
  <r>
    <x v="1"/>
    <x v="58"/>
    <x v="58"/>
    <x v="25"/>
    <s v="Haridus"/>
    <s v="Muuga-Laekvere kool"/>
    <s v="telefon"/>
    <n v="300"/>
    <m/>
    <x v="0"/>
    <s v="Administreerimiskulud"/>
    <n v="55"/>
    <x v="0"/>
    <x v="0"/>
    <x v="0"/>
    <x v="0"/>
    <m/>
  </r>
  <r>
    <x v="1"/>
    <x v="58"/>
    <x v="58"/>
    <x v="25"/>
    <s v="Haridus"/>
    <s v="Muuga-Laekvere kool"/>
    <s v="mobiiltel"/>
    <n v="0"/>
    <m/>
    <x v="0"/>
    <s v="Administreerimiskulud"/>
    <n v="55"/>
    <x v="0"/>
    <x v="0"/>
    <x v="0"/>
    <x v="0"/>
    <m/>
  </r>
  <r>
    <x v="1"/>
    <x v="58"/>
    <x v="58"/>
    <x v="25"/>
    <s v="Haridus"/>
    <s v="Muuga-Laekvere kool"/>
    <s v="kingitused"/>
    <n v="100"/>
    <m/>
    <x v="0"/>
    <s v="Administreerimiskulud"/>
    <n v="55"/>
    <x v="0"/>
    <x v="0"/>
    <x v="0"/>
    <x v="0"/>
    <m/>
  </r>
  <r>
    <x v="1"/>
    <x v="58"/>
    <x v="58"/>
    <x v="25"/>
    <s v="Haridus"/>
    <s v="Muuga-Laekvere kool"/>
    <s v="esindamine"/>
    <n v="130"/>
    <m/>
    <x v="0"/>
    <s v="Administreerimiskulud"/>
    <n v="55"/>
    <x v="0"/>
    <x v="0"/>
    <x v="0"/>
    <x v="0"/>
    <m/>
  </r>
  <r>
    <x v="1"/>
    <x v="58"/>
    <x v="58"/>
    <x v="25"/>
    <s v="Haridus"/>
    <s v="Muuga-Laekvere kool"/>
    <s v="kuulutused"/>
    <n v="50"/>
    <m/>
    <x v="0"/>
    <s v="Administreerimiskulud"/>
    <n v="55"/>
    <x v="0"/>
    <x v="0"/>
    <x v="0"/>
    <x v="0"/>
    <m/>
  </r>
  <r>
    <x v="1"/>
    <x v="58"/>
    <x v="58"/>
    <x v="25"/>
    <s v="Haridus"/>
    <s v="Muuga-Laekvere kool"/>
    <s v="Muud admin.kulud"/>
    <n v="100"/>
    <m/>
    <x v="0"/>
    <s v="Administreerimiskulud"/>
    <n v="55"/>
    <x v="0"/>
    <x v="0"/>
    <x v="0"/>
    <x v="0"/>
    <m/>
  </r>
  <r>
    <x v="1"/>
    <x v="58"/>
    <x v="58"/>
    <x v="25"/>
    <s v="Haridus"/>
    <s v="Muuga-Laekvere kool"/>
    <s v="Koolitused"/>
    <n v="500"/>
    <m/>
    <x v="2"/>
    <s v="Koolituskulud"/>
    <n v="55"/>
    <x v="0"/>
    <x v="0"/>
    <x v="0"/>
    <x v="0"/>
    <m/>
  </r>
  <r>
    <x v="1"/>
    <x v="58"/>
    <x v="58"/>
    <x v="25"/>
    <s v="Haridus"/>
    <s v="Muuga-Laekvere kool"/>
    <s v="isikliku sõiduki kasutamine"/>
    <n v="500"/>
    <m/>
    <x v="3"/>
    <s v="Sõidukite ülalpidamise kulud"/>
    <n v="55"/>
    <x v="0"/>
    <x v="0"/>
    <x v="0"/>
    <x v="0"/>
    <m/>
  </r>
  <r>
    <x v="1"/>
    <x v="58"/>
    <x v="58"/>
    <x v="25"/>
    <s v="Haridus"/>
    <s v="Muuga-Laekvere kool"/>
    <s v="hooldus ja remont"/>
    <n v="500"/>
    <m/>
    <x v="8"/>
    <s v="Inventari kulud, v.a infotehnoloogia ja kaitseotstarbelised kulud"/>
    <n v="55"/>
    <x v="0"/>
    <x v="0"/>
    <x v="0"/>
    <x v="0"/>
    <m/>
  </r>
  <r>
    <x v="1"/>
    <x v="58"/>
    <x v="58"/>
    <x v="25"/>
    <s v="Haridus"/>
    <s v="Muuga-Laekvere kool"/>
    <s v="muud inventari kulud"/>
    <n v="300"/>
    <m/>
    <x v="8"/>
    <s v="Inventari kulud, v.a infotehnoloogia ja kaitseotstarbelised kulud"/>
    <n v="55"/>
    <x v="0"/>
    <x v="0"/>
    <x v="0"/>
    <x v="0"/>
    <m/>
  </r>
  <r>
    <x v="1"/>
    <x v="58"/>
    <x v="58"/>
    <x v="25"/>
    <s v="Haridus"/>
    <s v="Muuga-Laekvere kool"/>
    <s v="Toiduained"/>
    <n v="8000"/>
    <m/>
    <x v="29"/>
    <s v="Toiduained ja toitlustusteenused"/>
    <n v="55"/>
    <x v="0"/>
    <x v="0"/>
    <x v="0"/>
    <x v="0"/>
    <m/>
  </r>
  <r>
    <x v="1"/>
    <x v="58"/>
    <x v="58"/>
    <x v="25"/>
    <s v="Haridus"/>
    <s v="Muuga-Laekvere kool"/>
    <s v="esmaabi"/>
    <n v="50"/>
    <m/>
    <x v="9"/>
    <s v="Meditsiinikulud ja hügieenitarbed"/>
    <n v="55"/>
    <x v="0"/>
    <x v="0"/>
    <x v="0"/>
    <x v="0"/>
    <m/>
  </r>
  <r>
    <x v="1"/>
    <x v="58"/>
    <x v="58"/>
    <x v="25"/>
    <s v="Haridus"/>
    <s v="Muuga-Laekvere kool"/>
    <s v="tervisekontroll"/>
    <n v="50"/>
    <m/>
    <x v="9"/>
    <s v="Meditsiinikulud ja hügieenitarbed"/>
    <n v="55"/>
    <x v="0"/>
    <x v="0"/>
    <x v="0"/>
    <x v="0"/>
    <m/>
  </r>
  <r>
    <x v="1"/>
    <x v="58"/>
    <x v="58"/>
    <x v="25"/>
    <s v="Haridus"/>
    <s v="Muuga-Laekvere kool"/>
    <s v="prillid"/>
    <n v="300"/>
    <m/>
    <x v="9"/>
    <s v="Meditsiinikulud ja hügieenitarbed"/>
    <n v="55"/>
    <x v="0"/>
    <x v="0"/>
    <x v="0"/>
    <x v="0"/>
    <m/>
  </r>
  <r>
    <x v="1"/>
    <x v="58"/>
    <x v="58"/>
    <x v="25"/>
    <s v="Haridus"/>
    <s v="Muuga-Laekvere kool"/>
    <s v="õpikud, töövihikud"/>
    <n v="800"/>
    <m/>
    <x v="30"/>
    <s v="Õppevahendid"/>
    <n v="55"/>
    <x v="0"/>
    <x v="0"/>
    <x v="0"/>
    <x v="0"/>
    <m/>
  </r>
  <r>
    <x v="1"/>
    <x v="58"/>
    <x v="58"/>
    <x v="25"/>
    <s v="Haridus"/>
    <s v="Muuga-Laekvere kool"/>
    <s v="õppematerjalid"/>
    <n v="800"/>
    <m/>
    <x v="30"/>
    <s v="Õppevahendid"/>
    <n v="55"/>
    <x v="0"/>
    <x v="0"/>
    <x v="0"/>
    <x v="0"/>
    <m/>
  </r>
  <r>
    <x v="1"/>
    <x v="58"/>
    <x v="58"/>
    <x v="25"/>
    <s v="Haridus"/>
    <s v="Muuga-Laekvere kool"/>
    <s v="mänguasjad"/>
    <n v="900"/>
    <m/>
    <x v="30"/>
    <s v="Õppevahendid"/>
    <n v="55"/>
    <x v="0"/>
    <x v="0"/>
    <x v="0"/>
    <x v="0"/>
    <m/>
  </r>
  <r>
    <x v="1"/>
    <x v="58"/>
    <x v="58"/>
    <x v="25"/>
    <s v="Haridus"/>
    <s v="Muuga-Laekvere kool"/>
    <s v="ühisüritused"/>
    <n v="100"/>
    <m/>
    <x v="30"/>
    <s v="Õppevahendid"/>
    <n v="55"/>
    <x v="0"/>
    <x v="0"/>
    <x v="0"/>
    <x v="0"/>
    <m/>
  </r>
  <r>
    <x v="1"/>
    <x v="58"/>
    <x v="58"/>
    <x v="25"/>
    <s v="Haridus"/>
    <s v="Muuga-Laekvere kool"/>
    <s v="transport"/>
    <n v="500"/>
    <m/>
    <x v="30"/>
    <s v="Õppevahendid"/>
    <n v="55"/>
    <x v="0"/>
    <x v="0"/>
    <x v="0"/>
    <x v="0"/>
    <m/>
  </r>
  <r>
    <x v="1"/>
    <x v="58"/>
    <x v="58"/>
    <x v="25"/>
    <s v="Haridus"/>
    <s v="Muuga-Laekvere kool"/>
    <s v="etendused, kontserdid"/>
    <n v="500"/>
    <m/>
    <x v="22"/>
    <s v="Kommunikatsiooni-, kultuuri- ja vaba aja sisustamise kulud"/>
    <n v="55"/>
    <x v="0"/>
    <x v="0"/>
    <x v="0"/>
    <x v="0"/>
    <m/>
  </r>
  <r>
    <x v="1"/>
    <x v="58"/>
    <x v="58"/>
    <x v="25"/>
    <s v="Haridus"/>
    <s v="Muuga-Laekvere kool"/>
    <s v="osalustasud"/>
    <n v="100"/>
    <m/>
    <x v="22"/>
    <s v="Kommunikatsiooni-, kultuuri- ja vaba aja sisustamise kulud"/>
    <n v="55"/>
    <x v="0"/>
    <x v="0"/>
    <x v="0"/>
    <x v="0"/>
    <m/>
  </r>
  <r>
    <x v="1"/>
    <x v="58"/>
    <x v="58"/>
    <x v="25"/>
    <s v="Haridus"/>
    <s v="Muuga-Laekvere kool"/>
    <s v="aastapäevad"/>
    <n v="1000"/>
    <m/>
    <x v="22"/>
    <s v="Kommunikatsiooni-, kultuuri- ja vaba aja sisustamise kulud"/>
    <n v="55"/>
    <x v="0"/>
    <x v="0"/>
    <x v="0"/>
    <x v="0"/>
    <m/>
  </r>
  <r>
    <x v="1"/>
    <x v="58"/>
    <x v="58"/>
    <x v="25"/>
    <s v="Haridus"/>
    <s v="Muuga-Laekvere kool"/>
    <s v="programmid"/>
    <n v="300"/>
    <m/>
    <x v="5"/>
    <s v="Info- ja kommunikatsioonitehnoliigised kulud"/>
    <n v="55"/>
    <x v="0"/>
    <x v="0"/>
    <x v="0"/>
    <x v="0"/>
    <m/>
  </r>
  <r>
    <x v="1"/>
    <x v="58"/>
    <x v="58"/>
    <x v="25"/>
    <s v="Haridus"/>
    <s v="Muuga-Laekvere kool"/>
    <s v="soetamine"/>
    <n v="250"/>
    <m/>
    <x v="5"/>
    <s v="Info- ja kommunikatsioonitehnoliigised kulud"/>
    <n v="55"/>
    <x v="0"/>
    <x v="0"/>
    <x v="0"/>
    <x v="0"/>
    <m/>
  </r>
  <r>
    <x v="1"/>
    <x v="58"/>
    <x v="58"/>
    <x v="25"/>
    <s v="Haridus"/>
    <s v="Muuga-Laekvere kool"/>
    <s v="andmeside"/>
    <n v="100"/>
    <m/>
    <x v="5"/>
    <s v="Info- ja kommunikatsioonitehnoliigised kulud"/>
    <n v="55"/>
    <x v="0"/>
    <x v="0"/>
    <x v="0"/>
    <x v="0"/>
    <m/>
  </r>
  <r>
    <x v="1"/>
    <x v="58"/>
    <x v="58"/>
    <x v="25"/>
    <s v="Haridus"/>
    <s v="Muuga-Laekvere kool"/>
    <s v="remont ja hooldus"/>
    <n v="100"/>
    <m/>
    <x v="5"/>
    <s v="Info- ja kommunikatsioonitehnoliigised kulud"/>
    <n v="55"/>
    <x v="0"/>
    <x v="0"/>
    <x v="0"/>
    <x v="0"/>
    <m/>
  </r>
  <r>
    <x v="1"/>
    <x v="59"/>
    <x v="59"/>
    <x v="25"/>
    <s v="Haridus"/>
    <s v="Ferdinand von Wrangelli nim Roela Lasteaed-Põhikool"/>
    <s v="eliis tarkvara"/>
    <n v="630"/>
    <s v="aasta"/>
    <x v="5"/>
    <s v="Info- ja kommunikatsioonitehnoliigised kulud"/>
    <n v="55"/>
    <x v="0"/>
    <x v="0"/>
    <x v="0"/>
    <x v="0"/>
    <m/>
  </r>
  <r>
    <x v="1"/>
    <x v="59"/>
    <x v="59"/>
    <x v="25"/>
    <s v="Haridus"/>
    <s v="Ferdinand von Wrangelli nim Roela Lasteaed-Põhikool"/>
    <s v="toiduained  "/>
    <n v="6900"/>
    <m/>
    <x v="29"/>
    <s v="Toiduained ja toitlustusteenused"/>
    <n v="55"/>
    <x v="0"/>
    <x v="0"/>
    <x v="0"/>
    <x v="0"/>
    <m/>
  </r>
  <r>
    <x v="1"/>
    <x v="59"/>
    <x v="59"/>
    <x v="25"/>
    <s v="Haridus"/>
    <s v="Ferdinand von Wrangelli nim Roela Lasteaed-Põhikool"/>
    <s v="Õppevahendid"/>
    <n v="1000"/>
    <m/>
    <x v="30"/>
    <s v="Õppevahendid"/>
    <n v="55"/>
    <x v="0"/>
    <x v="0"/>
    <x v="0"/>
    <x v="0"/>
    <m/>
  </r>
  <r>
    <x v="1"/>
    <x v="60"/>
    <x v="60"/>
    <x v="25"/>
    <s v="Haridus"/>
    <s v="Haridusnõunik"/>
    <s v="Kohatasud "/>
    <n v="46249.440000000002"/>
    <s v="alusharidus"/>
    <x v="30"/>
    <s v="Õppevahendid"/>
    <n v="55"/>
    <x v="0"/>
    <x v="0"/>
    <x v="0"/>
    <x v="0"/>
    <m/>
  </r>
  <r>
    <x v="1"/>
    <x v="60"/>
    <x v="60"/>
    <x v="25"/>
    <s v="Haridus"/>
    <s v="Haridusnõunik"/>
    <s v="Tulud haridustegevusest kohatasud"/>
    <n v="-63828"/>
    <s v="s.h alusharidus"/>
    <x v="31"/>
    <s v="Õpilaskoht"/>
    <n v="32"/>
    <x v="9"/>
    <x v="10"/>
    <x v="13"/>
    <x v="1"/>
    <m/>
  </r>
  <r>
    <x v="1"/>
    <x v="61"/>
    <x v="61"/>
    <x v="26"/>
    <s v="Haridus"/>
    <s v="Laekvere õppehoone"/>
    <s v="küte"/>
    <n v="200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Laekvere õppehoone"/>
    <s v="elekter"/>
    <n v="60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Laekvere õppehoone"/>
    <s v="el.käitlus"/>
    <n v="5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Laekvere õppehoone"/>
    <s v="korrashoid"/>
    <n v="26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Laekvere õppehoone"/>
    <s v="prügi"/>
    <n v="5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Laekvere õppehoone"/>
    <s v="korstnapühkija"/>
    <n v="12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Laekvere õppehoone"/>
    <s v="vesi kanalisatsioon"/>
    <n v="30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Laekvere õppehoone"/>
    <s v="rem tööd"/>
    <n v="5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Laekvere õppehoone"/>
    <s v="kindlustus"/>
    <n v="76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Laekvere õppehoone"/>
    <s v="Muud kinnistukulud"/>
    <n v="15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Laekvere õppehoone"/>
    <s v="ohutusvahendite kontroll"/>
    <n v="15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Laekvere õppehoone"/>
    <s v="tahm"/>
    <n v="400"/>
    <m/>
    <x v="0"/>
    <s v="Administreerimiskulud"/>
    <n v="55"/>
    <x v="0"/>
    <x v="0"/>
    <x v="0"/>
    <x v="0"/>
    <m/>
  </r>
  <r>
    <x v="1"/>
    <x v="61"/>
    <x v="61"/>
    <x v="26"/>
    <s v="Haridus"/>
    <s v="Laekvere õppehoone"/>
    <s v="trükised"/>
    <n v="150"/>
    <m/>
    <x v="0"/>
    <s v="Administreerimiskulud"/>
    <n v="55"/>
    <x v="0"/>
    <x v="0"/>
    <x v="0"/>
    <x v="0"/>
    <m/>
  </r>
  <r>
    <x v="1"/>
    <x v="61"/>
    <x v="61"/>
    <x v="26"/>
    <s v="Haridus"/>
    <s v="Laekvere õppehoone"/>
    <s v="post"/>
    <n v="50"/>
    <m/>
    <x v="0"/>
    <s v="Administreerimiskulud"/>
    <n v="55"/>
    <x v="0"/>
    <x v="0"/>
    <x v="0"/>
    <x v="0"/>
    <m/>
  </r>
  <r>
    <x v="1"/>
    <x v="61"/>
    <x v="61"/>
    <x v="26"/>
    <s v="Haridus"/>
    <s v="Laekvere õppehoone"/>
    <s v="telefon"/>
    <n v="350"/>
    <m/>
    <x v="0"/>
    <s v="Administreerimiskulud"/>
    <n v="55"/>
    <x v="0"/>
    <x v="0"/>
    <x v="0"/>
    <x v="0"/>
    <m/>
  </r>
  <r>
    <x v="1"/>
    <x v="61"/>
    <x v="61"/>
    <x v="26"/>
    <s v="Haridus"/>
    <s v="Laekvere õppehoone"/>
    <s v="mobiiltel"/>
    <n v="200"/>
    <m/>
    <x v="0"/>
    <s v="Administreerimiskulud"/>
    <n v="55"/>
    <x v="0"/>
    <x v="0"/>
    <x v="0"/>
    <x v="0"/>
    <m/>
  </r>
  <r>
    <x v="1"/>
    <x v="61"/>
    <x v="61"/>
    <x v="26"/>
    <s v="Haridus"/>
    <s v="Laekvere õppehoone"/>
    <s v="kingitused"/>
    <n v="150"/>
    <m/>
    <x v="0"/>
    <s v="Administreerimiskulud"/>
    <n v="55"/>
    <x v="0"/>
    <x v="0"/>
    <x v="0"/>
    <x v="0"/>
    <m/>
  </r>
  <r>
    <x v="1"/>
    <x v="61"/>
    <x v="61"/>
    <x v="26"/>
    <s v="Haridus"/>
    <s v="Laekvere õppehoone"/>
    <s v="esindamine"/>
    <n v="250"/>
    <m/>
    <x v="0"/>
    <s v="Administreerimiskulud"/>
    <n v="55"/>
    <x v="0"/>
    <x v="0"/>
    <x v="0"/>
    <x v="0"/>
    <m/>
  </r>
  <r>
    <x v="1"/>
    <x v="61"/>
    <x v="61"/>
    <x v="26"/>
    <s v="Haridus"/>
    <s v="Laekvere õppehoone"/>
    <s v="kuulutused"/>
    <n v="50"/>
    <m/>
    <x v="0"/>
    <s v="Administreerimiskulud"/>
    <n v="55"/>
    <x v="0"/>
    <x v="0"/>
    <x v="0"/>
    <x v="0"/>
    <m/>
  </r>
  <r>
    <x v="1"/>
    <x v="61"/>
    <x v="61"/>
    <x v="26"/>
    <s v="Haridus"/>
    <s v="Laekvere õppehoone"/>
    <s v="Muud admin.kulud"/>
    <n v="150"/>
    <m/>
    <x v="0"/>
    <s v="Administreerimiskulud"/>
    <n v="55"/>
    <x v="0"/>
    <x v="0"/>
    <x v="0"/>
    <x v="0"/>
    <m/>
  </r>
  <r>
    <x v="1"/>
    <x v="61"/>
    <x v="61"/>
    <x v="26"/>
    <s v="Haridus"/>
    <s v="Laekvere õppehoone"/>
    <s v="koolitused"/>
    <n v="415.44000000000005"/>
    <m/>
    <x v="2"/>
    <s v="Koolituskulud"/>
    <n v="55"/>
    <x v="0"/>
    <x v="0"/>
    <x v="0"/>
    <x v="0"/>
    <m/>
  </r>
  <r>
    <x v="1"/>
    <x v="61"/>
    <x v="61"/>
    <x v="26"/>
    <s v="Haridus"/>
    <s v="Laekvere õppehoone"/>
    <s v="isikliku sõiduki kasutamine"/>
    <n v="2600"/>
    <m/>
    <x v="3"/>
    <s v="Sõidukite ülalpidamise kulud"/>
    <n v="55"/>
    <x v="0"/>
    <x v="0"/>
    <x v="0"/>
    <x v="0"/>
    <m/>
  </r>
  <r>
    <x v="1"/>
    <x v="61"/>
    <x v="61"/>
    <x v="26"/>
    <s v="Haridus"/>
    <s v="Laekvere õppehoone"/>
    <s v="Kooli bussi haldamine"/>
    <n v="3500"/>
    <m/>
    <x v="3"/>
    <s v="Sõidukite ülalpidamise kulud"/>
    <n v="55"/>
    <x v="0"/>
    <x v="0"/>
    <x v="0"/>
    <x v="0"/>
    <m/>
  </r>
  <r>
    <x v="1"/>
    <x v="61"/>
    <x v="61"/>
    <x v="26"/>
    <s v="Haridus"/>
    <s v="Laekvere õppehoone"/>
    <s v="hooldus ja remont"/>
    <n v="3000"/>
    <m/>
    <x v="8"/>
    <s v="Inventari kulud, v.a infotehnoloogia ja kaitseotstarbelised kulud"/>
    <n v="55"/>
    <x v="0"/>
    <x v="0"/>
    <x v="0"/>
    <x v="0"/>
    <m/>
  </r>
  <r>
    <x v="1"/>
    <x v="61"/>
    <x v="61"/>
    <x v="26"/>
    <s v="Haridus"/>
    <s v="Laekvere õppehoone"/>
    <s v="muud inventari kulud"/>
    <n v="500"/>
    <m/>
    <x v="8"/>
    <s v="Inventari kulud, v.a infotehnoloogia ja kaitseotstarbelised kulud"/>
    <n v="55"/>
    <x v="0"/>
    <x v="0"/>
    <x v="0"/>
    <x v="0"/>
    <m/>
  </r>
  <r>
    <x v="1"/>
    <x v="61"/>
    <x v="61"/>
    <x v="26"/>
    <s v="Haridus"/>
    <s v="Laekvere õppehoone"/>
    <s v="toiduained"/>
    <n v="13965"/>
    <s v="Ped."/>
    <x v="29"/>
    <s v="Toiduained ja toitlustusteenused"/>
    <n v="55"/>
    <x v="0"/>
    <x v="0"/>
    <x v="0"/>
    <x v="0"/>
    <m/>
  </r>
  <r>
    <x v="1"/>
    <x v="61"/>
    <x v="61"/>
    <x v="26"/>
    <s v="Haridus"/>
    <s v="Laekvere õppehoone"/>
    <s v="esmaabi"/>
    <n v="100"/>
    <m/>
    <x v="9"/>
    <s v="Meditsiinikulud ja hügieenitarbed"/>
    <n v="55"/>
    <x v="0"/>
    <x v="0"/>
    <x v="0"/>
    <x v="0"/>
    <m/>
  </r>
  <r>
    <x v="1"/>
    <x v="61"/>
    <x v="61"/>
    <x v="26"/>
    <s v="Haridus"/>
    <s v="Laekvere õppehoone"/>
    <s v="hügieenivahendid"/>
    <n v="600"/>
    <m/>
    <x v="9"/>
    <s v="Meditsiinikulud ja hügieenitarbed"/>
    <n v="55"/>
    <x v="0"/>
    <x v="0"/>
    <x v="0"/>
    <x v="0"/>
    <m/>
  </r>
  <r>
    <x v="1"/>
    <x v="61"/>
    <x v="61"/>
    <x v="26"/>
    <s v="Haridus"/>
    <s v="Laekvere õppehoone"/>
    <s v="tervisekontroll"/>
    <n v="50"/>
    <m/>
    <x v="9"/>
    <s v="Meditsiinikulud ja hügieenitarbed"/>
    <n v="55"/>
    <x v="0"/>
    <x v="0"/>
    <x v="0"/>
    <x v="0"/>
    <m/>
  </r>
  <r>
    <x v="1"/>
    <x v="61"/>
    <x v="61"/>
    <x v="26"/>
    <s v="Haridus"/>
    <s v="Laekvere õppehoone"/>
    <s v="prillid"/>
    <n v="300"/>
    <m/>
    <x v="9"/>
    <s v="Meditsiinikulud ja hügieenitarbed"/>
    <n v="55"/>
    <x v="0"/>
    <x v="0"/>
    <x v="0"/>
    <x v="0"/>
    <m/>
  </r>
  <r>
    <x v="1"/>
    <x v="61"/>
    <x v="61"/>
    <x v="26"/>
    <s v="Haridus"/>
    <s v="Laekvere õppehoone"/>
    <s v="õpikud, töövihikud"/>
    <n v="2788.58"/>
    <m/>
    <x v="30"/>
    <s v="Õppevahendid"/>
    <n v="55"/>
    <x v="0"/>
    <x v="0"/>
    <x v="0"/>
    <x v="0"/>
    <m/>
  </r>
  <r>
    <x v="1"/>
    <x v="61"/>
    <x v="61"/>
    <x v="26"/>
    <s v="Haridus"/>
    <s v="Laekvere õppehoone"/>
    <s v="õppematerjalid"/>
    <n v="1400"/>
    <m/>
    <x v="30"/>
    <s v="Õppevahendid"/>
    <n v="55"/>
    <x v="0"/>
    <x v="0"/>
    <x v="0"/>
    <x v="0"/>
    <m/>
  </r>
  <r>
    <x v="1"/>
    <x v="61"/>
    <x v="61"/>
    <x v="26"/>
    <s v="Haridus"/>
    <s v="Laekvere õppehoone"/>
    <s v="mänguasjad"/>
    <n v="0"/>
    <m/>
    <x v="30"/>
    <s v="Õppevahendid"/>
    <n v="55"/>
    <x v="0"/>
    <x v="0"/>
    <x v="0"/>
    <x v="0"/>
    <m/>
  </r>
  <r>
    <x v="1"/>
    <x v="61"/>
    <x v="61"/>
    <x v="26"/>
    <s v="Haridus"/>
    <s v="Laekvere õppehoone"/>
    <s v="ühisüritused"/>
    <n v="600"/>
    <m/>
    <x v="22"/>
    <s v="Kommunikatsiooni-, kultuuri- ja vaba aja sisustamise kulud"/>
    <n v="55"/>
    <x v="0"/>
    <x v="0"/>
    <x v="0"/>
    <x v="0"/>
    <m/>
  </r>
  <r>
    <x v="1"/>
    <x v="61"/>
    <x v="61"/>
    <x v="26"/>
    <s v="Haridus"/>
    <s v="Laekvere õppehoone"/>
    <s v="transport"/>
    <n v="4000"/>
    <m/>
    <x v="30"/>
    <s v="Õppevahendid"/>
    <n v="55"/>
    <x v="0"/>
    <x v="0"/>
    <x v="0"/>
    <x v="0"/>
    <m/>
  </r>
  <r>
    <x v="1"/>
    <x v="61"/>
    <x v="61"/>
    <x v="26"/>
    <s v="Haridus"/>
    <s v="Laekvere õppehoone"/>
    <s v="ujumine"/>
    <n v="900"/>
    <m/>
    <x v="30"/>
    <s v="Õppevahendid"/>
    <n v="55"/>
    <x v="0"/>
    <x v="0"/>
    <x v="0"/>
    <x v="0"/>
    <m/>
  </r>
  <r>
    <x v="1"/>
    <x v="61"/>
    <x v="61"/>
    <x v="26"/>
    <s v="Haridus"/>
    <s v="Laekvere õppehoone"/>
    <s v="etendused, kontserdid"/>
    <n v="150"/>
    <m/>
    <x v="22"/>
    <s v="Kommunikatsiooni-, kultuuri- ja vaba aja sisustamise kulud"/>
    <n v="55"/>
    <x v="0"/>
    <x v="0"/>
    <x v="0"/>
    <x v="0"/>
    <m/>
  </r>
  <r>
    <x v="1"/>
    <x v="61"/>
    <x v="61"/>
    <x v="26"/>
    <s v="Haridus"/>
    <s v="Laekvere õppehoone"/>
    <s v="osalustasud"/>
    <n v="100"/>
    <m/>
    <x v="22"/>
    <s v="Kommunikatsiooni-, kultuuri- ja vaba aja sisustamise kulud"/>
    <n v="55"/>
    <x v="0"/>
    <x v="0"/>
    <x v="0"/>
    <x v="0"/>
    <m/>
  </r>
  <r>
    <x v="1"/>
    <x v="61"/>
    <x v="61"/>
    <x v="26"/>
    <s v="Haridus"/>
    <s v="Laekvere õppehoone"/>
    <s v="aastapäevad"/>
    <n v="3000"/>
    <m/>
    <x v="22"/>
    <s v="Kommunikatsiooni-, kultuuri- ja vaba aja sisustamise kulud"/>
    <n v="55"/>
    <x v="0"/>
    <x v="0"/>
    <x v="0"/>
    <x v="0"/>
    <m/>
  </r>
  <r>
    <x v="1"/>
    <x v="61"/>
    <x v="61"/>
    <x v="26"/>
    <s v="Haridus"/>
    <s v="Laekvere õppehoone"/>
    <s v="õpilaste üritused"/>
    <n v="2000"/>
    <m/>
    <x v="22"/>
    <s v="Kommunikatsiooni-, kultuuri- ja vaba aja sisustamise kulud"/>
    <n v="55"/>
    <x v="0"/>
    <x v="0"/>
    <x v="0"/>
    <x v="0"/>
    <m/>
  </r>
  <r>
    <x v="1"/>
    <x v="61"/>
    <x v="61"/>
    <x v="26"/>
    <s v="Haridus"/>
    <s v="Laekvere õppehoone"/>
    <s v="programmid"/>
    <n v="1000"/>
    <m/>
    <x v="5"/>
    <s v="Info- ja kommunikatsioonitehnoliigised kulud"/>
    <n v="55"/>
    <x v="0"/>
    <x v="0"/>
    <x v="0"/>
    <x v="0"/>
    <m/>
  </r>
  <r>
    <x v="1"/>
    <x v="61"/>
    <x v="61"/>
    <x v="26"/>
    <s v="Haridus"/>
    <s v="Laekvere õppehoone"/>
    <s v="soetamine"/>
    <n v="500"/>
    <m/>
    <x v="5"/>
    <s v="Info- ja kommunikatsioonitehnoliigised kulud"/>
    <n v="55"/>
    <x v="0"/>
    <x v="0"/>
    <x v="0"/>
    <x v="0"/>
    <m/>
  </r>
  <r>
    <x v="1"/>
    <x v="61"/>
    <x v="61"/>
    <x v="26"/>
    <s v="Haridus"/>
    <s v="Laekvere õppehoone"/>
    <s v="andmeside"/>
    <n v="600"/>
    <m/>
    <x v="5"/>
    <s v="Info- ja kommunikatsioonitehnoliigised kulud"/>
    <n v="55"/>
    <x v="0"/>
    <x v="0"/>
    <x v="0"/>
    <x v="0"/>
    <m/>
  </r>
  <r>
    <x v="1"/>
    <x v="61"/>
    <x v="61"/>
    <x v="26"/>
    <s v="Haridus"/>
    <s v="Laekvere õppehoone"/>
    <s v="remont ja hooldus"/>
    <n v="300"/>
    <m/>
    <x v="5"/>
    <s v="Info- ja kommunikatsioonitehnoliigised kulud"/>
    <n v="55"/>
    <x v="0"/>
    <x v="0"/>
    <x v="0"/>
    <x v="0"/>
    <m/>
  </r>
  <r>
    <x v="1"/>
    <x v="61"/>
    <x v="61"/>
    <x v="26"/>
    <s v="Haridus"/>
    <s v="Ehitusnõunik"/>
    <s v="Muuga-Laekvere Kooli Laekvere koolimaja katuse vahetus, fassaadi remont"/>
    <n v="290000"/>
    <m/>
    <x v="12"/>
    <s v="Rajatiste ja hoonete soetamine ja renoveerimine"/>
    <n v="15"/>
    <x v="3"/>
    <x v="3"/>
    <x v="3"/>
    <x v="2"/>
    <m/>
  </r>
  <r>
    <x v="1"/>
    <x v="61"/>
    <x v="61"/>
    <x v="26"/>
    <s v="Haridus"/>
    <s v="Laekvere õppehoone"/>
    <s v="Pedagoogilised koolitused"/>
    <n v="1384.56"/>
    <s v="Ped."/>
    <x v="2"/>
    <s v="Koolituskulud"/>
    <n v="55"/>
    <x v="0"/>
    <x v="0"/>
    <x v="0"/>
    <x v="0"/>
    <m/>
  </r>
  <r>
    <x v="1"/>
    <x v="61"/>
    <x v="61"/>
    <x v="26"/>
    <s v="Haridus"/>
    <s v="Laekvere õppehoone"/>
    <s v="Pedagoogilised õppevahendid"/>
    <n v="4311.42"/>
    <s v="Ped."/>
    <x v="30"/>
    <s v="Õppevahendid"/>
    <n v="55"/>
    <x v="0"/>
    <x v="0"/>
    <x v="0"/>
    <x v="0"/>
    <m/>
  </r>
  <r>
    <x v="1"/>
    <x v="61"/>
    <x v="61"/>
    <x v="26"/>
    <s v="Haridus"/>
    <s v="Muuga õppehoone"/>
    <s v="küte"/>
    <n v="270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Muuga õppehoone"/>
    <s v="elekter"/>
    <n v="53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Muuga õppehoone"/>
    <s v="el.käitlus"/>
    <n v="4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Muuga õppehoone"/>
    <s v="korrashoid"/>
    <n v="20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Muuga õppehoone"/>
    <s v="prügi"/>
    <n v="5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Muuga õppehoone"/>
    <s v="korstnapühkija"/>
    <n v="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Muuga õppehoone"/>
    <s v="vesi kanalisatsioon"/>
    <n v="15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Muuga õppehoone"/>
    <s v="rem tööd"/>
    <n v="5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Muuga õppehoone"/>
    <s v="kindlustus"/>
    <n v="9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Muuga õppehoone"/>
    <s v="Muud kinnistukulud"/>
    <n v="7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Muuga õppehoone"/>
    <s v="ohutusvahendite kontroll"/>
    <n v="15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Muuga õppehoone"/>
    <s v="büroo"/>
    <n v="400"/>
    <m/>
    <x v="0"/>
    <s v="Administreerimiskulud"/>
    <n v="55"/>
    <x v="0"/>
    <x v="0"/>
    <x v="0"/>
    <x v="0"/>
    <m/>
  </r>
  <r>
    <x v="1"/>
    <x v="61"/>
    <x v="61"/>
    <x v="26"/>
    <s v="Haridus"/>
    <s v="Muuga õppehoone"/>
    <s v="tahm"/>
    <n v="250"/>
    <m/>
    <x v="0"/>
    <s v="Administreerimiskulud"/>
    <n v="55"/>
    <x v="0"/>
    <x v="0"/>
    <x v="0"/>
    <x v="0"/>
    <m/>
  </r>
  <r>
    <x v="1"/>
    <x v="61"/>
    <x v="61"/>
    <x v="26"/>
    <s v="Haridus"/>
    <s v="Muuga õppehoone"/>
    <s v="trükised"/>
    <n v="170"/>
    <m/>
    <x v="0"/>
    <s v="Administreerimiskulud"/>
    <n v="55"/>
    <x v="0"/>
    <x v="0"/>
    <x v="0"/>
    <x v="0"/>
    <m/>
  </r>
  <r>
    <x v="1"/>
    <x v="61"/>
    <x v="61"/>
    <x v="26"/>
    <s v="Haridus"/>
    <s v="Muuga õppehoone"/>
    <s v="post"/>
    <n v="50"/>
    <m/>
    <x v="0"/>
    <s v="Administreerimiskulud"/>
    <n v="55"/>
    <x v="0"/>
    <x v="0"/>
    <x v="0"/>
    <x v="0"/>
    <m/>
  </r>
  <r>
    <x v="1"/>
    <x v="61"/>
    <x v="61"/>
    <x v="26"/>
    <s v="Haridus"/>
    <s v="Muuga õppehoone"/>
    <s v="telefon"/>
    <n v="300"/>
    <m/>
    <x v="0"/>
    <s v="Administreerimiskulud"/>
    <n v="55"/>
    <x v="0"/>
    <x v="0"/>
    <x v="0"/>
    <x v="0"/>
    <m/>
  </r>
  <r>
    <x v="1"/>
    <x v="61"/>
    <x v="61"/>
    <x v="26"/>
    <s v="Haridus"/>
    <s v="Muuga õppehoone"/>
    <s v="mobiiltel"/>
    <n v="0"/>
    <m/>
    <x v="0"/>
    <s v="Administreerimiskulud"/>
    <n v="55"/>
    <x v="0"/>
    <x v="0"/>
    <x v="0"/>
    <x v="0"/>
    <m/>
  </r>
  <r>
    <x v="1"/>
    <x v="61"/>
    <x v="61"/>
    <x v="26"/>
    <s v="Haridus"/>
    <s v="Muuga õppehoone"/>
    <s v="kingitused"/>
    <n v="150"/>
    <m/>
    <x v="0"/>
    <s v="Administreerimiskulud"/>
    <n v="55"/>
    <x v="0"/>
    <x v="0"/>
    <x v="0"/>
    <x v="0"/>
    <m/>
  </r>
  <r>
    <x v="1"/>
    <x v="61"/>
    <x v="61"/>
    <x v="26"/>
    <s v="Haridus"/>
    <s v="Muuga õppehoone"/>
    <s v="esindamine"/>
    <n v="150"/>
    <m/>
    <x v="0"/>
    <s v="Administreerimiskulud"/>
    <n v="55"/>
    <x v="0"/>
    <x v="0"/>
    <x v="0"/>
    <x v="0"/>
    <m/>
  </r>
  <r>
    <x v="1"/>
    <x v="61"/>
    <x v="61"/>
    <x v="26"/>
    <s v="Haridus"/>
    <s v="Muuga õppehoone"/>
    <s v="kuulutused"/>
    <n v="50"/>
    <m/>
    <x v="0"/>
    <s v="Administreerimiskulud"/>
    <n v="55"/>
    <x v="0"/>
    <x v="0"/>
    <x v="0"/>
    <x v="0"/>
    <m/>
  </r>
  <r>
    <x v="1"/>
    <x v="61"/>
    <x v="61"/>
    <x v="26"/>
    <s v="Haridus"/>
    <s v="Muuga õppehoone"/>
    <s v="Muud admin.kulud"/>
    <n v="150"/>
    <m/>
    <x v="0"/>
    <s v="Administreerimiskulud"/>
    <n v="55"/>
    <x v="0"/>
    <x v="0"/>
    <x v="0"/>
    <x v="0"/>
    <m/>
  </r>
  <r>
    <x v="1"/>
    <x v="61"/>
    <x v="61"/>
    <x v="26"/>
    <s v="Haridus"/>
    <s v="Muuga õppehoone"/>
    <s v="koolitused"/>
    <n v="184.64"/>
    <m/>
    <x v="2"/>
    <s v="Koolituskulud"/>
    <n v="55"/>
    <x v="0"/>
    <x v="0"/>
    <x v="0"/>
    <x v="0"/>
    <m/>
  </r>
  <r>
    <x v="1"/>
    <x v="61"/>
    <x v="61"/>
    <x v="26"/>
    <s v="Haridus"/>
    <s v="Muuga õppehoone"/>
    <s v="isikliku sõiduki kasutamine"/>
    <n v="600"/>
    <m/>
    <x v="3"/>
    <s v="Sõidukite ülalpidamise kulud"/>
    <n v="55"/>
    <x v="0"/>
    <x v="0"/>
    <x v="0"/>
    <x v="0"/>
    <m/>
  </r>
  <r>
    <x v="1"/>
    <x v="61"/>
    <x v="61"/>
    <x v="26"/>
    <s v="Haridus"/>
    <s v="Muuga õppehoone"/>
    <s v="Kooli bussi haldamine"/>
    <n v="3500"/>
    <m/>
    <x v="3"/>
    <s v="Sõidukite ülalpidamise kulud"/>
    <n v="55"/>
    <x v="0"/>
    <x v="0"/>
    <x v="0"/>
    <x v="0"/>
    <m/>
  </r>
  <r>
    <x v="1"/>
    <x v="61"/>
    <x v="61"/>
    <x v="26"/>
    <s v="Haridus"/>
    <s v="Muuga õppehoone"/>
    <s v="hooldus ja remont"/>
    <n v="500"/>
    <m/>
    <x v="8"/>
    <s v="Inventari kulud, v.a infotehnoloogia ja kaitseotstarbelised kulud"/>
    <n v="55"/>
    <x v="0"/>
    <x v="0"/>
    <x v="0"/>
    <x v="0"/>
    <m/>
  </r>
  <r>
    <x v="1"/>
    <x v="61"/>
    <x v="61"/>
    <x v="26"/>
    <s v="Haridus"/>
    <s v="Muuga õppehoone"/>
    <s v="muud inventari kulud"/>
    <n v="700"/>
    <m/>
    <x v="8"/>
    <s v="Inventari kulud, v.a infotehnoloogia ja kaitseotstarbelised kulud"/>
    <n v="55"/>
    <x v="0"/>
    <x v="0"/>
    <x v="0"/>
    <x v="0"/>
    <m/>
  </r>
  <r>
    <x v="1"/>
    <x v="61"/>
    <x v="61"/>
    <x v="26"/>
    <s v="Haridus"/>
    <s v="Muuga õppehoone"/>
    <s v="rent"/>
    <n v="300"/>
    <m/>
    <x v="8"/>
    <s v="Inventari kulud, v.a infotehnoloogia ja kaitseotstarbelised kulud"/>
    <n v="55"/>
    <x v="0"/>
    <x v="0"/>
    <x v="0"/>
    <x v="0"/>
    <m/>
  </r>
  <r>
    <x v="1"/>
    <x v="61"/>
    <x v="61"/>
    <x v="26"/>
    <s v="Haridus"/>
    <s v="Muuga õppehoone"/>
    <s v="Toiduained"/>
    <n v="5985"/>
    <s v="Ped."/>
    <x v="29"/>
    <s v="Toiduained ja toitlustusteenused"/>
    <n v="55"/>
    <x v="0"/>
    <x v="0"/>
    <x v="0"/>
    <x v="0"/>
    <m/>
  </r>
  <r>
    <x v="1"/>
    <x v="61"/>
    <x v="61"/>
    <x v="26"/>
    <s v="Haridus"/>
    <s v="Muuga õppehoone"/>
    <s v="esmaabi"/>
    <n v="100"/>
    <m/>
    <x v="9"/>
    <s v="Meditsiinikulud ja hügieenitarbed"/>
    <n v="55"/>
    <x v="0"/>
    <x v="0"/>
    <x v="0"/>
    <x v="0"/>
    <m/>
  </r>
  <r>
    <x v="1"/>
    <x v="61"/>
    <x v="61"/>
    <x v="26"/>
    <s v="Haridus"/>
    <s v="Muuga õppehoone"/>
    <s v="hügieenivahendid"/>
    <n v="600"/>
    <m/>
    <x v="9"/>
    <s v="Meditsiinikulud ja hügieenitarbed"/>
    <n v="55"/>
    <x v="0"/>
    <x v="0"/>
    <x v="0"/>
    <x v="0"/>
    <m/>
  </r>
  <r>
    <x v="1"/>
    <x v="61"/>
    <x v="61"/>
    <x v="26"/>
    <s v="Haridus"/>
    <s v="Muuga õppehoone"/>
    <s v="tervisekontroll"/>
    <n v="50"/>
    <m/>
    <x v="9"/>
    <s v="Meditsiinikulud ja hügieenitarbed"/>
    <n v="55"/>
    <x v="0"/>
    <x v="0"/>
    <x v="0"/>
    <x v="0"/>
    <m/>
  </r>
  <r>
    <x v="1"/>
    <x v="61"/>
    <x v="61"/>
    <x v="26"/>
    <s v="Haridus"/>
    <s v="Muuga õppehoone"/>
    <s v="prillid"/>
    <n v="300"/>
    <m/>
    <x v="9"/>
    <s v="Meditsiinikulud ja hügieenitarbed"/>
    <n v="55"/>
    <x v="0"/>
    <x v="0"/>
    <x v="0"/>
    <x v="0"/>
    <m/>
  </r>
  <r>
    <x v="1"/>
    <x v="61"/>
    <x v="61"/>
    <x v="26"/>
    <s v="Haridus"/>
    <s v="Muuga õppehoone"/>
    <s v="õpikud, töövihikud"/>
    <n v="313.42000000000007"/>
    <m/>
    <x v="30"/>
    <s v="Õppevahendid"/>
    <n v="55"/>
    <x v="0"/>
    <x v="0"/>
    <x v="0"/>
    <x v="0"/>
    <m/>
  </r>
  <r>
    <x v="1"/>
    <x v="61"/>
    <x v="61"/>
    <x v="26"/>
    <s v="Haridus"/>
    <s v="Muuga õppehoone"/>
    <s v="õppematerjalid"/>
    <n v="500"/>
    <m/>
    <x v="30"/>
    <s v="Õppevahendid"/>
    <n v="55"/>
    <x v="0"/>
    <x v="0"/>
    <x v="0"/>
    <x v="0"/>
    <m/>
  </r>
  <r>
    <x v="1"/>
    <x v="61"/>
    <x v="61"/>
    <x v="26"/>
    <s v="Haridus"/>
    <s v="Muuga õppehoone"/>
    <s v="ühisüritused"/>
    <n v="500"/>
    <m/>
    <x v="22"/>
    <s v="Kommunikatsiooni-, kultuuri- ja vaba aja sisustamise kulud"/>
    <n v="55"/>
    <x v="0"/>
    <x v="0"/>
    <x v="0"/>
    <x v="0"/>
    <m/>
  </r>
  <r>
    <x v="1"/>
    <x v="61"/>
    <x v="61"/>
    <x v="26"/>
    <s v="Haridus"/>
    <s v="Muuga õppehoone"/>
    <s v="transport"/>
    <n v="2800"/>
    <m/>
    <x v="30"/>
    <s v="Õppevahendid"/>
    <n v="55"/>
    <x v="0"/>
    <x v="0"/>
    <x v="0"/>
    <x v="0"/>
    <m/>
  </r>
  <r>
    <x v="1"/>
    <x v="61"/>
    <x v="61"/>
    <x v="26"/>
    <s v="Haridus"/>
    <s v="Muuga õppehoone"/>
    <s v="ujumine"/>
    <n v="800"/>
    <m/>
    <x v="30"/>
    <s v="Õppevahendid"/>
    <n v="55"/>
    <x v="0"/>
    <x v="0"/>
    <x v="0"/>
    <x v="0"/>
    <m/>
  </r>
  <r>
    <x v="1"/>
    <x v="61"/>
    <x v="61"/>
    <x v="26"/>
    <s v="Haridus"/>
    <s v="Muuga õppehoone"/>
    <s v="etendused, kontserdid"/>
    <n v="450"/>
    <m/>
    <x v="22"/>
    <s v="Kommunikatsiooni-, kultuuri- ja vaba aja sisustamise kulud"/>
    <n v="55"/>
    <x v="0"/>
    <x v="0"/>
    <x v="0"/>
    <x v="0"/>
    <m/>
  </r>
  <r>
    <x v="1"/>
    <x v="61"/>
    <x v="61"/>
    <x v="26"/>
    <s v="Haridus"/>
    <s v="Muuga õppehoone"/>
    <s v="osalustasud"/>
    <n v="300"/>
    <m/>
    <x v="22"/>
    <s v="Kommunikatsiooni-, kultuuri- ja vaba aja sisustamise kulud"/>
    <n v="55"/>
    <x v="0"/>
    <x v="0"/>
    <x v="0"/>
    <x v="0"/>
    <m/>
  </r>
  <r>
    <x v="1"/>
    <x v="61"/>
    <x v="61"/>
    <x v="26"/>
    <s v="Haridus"/>
    <s v="Muuga õppehoone"/>
    <s v="õpilaste üritused, autasud"/>
    <n v="750"/>
    <m/>
    <x v="22"/>
    <s v="Kommunikatsiooni-, kultuuri- ja vaba aja sisustamise kulud"/>
    <n v="55"/>
    <x v="0"/>
    <x v="0"/>
    <x v="0"/>
    <x v="0"/>
    <m/>
  </r>
  <r>
    <x v="1"/>
    <x v="61"/>
    <x v="61"/>
    <x v="26"/>
    <s v="Haridus"/>
    <s v="Muuga õppehoone"/>
    <s v="programmid"/>
    <n v="1000"/>
    <m/>
    <x v="5"/>
    <s v="Info- ja kommunikatsioonitehnoliigised kulud"/>
    <n v="55"/>
    <x v="0"/>
    <x v="0"/>
    <x v="0"/>
    <x v="0"/>
    <m/>
  </r>
  <r>
    <x v="1"/>
    <x v="61"/>
    <x v="61"/>
    <x v="26"/>
    <s v="Haridus"/>
    <s v="Muuga õppehoone"/>
    <s v="soetamine"/>
    <n v="500"/>
    <m/>
    <x v="5"/>
    <s v="Info- ja kommunikatsioonitehnoliigised kulud"/>
    <n v="55"/>
    <x v="0"/>
    <x v="0"/>
    <x v="0"/>
    <x v="0"/>
    <m/>
  </r>
  <r>
    <x v="1"/>
    <x v="61"/>
    <x v="61"/>
    <x v="26"/>
    <s v="Haridus"/>
    <s v="Muuga õppehoone"/>
    <s v="andmeside"/>
    <n v="700"/>
    <m/>
    <x v="5"/>
    <s v="Info- ja kommunikatsioonitehnoliigised kulud"/>
    <n v="55"/>
    <x v="0"/>
    <x v="0"/>
    <x v="0"/>
    <x v="0"/>
    <m/>
  </r>
  <r>
    <x v="1"/>
    <x v="61"/>
    <x v="61"/>
    <x v="26"/>
    <s v="Haridus"/>
    <s v="Muuga õppehoone"/>
    <s v="remont ja hooldus"/>
    <n v="300"/>
    <m/>
    <x v="5"/>
    <s v="Info- ja kommunikatsioonitehnoliigised kulud"/>
    <n v="55"/>
    <x v="0"/>
    <x v="0"/>
    <x v="0"/>
    <x v="0"/>
    <m/>
  </r>
  <r>
    <x v="1"/>
    <x v="61"/>
    <x v="61"/>
    <x v="26"/>
    <s v="Haridus"/>
    <s v="Muuga õppehoone"/>
    <s v="rent"/>
    <n v="500"/>
    <m/>
    <x v="5"/>
    <s v="Info- ja kommunikatsioonitehnoliigised kulud"/>
    <n v="55"/>
    <x v="0"/>
    <x v="0"/>
    <x v="0"/>
    <x v="0"/>
    <m/>
  </r>
  <r>
    <x v="1"/>
    <x v="61"/>
    <x v="61"/>
    <x v="26"/>
    <s v="Haridus"/>
    <s v="Muuga õppehoone"/>
    <s v="Pedagoogilised koolitused"/>
    <n v="615.36"/>
    <s v="Ped."/>
    <x v="2"/>
    <s v="Koolituskulud"/>
    <n v="55"/>
    <x v="0"/>
    <x v="0"/>
    <x v="0"/>
    <x v="0"/>
    <m/>
  </r>
  <r>
    <x v="1"/>
    <x v="61"/>
    <x v="61"/>
    <x v="26"/>
    <s v="Haridus"/>
    <s v="Muuga õppehoone"/>
    <s v="Pedagoogilised õppevahendid"/>
    <n v="2186.58"/>
    <s v="Ped."/>
    <x v="30"/>
    <s v="Õppevahendid"/>
    <n v="55"/>
    <x v="0"/>
    <x v="0"/>
    <x v="0"/>
    <x v="0"/>
    <m/>
  </r>
  <r>
    <x v="1"/>
    <x v="62"/>
    <x v="62"/>
    <x v="26"/>
    <s v="Haridus"/>
    <s v="Ferdinand von Wrangelli nim Roela Lasteaed-Põhikool"/>
    <s v="telefonid ja internet"/>
    <n v="1140"/>
    <s v="95 x 12"/>
    <x v="0"/>
    <s v="Administreerimiskulud"/>
    <n v="55"/>
    <x v="0"/>
    <x v="0"/>
    <x v="0"/>
    <x v="0"/>
    <m/>
  </r>
  <r>
    <x v="1"/>
    <x v="62"/>
    <x v="62"/>
    <x v="26"/>
    <s v="Haridus"/>
    <s v="Ferdinand von Wrangelli nim Roela Lasteaed-Põhikool"/>
    <s v="postikulu, kuulutused"/>
    <n v="50"/>
    <m/>
    <x v="0"/>
    <s v="Administreerimiskulud"/>
    <n v="55"/>
    <x v="0"/>
    <x v="0"/>
    <x v="0"/>
    <x v="0"/>
    <m/>
  </r>
  <r>
    <x v="1"/>
    <x v="62"/>
    <x v="62"/>
    <x v="26"/>
    <s v="Haridus"/>
    <s v="Ferdinand von Wrangelli nim Roela Lasteaed-Põhikool"/>
    <s v="tahmakassetid (värviline, õp.tuba, kantselei, direktor, LA)"/>
    <n v="1200"/>
    <m/>
    <x v="0"/>
    <s v="Administreerimiskulud"/>
    <n v="55"/>
    <x v="0"/>
    <x v="0"/>
    <x v="0"/>
    <x v="0"/>
    <m/>
  </r>
  <r>
    <x v="1"/>
    <x v="62"/>
    <x v="62"/>
    <x v="26"/>
    <s v="Haridus"/>
    <s v="Ferdinand von Wrangelli nim Roela Lasteaed-Põhikool"/>
    <s v="veebimajutus"/>
    <n v="24"/>
    <m/>
    <x v="0"/>
    <s v="Administreerimiskulud"/>
    <n v="55"/>
    <x v="0"/>
    <x v="0"/>
    <x v="0"/>
    <x v="0"/>
    <m/>
  </r>
  <r>
    <x v="1"/>
    <x v="62"/>
    <x v="62"/>
    <x v="26"/>
    <s v="Haridus"/>
    <s v="Ferdinand von Wrangelli nim Roela Lasteaed-Põhikool"/>
    <s v="kantseleitarbed (kalendrid, pastapl., liim jne)"/>
    <n v="200"/>
    <m/>
    <x v="0"/>
    <s v="Administreerimiskulud"/>
    <n v="55"/>
    <x v="0"/>
    <x v="0"/>
    <x v="0"/>
    <x v="0"/>
    <m/>
  </r>
  <r>
    <x v="1"/>
    <x v="62"/>
    <x v="62"/>
    <x v="26"/>
    <s v="Haridus"/>
    <s v="Ferdinand von Wrangelli nim Roela Lasteaed-Põhikool"/>
    <s v="printeripaber"/>
    <n v="276"/>
    <s v="20 karpi"/>
    <x v="0"/>
    <s v="Administreerimiskulud"/>
    <n v="55"/>
    <x v="0"/>
    <x v="0"/>
    <x v="0"/>
    <x v="0"/>
    <m/>
  </r>
  <r>
    <x v="1"/>
    <x v="62"/>
    <x v="62"/>
    <x v="26"/>
    <s v="Haridus"/>
    <s v="Ferdinand von Wrangelli nim Roela Lasteaed-Põhikool"/>
    <s v="külalised"/>
    <n v="100"/>
    <m/>
    <x v="0"/>
    <s v="Administreerimiskulud"/>
    <n v="55"/>
    <x v="0"/>
    <x v="0"/>
    <x v="0"/>
    <x v="0"/>
    <m/>
  </r>
  <r>
    <x v="1"/>
    <x v="62"/>
    <x v="62"/>
    <x v="26"/>
    <s v="Haridus"/>
    <s v="Ferdinand von Wrangelli nim Roela Lasteaed-Põhikool"/>
    <s v="koolituste plaan"/>
    <n v="1650"/>
    <m/>
    <x v="2"/>
    <s v="Koolituskulud"/>
    <n v="55"/>
    <x v="0"/>
    <x v="0"/>
    <x v="0"/>
    <x v="0"/>
    <m/>
  </r>
  <r>
    <x v="1"/>
    <x v="62"/>
    <x v="62"/>
    <x v="26"/>
    <s v="Haridus"/>
    <s v="Ferdinand von Wrangelli nim Roela Lasteaed-Põhikool"/>
    <s v="bussi liikluskindlustus"/>
    <n v="620"/>
    <m/>
    <x v="3"/>
    <s v="Sõidukite ülalpidamise kulud"/>
    <n v="55"/>
    <x v="0"/>
    <x v="0"/>
    <x v="0"/>
    <x v="0"/>
    <m/>
  </r>
  <r>
    <x v="1"/>
    <x v="62"/>
    <x v="62"/>
    <x v="26"/>
    <s v="Haridus"/>
    <s v="Ferdinand von Wrangelli nim Roela Lasteaed-Põhikool"/>
    <s v="kütus"/>
    <n v="2700"/>
    <m/>
    <x v="3"/>
    <s v="Sõidukite ülalpidamise kulud"/>
    <n v="55"/>
    <x v="0"/>
    <x v="0"/>
    <x v="0"/>
    <x v="0"/>
    <m/>
  </r>
  <r>
    <x v="1"/>
    <x v="62"/>
    <x v="62"/>
    <x v="26"/>
    <s v="Haridus"/>
    <s v="Ferdinand von Wrangelli nim Roela Lasteaed-Põhikool"/>
    <s v="remont ja hooldus"/>
    <n v="1000"/>
    <m/>
    <x v="3"/>
    <s v="Sõidukite ülalpidamise kulud"/>
    <n v="55"/>
    <x v="0"/>
    <x v="0"/>
    <x v="0"/>
    <x v="0"/>
    <m/>
  </r>
  <r>
    <x v="1"/>
    <x v="62"/>
    <x v="62"/>
    <x v="26"/>
    <s v="Haridus"/>
    <s v="Ferdinand von Wrangelli nim Roela Lasteaed-Põhikool"/>
    <s v="isikliku sõduauto kasutus"/>
    <n v="640"/>
    <s v="V. Klemmer (10 x 64)"/>
    <x v="3"/>
    <s v="Sõidukite ülalpidamise kulud"/>
    <n v="55"/>
    <x v="0"/>
    <x v="0"/>
    <x v="0"/>
    <x v="0"/>
    <m/>
  </r>
  <r>
    <x v="1"/>
    <x v="62"/>
    <x v="62"/>
    <x v="26"/>
    <s v="Haridus"/>
    <s v="Ferdinand von Wrangelli nim Roela Lasteaed-Põhikool"/>
    <s v="isikliku sõduauto kasutus"/>
    <n v="640"/>
    <s v="M. Mirt (10 x 64)"/>
    <x v="3"/>
    <s v="Sõidukite ülalpidamise kulud"/>
    <n v="55"/>
    <x v="0"/>
    <x v="0"/>
    <x v="0"/>
    <x v="0"/>
    <m/>
  </r>
  <r>
    <x v="1"/>
    <x v="62"/>
    <x v="62"/>
    <x v="26"/>
    <s v="Haridus"/>
    <s v="Ferdinand von Wrangelli nim Roela Lasteaed-Põhikool"/>
    <s v="isikliku sõduauto kasutus"/>
    <n v="640"/>
    <s v="H. Supper (10 x 64)"/>
    <x v="3"/>
    <s v="Sõidukite ülalpidamise kulud"/>
    <n v="55"/>
    <x v="0"/>
    <x v="0"/>
    <x v="0"/>
    <x v="0"/>
    <m/>
  </r>
  <r>
    <x v="1"/>
    <x v="62"/>
    <x v="62"/>
    <x v="26"/>
    <s v="Haridus"/>
    <s v="Ferdinand von Wrangelli nim Roela Lasteaed-Põhikool"/>
    <s v="isikliku sõduauto kasutus"/>
    <n v="640"/>
    <s v="U. Kruusimägi (10 x 64)"/>
    <x v="3"/>
    <s v="Sõidukite ülalpidamise kulud"/>
    <n v="55"/>
    <x v="0"/>
    <x v="0"/>
    <x v="0"/>
    <x v="0"/>
    <m/>
  </r>
  <r>
    <x v="1"/>
    <x v="62"/>
    <x v="62"/>
    <x v="26"/>
    <s v="Haridus"/>
    <s v="Ferdinand von Wrangelli nim Roela Lasteaed-Põhikool"/>
    <s v="isikliku sõduauto kasutus"/>
    <n v="704"/>
    <s v="S. Kalme (11 x 64)"/>
    <x v="3"/>
    <s v="Sõidukite ülalpidamise kulud"/>
    <n v="55"/>
    <x v="0"/>
    <x v="0"/>
    <x v="0"/>
    <x v="0"/>
    <m/>
  </r>
  <r>
    <x v="1"/>
    <x v="62"/>
    <x v="62"/>
    <x v="26"/>
    <s v="Haridus"/>
    <s v="Ferdinand von Wrangelli nim Roela Lasteaed-Põhikool"/>
    <s v="klaverihäälestamine"/>
    <n v="200"/>
    <s v=" klaverit"/>
    <x v="8"/>
    <s v="Inventari kulud, v.a infotehnoloogia ja kaitseotstarbelised kulud"/>
    <n v="55"/>
    <x v="0"/>
    <x v="0"/>
    <x v="0"/>
    <x v="0"/>
    <m/>
  </r>
  <r>
    <x v="1"/>
    <x v="62"/>
    <x v="62"/>
    <x v="26"/>
    <s v="Haridus"/>
    <s v="Ferdinand von Wrangelli nim Roela Lasteaed-Põhikool"/>
    <s v="seadmete remondid"/>
    <n v="200"/>
    <m/>
    <x v="8"/>
    <s v="Inventari kulud, v.a infotehnoloogia ja kaitseotstarbelised kulud"/>
    <n v="55"/>
    <x v="0"/>
    <x v="0"/>
    <x v="0"/>
    <x v="0"/>
    <m/>
  </r>
  <r>
    <x v="1"/>
    <x v="62"/>
    <x v="62"/>
    <x v="26"/>
    <s v="Haridus"/>
    <s v="Ferdinand von Wrangelli nim Roela Lasteaed-Põhikool"/>
    <s v="ekraan + projektor(1 tk)"/>
    <n v="1000"/>
    <s v="aula"/>
    <x v="8"/>
    <s v="Inventari kulud, v.a infotehnoloogia ja kaitseotstarbelised kulud"/>
    <n v="55"/>
    <x v="0"/>
    <x v="0"/>
    <x v="0"/>
    <x v="0"/>
    <m/>
  </r>
  <r>
    <x v="1"/>
    <x v="62"/>
    <x v="62"/>
    <x v="26"/>
    <s v="Haridus"/>
    <s v="Ferdinand von Wrangelli nim Roela Lasteaed-Põhikool"/>
    <s v="toiduained  "/>
    <n v="10675"/>
    <m/>
    <x v="29"/>
    <s v="Toiduained ja toitlustusteenused"/>
    <n v="55"/>
    <x v="0"/>
    <x v="0"/>
    <x v="0"/>
    <x v="0"/>
    <m/>
  </r>
  <r>
    <x v="1"/>
    <x v="62"/>
    <x v="62"/>
    <x v="26"/>
    <s v="Haridus"/>
    <s v="Ferdinand von Wrangelli nim Roela Lasteaed-Põhikool"/>
    <s v="töötervishoiuarst"/>
    <n v="150"/>
    <s v="3 töötajat"/>
    <x v="9"/>
    <s v="Meditsiinikulud ja hügieenitarbed"/>
    <n v="55"/>
    <x v="0"/>
    <x v="0"/>
    <x v="0"/>
    <x v="0"/>
    <m/>
  </r>
  <r>
    <x v="1"/>
    <x v="62"/>
    <x v="62"/>
    <x v="26"/>
    <s v="Haridus"/>
    <s v="Ferdinand von Wrangelli nim Roela Lasteaed-Põhikool"/>
    <s v="plaastrid, sidemed jne"/>
    <n v="100"/>
    <m/>
    <x v="9"/>
    <s v="Meditsiinikulud ja hügieenitarbed"/>
    <n v="55"/>
    <x v="0"/>
    <x v="0"/>
    <x v="0"/>
    <x v="0"/>
    <m/>
  </r>
  <r>
    <x v="1"/>
    <x v="62"/>
    <x v="62"/>
    <x v="26"/>
    <s v="Haridus"/>
    <s v="Ferdinand von Wrangelli nim Roela Lasteaed-Põhikool"/>
    <s v="õpikud"/>
    <n v="200"/>
    <m/>
    <x v="30"/>
    <s v="Õppevahendid"/>
    <n v="55"/>
    <x v="0"/>
    <x v="0"/>
    <x v="0"/>
    <x v="0"/>
    <m/>
  </r>
  <r>
    <x v="1"/>
    <x v="62"/>
    <x v="62"/>
    <x v="26"/>
    <s v="Haridus"/>
    <s v="Ferdinand von Wrangelli nim Roela Lasteaed-Põhikool"/>
    <s v="töövihikud"/>
    <n v="3023"/>
    <s v="tellimislehti pole veel"/>
    <x v="30"/>
    <s v="Õppevahendid"/>
    <n v="55"/>
    <x v="0"/>
    <x v="0"/>
    <x v="0"/>
    <x v="0"/>
    <m/>
  </r>
  <r>
    <x v="1"/>
    <x v="62"/>
    <x v="62"/>
    <x v="26"/>
    <s v="Haridus"/>
    <s v="Ferdinand von Wrangelli nim Roela Lasteaed-Põhikool"/>
    <s v="õpetajate tööraamatud, CD"/>
    <n v="100"/>
    <m/>
    <x v="30"/>
    <s v="Õppevahendid"/>
    <n v="55"/>
    <x v="0"/>
    <x v="0"/>
    <x v="0"/>
    <x v="0"/>
    <m/>
  </r>
  <r>
    <x v="1"/>
    <x v="62"/>
    <x v="62"/>
    <x v="26"/>
    <s v="Haridus"/>
    <s v="Ferdinand von Wrangelli nim Roela Lasteaed-Põhikool"/>
    <s v="Õppevahendid"/>
    <n v="500"/>
    <s v="värvil.paber,joonistuspaber,värvid,mänguasjad"/>
    <x v="30"/>
    <s v="Õppevahendid"/>
    <n v="55"/>
    <x v="0"/>
    <x v="0"/>
    <x v="0"/>
    <x v="0"/>
    <m/>
  </r>
  <r>
    <x v="1"/>
    <x v="62"/>
    <x v="62"/>
    <x v="26"/>
    <s v="Haridus"/>
    <s v="Ferdinand von Wrangelli nim Roela Lasteaed-Põhikool"/>
    <s v="sporditarbed"/>
    <n v="500"/>
    <s v="pallid, kõrgushüppe postid, tõkked"/>
    <x v="30"/>
    <s v="Õppevahendid"/>
    <n v="55"/>
    <x v="0"/>
    <x v="0"/>
    <x v="0"/>
    <x v="0"/>
    <m/>
  </r>
  <r>
    <x v="1"/>
    <x v="62"/>
    <x v="62"/>
    <x v="26"/>
    <s v="Haridus"/>
    <s v="Ferdinand von Wrangelli nim Roela Lasteaed-Põhikool"/>
    <s v="poiste tööõpetus"/>
    <n v="100"/>
    <s v="kruvid, naelad, vineerisaelehed,liivapaber"/>
    <x v="30"/>
    <s v="Õppevahendid"/>
    <n v="55"/>
    <x v="0"/>
    <x v="0"/>
    <x v="0"/>
    <x v="0"/>
    <m/>
  </r>
  <r>
    <x v="1"/>
    <x v="62"/>
    <x v="62"/>
    <x v="26"/>
    <s v="Haridus"/>
    <s v="Ferdinand von Wrangelli nim Roela Lasteaed-Põhikool"/>
    <s v="kodundus"/>
    <n v="200"/>
    <s v="käsitöövahendid, toiduained"/>
    <x v="30"/>
    <s v="Õppevahendid"/>
    <n v="55"/>
    <x v="0"/>
    <x v="0"/>
    <x v="0"/>
    <x v="0"/>
    <m/>
  </r>
  <r>
    <x v="1"/>
    <x v="62"/>
    <x v="62"/>
    <x v="26"/>
    <s v="Haridus"/>
    <s v="Ferdinand von Wrangelli nim Roela Lasteaed-Põhikool"/>
    <s v="õppeköök"/>
    <n v="200"/>
    <s v="köögi tarvikud (pannid, kausid, noad)"/>
    <x v="30"/>
    <s v="Õppevahendid"/>
    <n v="55"/>
    <x v="0"/>
    <x v="0"/>
    <x v="0"/>
    <x v="0"/>
    <m/>
  </r>
  <r>
    <x v="1"/>
    <x v="62"/>
    <x v="62"/>
    <x v="26"/>
    <s v="Haridus"/>
    <s v="Ferdinand von Wrangelli nim Roela Lasteaed-Põhikool"/>
    <s v="ATV bensiin suusaradade hoolduseks ja korrashoid"/>
    <n v="150"/>
    <m/>
    <x v="30"/>
    <s v="Õppevahendid"/>
    <n v="55"/>
    <x v="0"/>
    <x v="0"/>
    <x v="0"/>
    <x v="0"/>
    <m/>
  </r>
  <r>
    <x v="1"/>
    <x v="62"/>
    <x v="62"/>
    <x v="26"/>
    <s v="Haridus"/>
    <s v="Ferdinand von Wrangelli nim Roela Lasteaed-Põhikool"/>
    <s v="lõpetamine (kingitused lõpetajatele)"/>
    <n v="150"/>
    <s v="kool + LA"/>
    <x v="22"/>
    <s v="Kommunikatsiooni-, kultuuri- ja vaba aja sisustamise kulud"/>
    <n v="55"/>
    <x v="0"/>
    <x v="0"/>
    <x v="0"/>
    <x v="0"/>
    <m/>
  </r>
  <r>
    <x v="1"/>
    <x v="62"/>
    <x v="62"/>
    <x v="26"/>
    <s v="Haridus"/>
    <s v="Ferdinand von Wrangelli nim Roela Lasteaed-Põhikool"/>
    <s v="kooli logoga meened kingitusteks"/>
    <n v="150"/>
    <m/>
    <x v="22"/>
    <s v="Kommunikatsiooni-, kultuuri- ja vaba aja sisustamise kulud"/>
    <n v="55"/>
    <x v="0"/>
    <x v="0"/>
    <x v="0"/>
    <x v="0"/>
    <m/>
  </r>
  <r>
    <x v="1"/>
    <x v="62"/>
    <x v="62"/>
    <x v="26"/>
    <s v="Haridus"/>
    <s v="Ferdinand von Wrangelli nim Roela Lasteaed-Põhikool"/>
    <s v="õpilaste premeerimine saavutuste puhul"/>
    <n v="150"/>
    <m/>
    <x v="22"/>
    <s v="Kommunikatsiooni-, kultuuri- ja vaba aja sisustamise kulud"/>
    <n v="55"/>
    <x v="0"/>
    <x v="0"/>
    <x v="0"/>
    <x v="0"/>
    <m/>
  </r>
  <r>
    <x v="1"/>
    <x v="62"/>
    <x v="62"/>
    <x v="26"/>
    <s v="Haridus"/>
    <s v="Ferdinand von Wrangelli nim Roela Lasteaed-Põhikool"/>
    <s v="lilled ürituste dekoreerimiseks"/>
    <n v="200"/>
    <m/>
    <x v="22"/>
    <s v="Kommunikatsiooni-, kultuuri- ja vaba aja sisustamise kulud"/>
    <n v="55"/>
    <x v="0"/>
    <x v="0"/>
    <x v="0"/>
    <x v="0"/>
    <m/>
  </r>
  <r>
    <x v="1"/>
    <x v="62"/>
    <x v="62"/>
    <x v="26"/>
    <s v="Haridus"/>
    <s v="Ferdinand von Wrangelli nim Roela Lasteaed-Põhikool"/>
    <s v="spordipäevade auhinnad"/>
    <n v="100"/>
    <m/>
    <x v="22"/>
    <s v="Kommunikatsiooni-, kultuuri- ja vaba aja sisustamise kulud"/>
    <n v="55"/>
    <x v="0"/>
    <x v="0"/>
    <x v="0"/>
    <x v="0"/>
    <m/>
  </r>
  <r>
    <x v="1"/>
    <x v="62"/>
    <x v="62"/>
    <x v="26"/>
    <s v="Haridus"/>
    <s v="Ferdinand von Wrangelli nim Roela Lasteaed-Põhikool"/>
    <s v="õppeekskursioon õpetajatele"/>
    <n v="700"/>
    <m/>
    <x v="22"/>
    <s v="Kommunikatsiooni-, kultuuri- ja vaba aja sisustamise kulud"/>
    <n v="55"/>
    <x v="0"/>
    <x v="0"/>
    <x v="0"/>
    <x v="0"/>
    <m/>
  </r>
  <r>
    <x v="1"/>
    <x v="62"/>
    <x v="62"/>
    <x v="26"/>
    <s v="Haridus"/>
    <s v="Ferdinand von Wrangelli nim Roela Lasteaed-Põhikool"/>
    <s v="küte"/>
    <n v="37000"/>
    <m/>
    <x v="4"/>
    <s v="Kinnistute, hoonete ja ruumide majandamiskulud"/>
    <n v="55"/>
    <x v="0"/>
    <x v="0"/>
    <x v="0"/>
    <x v="0"/>
    <m/>
  </r>
  <r>
    <x v="1"/>
    <x v="62"/>
    <x v="62"/>
    <x v="26"/>
    <s v="Haridus"/>
    <s v="Ferdinand von Wrangelli nim Roela Lasteaed-Põhikool"/>
    <s v="elekter"/>
    <n v="6500"/>
    <m/>
    <x v="4"/>
    <s v="Kinnistute, hoonete ja ruumide majandamiskulud"/>
    <n v="55"/>
    <x v="0"/>
    <x v="0"/>
    <x v="0"/>
    <x v="0"/>
    <m/>
  </r>
  <r>
    <x v="1"/>
    <x v="62"/>
    <x v="62"/>
    <x v="26"/>
    <s v="Haridus"/>
    <s v="Ferdinand von Wrangelli nim Roela Lasteaed-Põhikool"/>
    <s v="vesi + kanalisatsioon + san tehnilised tööd"/>
    <n v="4000"/>
    <m/>
    <x v="4"/>
    <s v="Kinnistute, hoonete ja ruumide majandamiskulud"/>
    <n v="55"/>
    <x v="0"/>
    <x v="0"/>
    <x v="0"/>
    <x v="0"/>
    <m/>
  </r>
  <r>
    <x v="1"/>
    <x v="62"/>
    <x v="62"/>
    <x v="26"/>
    <s v="Haridus"/>
    <s v="Ferdinand von Wrangelli nim Roela Lasteaed-Põhikool"/>
    <s v="prügi"/>
    <n v="489"/>
    <s v="14 x 20,50 + 12 x16,80 (konteineri laenutus)"/>
    <x v="4"/>
    <s v="Kinnistute, hoonete ja ruumide majandamiskulud"/>
    <n v="55"/>
    <x v="0"/>
    <x v="0"/>
    <x v="0"/>
    <x v="0"/>
    <m/>
  </r>
  <r>
    <x v="1"/>
    <x v="62"/>
    <x v="62"/>
    <x v="26"/>
    <s v="Haridus"/>
    <s v="Ferdinand von Wrangelli nim Roela Lasteaed-Põhikool"/>
    <s v="valvesignalisatsioon"/>
    <n v="850"/>
    <s v="4 x 153.40 + materjalid + G4S (200.-)"/>
    <x v="4"/>
    <s v="Kinnistute, hoonete ja ruumide majandamiskulud"/>
    <n v="55"/>
    <x v="0"/>
    <x v="0"/>
    <x v="0"/>
    <x v="0"/>
    <m/>
  </r>
  <r>
    <x v="1"/>
    <x v="62"/>
    <x v="62"/>
    <x v="26"/>
    <s v="Haridus"/>
    <s v="Ferdinand von Wrangelli nim Roela Lasteaed-Põhikool"/>
    <s v="el.käiduleping"/>
    <n v="800"/>
    <s v="48 x 12 + materjalid"/>
    <x v="4"/>
    <s v="Kinnistute, hoonete ja ruumide majandamiskulud"/>
    <n v="55"/>
    <x v="0"/>
    <x v="0"/>
    <x v="0"/>
    <x v="0"/>
    <m/>
  </r>
  <r>
    <x v="1"/>
    <x v="62"/>
    <x v="62"/>
    <x v="26"/>
    <s v="Haridus"/>
    <s v="Ferdinand von Wrangelli nim Roela Lasteaed-Põhikool"/>
    <s v="söökla ventilatsiooni puhastus"/>
    <n v="450"/>
    <s v="1 kord aastas kohustuslik"/>
    <x v="4"/>
    <s v="Kinnistute, hoonete ja ruumide majandamiskulud"/>
    <n v="55"/>
    <x v="0"/>
    <x v="0"/>
    <x v="0"/>
    <x v="0"/>
    <m/>
  </r>
  <r>
    <x v="1"/>
    <x v="62"/>
    <x v="62"/>
    <x v="26"/>
    <s v="Haridus"/>
    <s v="Ferdinand von Wrangelli nim Roela Lasteaed-Põhikool"/>
    <s v="söökla uhteproovid, vee analüüsid"/>
    <n v="106"/>
    <s v="2 x 53"/>
    <x v="4"/>
    <s v="Kinnistute, hoonete ja ruumide majandamiskulud"/>
    <n v="55"/>
    <x v="0"/>
    <x v="0"/>
    <x v="0"/>
    <x v="0"/>
    <m/>
  </r>
  <r>
    <x v="1"/>
    <x v="62"/>
    <x v="62"/>
    <x v="26"/>
    <s v="Haridus"/>
    <s v="Ferdinand von Wrangelli nim Roela Lasteaed-Põhikool"/>
    <s v="söökla kahjuritõrje"/>
    <n v="92"/>
    <s v="4 x 23.01"/>
    <x v="4"/>
    <s v="Kinnistute, hoonete ja ruumide majandamiskulud"/>
    <n v="55"/>
    <x v="0"/>
    <x v="0"/>
    <x v="0"/>
    <x v="0"/>
    <m/>
  </r>
  <r>
    <x v="1"/>
    <x v="62"/>
    <x v="62"/>
    <x v="26"/>
    <s v="Haridus"/>
    <s v="Ferdinand von Wrangelli nim Roela Lasteaed-Põhikool"/>
    <s v="tulekustutite kontroll"/>
    <n v="113"/>
    <s v="23 x 4,90"/>
    <x v="4"/>
    <s v="Kinnistute, hoonete ja ruumide majandamiskulud"/>
    <n v="55"/>
    <x v="0"/>
    <x v="0"/>
    <x v="0"/>
    <x v="0"/>
    <m/>
  </r>
  <r>
    <x v="1"/>
    <x v="62"/>
    <x v="62"/>
    <x v="26"/>
    <s v="Haridus"/>
    <s v="Ferdinand von Wrangelli nim Roela Lasteaed-Põhikool"/>
    <s v="korrashoiuvahendid"/>
    <n v="1400"/>
    <s v="WC paber, puhastusvahendid jne"/>
    <x v="4"/>
    <s v="Kinnistute, hoonete ja ruumide majandamiskulud"/>
    <n v="55"/>
    <x v="0"/>
    <x v="0"/>
    <x v="0"/>
    <x v="0"/>
    <m/>
  </r>
  <r>
    <x v="1"/>
    <x v="62"/>
    <x v="62"/>
    <x v="26"/>
    <s v="Haridus"/>
    <s v="Ferdinand von Wrangelli nim Roela Lasteaed-Põhikool"/>
    <s v="pisiremont (pahtel, värv jne)"/>
    <n v="4500"/>
    <m/>
    <x v="4"/>
    <s v="Kinnistute, hoonete ja ruumide majandamiskulud"/>
    <n v="55"/>
    <x v="0"/>
    <x v="0"/>
    <x v="0"/>
    <x v="0"/>
    <m/>
  </r>
  <r>
    <x v="1"/>
    <x v="62"/>
    <x v="62"/>
    <x v="26"/>
    <s v="Haridus"/>
    <s v="Ferdinand von Wrangelli nim Roela Lasteaed-Põhikool"/>
    <s v="e-kool"/>
    <n v="400"/>
    <s v="12 x 33,33"/>
    <x v="5"/>
    <s v="Info- ja kommunikatsioonitehnoliigised kulud"/>
    <n v="55"/>
    <x v="0"/>
    <x v="0"/>
    <x v="0"/>
    <x v="0"/>
    <m/>
  </r>
  <r>
    <x v="1"/>
    <x v="62"/>
    <x v="62"/>
    <x v="26"/>
    <s v="Haridus"/>
    <s v="Ferdinand von Wrangelli nim Roela Lasteaed-Põhikool"/>
    <s v="arvutiprogrammid, hooldused"/>
    <n v="250"/>
    <s v="viiruse tõrje"/>
    <x v="5"/>
    <s v="Info- ja kommunikatsioonitehnoliigised kulud"/>
    <n v="55"/>
    <x v="0"/>
    <x v="0"/>
    <x v="0"/>
    <x v="0"/>
    <m/>
  </r>
  <r>
    <x v="1"/>
    <x v="62"/>
    <x v="62"/>
    <x v="26"/>
    <s v="Haridus"/>
    <s v="Ferdinand von Wrangelli nim Roela Lasteaed-Põhikool"/>
    <s v="haridusserver"/>
    <n v="20"/>
    <m/>
    <x v="5"/>
    <s v="Info- ja kommunikatsioonitehnoliigised kulud"/>
    <n v="55"/>
    <x v="0"/>
    <x v="0"/>
    <x v="0"/>
    <x v="0"/>
    <m/>
  </r>
  <r>
    <x v="1"/>
    <x v="62"/>
    <x v="62"/>
    <x v="26"/>
    <s v="Haridus"/>
    <s v="Ferdinand von Wrangelli nim Roela Lasteaed-Põhikool"/>
    <s v="sülearvuti (2 tk)"/>
    <n v="1000"/>
    <s v="õpetajatele vanade asendamiseks"/>
    <x v="5"/>
    <s v="Info- ja kommunikatsioonitehnoliigised kulud"/>
    <n v="55"/>
    <x v="0"/>
    <x v="0"/>
    <x v="0"/>
    <x v="0"/>
    <m/>
  </r>
  <r>
    <x v="1"/>
    <x v="62"/>
    <x v="62"/>
    <x v="26"/>
    <s v="Haridus"/>
    <s v="Ehitusnõunik"/>
    <s v="Roela kool-küttesüsteem ja fassaad"/>
    <n v="95000"/>
    <m/>
    <x v="12"/>
    <s v="Rajatiste ja hoonete soetamine ja renoveerimine"/>
    <n v="15"/>
    <x v="3"/>
    <x v="3"/>
    <x v="3"/>
    <x v="2"/>
    <m/>
  </r>
  <r>
    <x v="1"/>
    <x v="62"/>
    <x v="62"/>
    <x v="26"/>
    <s v="Haridus"/>
    <s v="Roela kool"/>
    <s v="Signalisatsioon ühendada (LA, r/k, kool)"/>
    <n v="785.4"/>
    <s v="LA ja r/k signal. puudub"/>
    <x v="4"/>
    <s v="Kinnistute, hoonete ja ruumide majandamiskulud"/>
    <n v="55"/>
    <x v="0"/>
    <x v="0"/>
    <x v="0"/>
    <x v="0"/>
    <m/>
  </r>
  <r>
    <x v="1"/>
    <x v="62"/>
    <x v="62"/>
    <x v="26"/>
    <s v="Haridus"/>
    <s v="Roela kool"/>
    <s v="Kooli ja LA juubel (40/45)"/>
    <n v="4580"/>
    <s v="Esinejad, toitlustamine, meened"/>
    <x v="22"/>
    <s v="Kommunikatsiooni-, kultuuri- ja vaba aja sisustamise kulud"/>
    <n v="55"/>
    <x v="0"/>
    <x v="0"/>
    <x v="0"/>
    <x v="0"/>
    <m/>
  </r>
  <r>
    <x v="1"/>
    <x v="62"/>
    <x v="62"/>
    <x v="26"/>
    <s v="Haridus"/>
    <s v="Roela kool"/>
    <s v="1. klassi ujumise transport (19 x 40.-)"/>
    <n v="760"/>
    <s v="õppekavas ette nähtud"/>
    <x v="1"/>
    <s v="Mitmesugused majanduskulud"/>
    <n v="55"/>
    <x v="0"/>
    <x v="0"/>
    <x v="0"/>
    <x v="0"/>
    <m/>
  </r>
  <r>
    <x v="1"/>
    <x v="62"/>
    <x v="62"/>
    <x v="26"/>
    <s v="Haridus"/>
    <s v="Ferdinand von Wrangelli nim Roela Lasteaed-Põhikool"/>
    <s v="Pedagoogilised koolitused"/>
    <n v="1100"/>
    <s v="Ped."/>
    <x v="2"/>
    <s v="Koolituskulud"/>
    <n v="55"/>
    <x v="0"/>
    <x v="0"/>
    <x v="0"/>
    <x v="0"/>
    <m/>
  </r>
  <r>
    <x v="1"/>
    <x v="62"/>
    <x v="62"/>
    <x v="26"/>
    <s v="Haridus"/>
    <s v="Ferdinand von Wrangelli nim Roela Lasteaed-Põhikool"/>
    <s v="Pedagoogilised õppevahendid"/>
    <n v="3477"/>
    <s v="Ped."/>
    <x v="30"/>
    <s v="Õppevahendid"/>
    <n v="55"/>
    <x v="0"/>
    <x v="0"/>
    <x v="0"/>
    <x v="0"/>
    <m/>
  </r>
  <r>
    <x v="1"/>
    <x v="63"/>
    <x v="63"/>
    <x v="26"/>
    <s v="Haridus"/>
    <s v="Ehitusnõunik"/>
    <s v="Tudu Kooli küttesüsteemi üleviimine pelletküttele"/>
    <n v="51000"/>
    <m/>
    <x v="12"/>
    <s v="Rajatiste ja hoonete soetamine ja renoveerimine"/>
    <n v="15"/>
    <x v="3"/>
    <x v="3"/>
    <x v="3"/>
    <x v="2"/>
    <m/>
  </r>
  <r>
    <x v="1"/>
    <x v="63"/>
    <x v="63"/>
    <x v="26"/>
    <s v="Haridus"/>
    <s v="Tudu Põhikool"/>
    <s v="telefonid ja internet"/>
    <n v="800"/>
    <s v="EMT 200; lauatel+neti=600"/>
    <x v="0"/>
    <s v="Administreerimiskulud"/>
    <n v="55"/>
    <x v="0"/>
    <x v="0"/>
    <x v="0"/>
    <x v="0"/>
    <m/>
  </r>
  <r>
    <x v="1"/>
    <x v="63"/>
    <x v="63"/>
    <x v="26"/>
    <s v="Haridus"/>
    <s v="Tudu Põhikool"/>
    <s v="postikulu"/>
    <n v="50"/>
    <m/>
    <x v="0"/>
    <s v="Administreerimiskulud"/>
    <n v="55"/>
    <x v="0"/>
    <x v="0"/>
    <x v="0"/>
    <x v="0"/>
    <m/>
  </r>
  <r>
    <x v="1"/>
    <x v="63"/>
    <x v="63"/>
    <x v="26"/>
    <s v="Haridus"/>
    <s v="Tudu Põhikool"/>
    <s v="printeritahm ja tint"/>
    <n v="200"/>
    <m/>
    <x v="0"/>
    <s v="Administreerimiskulud"/>
    <n v="55"/>
    <x v="0"/>
    <x v="0"/>
    <x v="0"/>
    <x v="0"/>
    <m/>
  </r>
  <r>
    <x v="1"/>
    <x v="63"/>
    <x v="63"/>
    <x v="26"/>
    <s v="Haridus"/>
    <s v="Tudu Põhikool"/>
    <s v="kantseleitarbed"/>
    <n v="200"/>
    <s v="paber, kladed, pliiatsid jne"/>
    <x v="0"/>
    <s v="Administreerimiskulud"/>
    <n v="55"/>
    <x v="0"/>
    <x v="0"/>
    <x v="0"/>
    <x v="0"/>
    <m/>
  </r>
  <r>
    <x v="1"/>
    <x v="63"/>
    <x v="63"/>
    <x v="26"/>
    <s v="Haridus"/>
    <s v="Tudu Põhikool"/>
    <s v="kuulutused"/>
    <n v="50"/>
    <m/>
    <x v="0"/>
    <s v="Administreerimiskulud"/>
    <n v="55"/>
    <x v="0"/>
    <x v="0"/>
    <x v="0"/>
    <x v="0"/>
    <m/>
  </r>
  <r>
    <x v="1"/>
    <x v="63"/>
    <x v="63"/>
    <x v="26"/>
    <s v="Haridus"/>
    <s v="Tudu Põhikool"/>
    <s v="ajakirjanduse tellimine"/>
    <n v="230"/>
    <s v="ajalehed"/>
    <x v="0"/>
    <s v="Administreerimiskulud"/>
    <n v="55"/>
    <x v="0"/>
    <x v="0"/>
    <x v="0"/>
    <x v="0"/>
    <m/>
  </r>
  <r>
    <x v="1"/>
    <x v="63"/>
    <x v="63"/>
    <x v="26"/>
    <s v="Haridus"/>
    <s v="Tudu Põhikool"/>
    <s v="erivajadustega laste õpet"/>
    <n v="200"/>
    <m/>
    <x v="2"/>
    <s v="Koolituskulud"/>
    <n v="55"/>
    <x v="0"/>
    <x v="0"/>
    <x v="0"/>
    <x v="0"/>
    <m/>
  </r>
  <r>
    <x v="1"/>
    <x v="63"/>
    <x v="63"/>
    <x v="26"/>
    <s v="Haridus"/>
    <s v="Tudu Põhikool"/>
    <s v="robootika ainetundides"/>
    <n v="100"/>
    <m/>
    <x v="2"/>
    <s v="Koolituskulud"/>
    <n v="55"/>
    <x v="0"/>
    <x v="0"/>
    <x v="0"/>
    <x v="0"/>
    <m/>
  </r>
  <r>
    <x v="1"/>
    <x v="63"/>
    <x v="63"/>
    <x v="26"/>
    <s v="Haridus"/>
    <s v="Tudu Põhikool"/>
    <s v="enesekehtestamine"/>
    <n v="300"/>
    <m/>
    <x v="2"/>
    <s v="Koolituskulud"/>
    <n v="55"/>
    <x v="0"/>
    <x v="0"/>
    <x v="0"/>
    <x v="0"/>
    <m/>
  </r>
  <r>
    <x v="1"/>
    <x v="63"/>
    <x v="63"/>
    <x v="26"/>
    <s v="Haridus"/>
    <s v="Tudu Põhikool"/>
    <s v="kindlustus"/>
    <n v="684"/>
    <m/>
    <x v="3"/>
    <s v="Sõidukite ülalpidamise kulud"/>
    <n v="55"/>
    <x v="0"/>
    <x v="0"/>
    <x v="0"/>
    <x v="0"/>
    <m/>
  </r>
  <r>
    <x v="1"/>
    <x v="63"/>
    <x v="63"/>
    <x v="26"/>
    <s v="Haridus"/>
    <s v="Tudu Põhikool"/>
    <s v="hooldus"/>
    <n v="500"/>
    <m/>
    <x v="3"/>
    <s v="Sõidukite ülalpidamise kulud"/>
    <n v="55"/>
    <x v="0"/>
    <x v="0"/>
    <x v="0"/>
    <x v="0"/>
    <m/>
  </r>
  <r>
    <x v="1"/>
    <x v="63"/>
    <x v="63"/>
    <x v="26"/>
    <s v="Haridus"/>
    <s v="Tudu Põhikool"/>
    <s v="kütus"/>
    <n v="5000"/>
    <m/>
    <x v="3"/>
    <s v="Sõidukite ülalpidamise kulud"/>
    <n v="55"/>
    <x v="0"/>
    <x v="0"/>
    <x v="0"/>
    <x v="0"/>
    <m/>
  </r>
  <r>
    <x v="1"/>
    <x v="63"/>
    <x v="63"/>
    <x v="26"/>
    <s v="Haridus"/>
    <s v="Tudu Põhikool"/>
    <s v="autohüvitised"/>
    <n v="200"/>
    <m/>
    <x v="3"/>
    <s v="Sõidukite ülalpidamise kulud"/>
    <n v="55"/>
    <x v="0"/>
    <x v="0"/>
    <x v="0"/>
    <x v="0"/>
    <m/>
  </r>
  <r>
    <x v="1"/>
    <x v="63"/>
    <x v="63"/>
    <x v="26"/>
    <s v="Haridus"/>
    <s v="Tudu Põhikool"/>
    <s v="liising"/>
    <n v="4824"/>
    <m/>
    <x v="3"/>
    <s v="Sõidukite ülalpidamise kulud"/>
    <n v="55"/>
    <x v="0"/>
    <x v="0"/>
    <x v="0"/>
    <x v="0"/>
    <m/>
  </r>
  <r>
    <x v="1"/>
    <x v="63"/>
    <x v="63"/>
    <x v="26"/>
    <s v="Haridus"/>
    <s v="Tudu Põhikool"/>
    <s v="rehvivahetus"/>
    <n v="100"/>
    <m/>
    <x v="3"/>
    <s v="Sõidukite ülalpidamise kulud"/>
    <n v="55"/>
    <x v="0"/>
    <x v="0"/>
    <x v="0"/>
    <x v="0"/>
    <m/>
  </r>
  <r>
    <x v="1"/>
    <x v="63"/>
    <x v="63"/>
    <x v="26"/>
    <s v="Haridus"/>
    <s v="Tudu Põhikool"/>
    <s v="robootika õppevah"/>
    <n v="160"/>
    <m/>
    <x v="30"/>
    <s v="Õppevahendid"/>
    <n v="55"/>
    <x v="0"/>
    <x v="0"/>
    <x v="0"/>
    <x v="0"/>
    <m/>
  </r>
  <r>
    <x v="1"/>
    <x v="63"/>
    <x v="63"/>
    <x v="26"/>
    <s v="Haridus"/>
    <s v="Tudu Põhikool"/>
    <s v="muruniiduk"/>
    <n v="250"/>
    <m/>
    <x v="8"/>
    <s v="Inventari kulud, v.a infotehnoloogia ja kaitseotstarbelised kulud"/>
    <n v="55"/>
    <x v="0"/>
    <x v="0"/>
    <x v="0"/>
    <x v="0"/>
    <m/>
  </r>
  <r>
    <x v="1"/>
    <x v="63"/>
    <x v="63"/>
    <x v="26"/>
    <s v="Haridus"/>
    <s v="Tudu Põhikool"/>
    <s v="köögikombain"/>
    <n v="150"/>
    <m/>
    <x v="8"/>
    <s v="Inventari kulud, v.a infotehnoloogia ja kaitseotstarbelised kulud"/>
    <n v="55"/>
    <x v="0"/>
    <x v="0"/>
    <x v="0"/>
    <x v="0"/>
    <m/>
  </r>
  <r>
    <x v="1"/>
    <x v="63"/>
    <x v="63"/>
    <x v="26"/>
    <s v="Haridus"/>
    <s v="Tudu Põhikool"/>
    <s v="tolmuimeja"/>
    <n v="100"/>
    <m/>
    <x v="8"/>
    <s v="Inventari kulud, v.a infotehnoloogia ja kaitseotstarbelised kulud"/>
    <n v="55"/>
    <x v="0"/>
    <x v="0"/>
    <x v="0"/>
    <x v="0"/>
    <m/>
  </r>
  <r>
    <x v="1"/>
    <x v="63"/>
    <x v="63"/>
    <x v="26"/>
    <s v="Haridus"/>
    <s v="Tudu Põhikool"/>
    <s v="kool"/>
    <n v="2275"/>
    <s v="Ped."/>
    <x v="29"/>
    <s v="Toiduained ja toitlustusteenused"/>
    <n v="55"/>
    <x v="0"/>
    <x v="0"/>
    <x v="0"/>
    <x v="0"/>
    <m/>
  </r>
  <r>
    <x v="1"/>
    <x v="63"/>
    <x v="63"/>
    <x v="26"/>
    <s v="Haridus"/>
    <s v="Tudu Põhikool"/>
    <s v="tervisekontroll"/>
    <n v="50"/>
    <m/>
    <x v="9"/>
    <s v="Meditsiinikulud ja hügieenitarbed"/>
    <n v="55"/>
    <x v="0"/>
    <x v="0"/>
    <x v="0"/>
    <x v="0"/>
    <m/>
  </r>
  <r>
    <x v="1"/>
    <x v="63"/>
    <x v="63"/>
    <x v="26"/>
    <s v="Haridus"/>
    <s v="Tudu Põhikool"/>
    <s v="esmaabi kapp"/>
    <n v="100"/>
    <m/>
    <x v="9"/>
    <s v="Meditsiinikulud ja hügieenitarbed"/>
    <n v="55"/>
    <x v="0"/>
    <x v="0"/>
    <x v="0"/>
    <x v="0"/>
    <m/>
  </r>
  <r>
    <x v="1"/>
    <x v="63"/>
    <x v="63"/>
    <x v="26"/>
    <s v="Haridus"/>
    <s v="Tudu Põhikool"/>
    <s v="õpikud sh etunni mälupulgad õpet"/>
    <n v="1200"/>
    <m/>
    <x v="30"/>
    <s v="Õppevahendid"/>
    <n v="55"/>
    <x v="0"/>
    <x v="0"/>
    <x v="0"/>
    <x v="0"/>
    <m/>
  </r>
  <r>
    <x v="1"/>
    <x v="63"/>
    <x v="63"/>
    <x v="26"/>
    <s v="Haridus"/>
    <s v="Tudu Põhikool"/>
    <s v="töövihikud"/>
    <n v="400"/>
    <m/>
    <x v="30"/>
    <s v="Õppevahendid"/>
    <n v="55"/>
    <x v="0"/>
    <x v="0"/>
    <x v="0"/>
    <x v="0"/>
    <m/>
  </r>
  <r>
    <x v="1"/>
    <x v="63"/>
    <x v="63"/>
    <x v="26"/>
    <s v="Haridus"/>
    <s v="Tudu Põhikool"/>
    <s v="tehnoloogia, kodund õppev"/>
    <n v="300"/>
    <m/>
    <x v="30"/>
    <s v="Õppevahendid"/>
    <n v="55"/>
    <x v="0"/>
    <x v="0"/>
    <x v="0"/>
    <x v="0"/>
    <m/>
  </r>
  <r>
    <x v="1"/>
    <x v="63"/>
    <x v="63"/>
    <x v="26"/>
    <s v="Haridus"/>
    <s v="Tudu Põhikool"/>
    <s v="eriped teenus"/>
    <n v="900"/>
    <m/>
    <x v="30"/>
    <s v="Õppevahendid"/>
    <n v="55"/>
    <x v="0"/>
    <x v="0"/>
    <x v="0"/>
    <x v="0"/>
    <m/>
  </r>
  <r>
    <x v="1"/>
    <x v="63"/>
    <x v="63"/>
    <x v="26"/>
    <s v="Haridus"/>
    <s v="Tudu Põhikool"/>
    <s v="paber, värvid jm"/>
    <n v="100"/>
    <m/>
    <x v="30"/>
    <s v="Õppevahendid"/>
    <n v="55"/>
    <x v="0"/>
    <x v="0"/>
    <x v="0"/>
    <x v="0"/>
    <m/>
  </r>
  <r>
    <x v="1"/>
    <x v="63"/>
    <x v="63"/>
    <x v="26"/>
    <s v="Haridus"/>
    <s v="Tudu Põhikool"/>
    <s v="vastlapäev"/>
    <n v="10"/>
    <m/>
    <x v="22"/>
    <s v="Kommunikatsiooni-, kultuuri- ja vaba aja sisustamise kulud"/>
    <n v="55"/>
    <x v="0"/>
    <x v="0"/>
    <x v="0"/>
    <x v="0"/>
    <m/>
  </r>
  <r>
    <x v="1"/>
    <x v="63"/>
    <x v="63"/>
    <x v="26"/>
    <s v="Haridus"/>
    <s v="Tudu Põhikool"/>
    <s v="EV aastpäev"/>
    <n v="20"/>
    <m/>
    <x v="22"/>
    <s v="Kommunikatsiooni-, kultuuri- ja vaba aja sisustamise kulud"/>
    <n v="55"/>
    <x v="0"/>
    <x v="0"/>
    <x v="0"/>
    <x v="0"/>
    <m/>
  </r>
  <r>
    <x v="1"/>
    <x v="63"/>
    <x v="63"/>
    <x v="26"/>
    <s v="Haridus"/>
    <s v="Tudu Põhikool"/>
    <s v="etenduse dekor"/>
    <n v="40"/>
    <m/>
    <x v="22"/>
    <s v="Kommunikatsiooni-, kultuuri- ja vaba aja sisustamise kulud"/>
    <n v="55"/>
    <x v="0"/>
    <x v="0"/>
    <x v="0"/>
    <x v="0"/>
    <m/>
  </r>
  <r>
    <x v="1"/>
    <x v="63"/>
    <x v="63"/>
    <x v="26"/>
    <s v="Haridus"/>
    <s v="Tudu Põhikool"/>
    <s v="jõuluvana"/>
    <n v="75"/>
    <m/>
    <x v="22"/>
    <s v="Kommunikatsiooni-, kultuuri- ja vaba aja sisustamise kulud"/>
    <n v="55"/>
    <x v="0"/>
    <x v="0"/>
    <x v="0"/>
    <x v="0"/>
    <m/>
  </r>
  <r>
    <x v="1"/>
    <x v="63"/>
    <x v="63"/>
    <x v="26"/>
    <s v="Haridus"/>
    <s v="Tudu Põhikool"/>
    <s v="isadepäev, emadepäev"/>
    <n v="50"/>
    <m/>
    <x v="22"/>
    <s v="Kommunikatsiooni-, kultuuri- ja vaba aja sisustamise kulud"/>
    <n v="55"/>
    <x v="0"/>
    <x v="0"/>
    <x v="0"/>
    <x v="0"/>
    <m/>
  </r>
  <r>
    <x v="1"/>
    <x v="63"/>
    <x v="63"/>
    <x v="26"/>
    <s v="Haridus"/>
    <s v="Tudu Põhikool"/>
    <s v="ekskursioonid, õppepäevad"/>
    <n v="500"/>
    <m/>
    <x v="22"/>
    <s v="Kommunikatsiooni-, kultuuri- ja vaba aja sisustamise kulud"/>
    <n v="55"/>
    <x v="0"/>
    <x v="0"/>
    <x v="0"/>
    <x v="0"/>
    <m/>
  </r>
  <r>
    <x v="1"/>
    <x v="63"/>
    <x v="63"/>
    <x v="26"/>
    <s v="Haridus"/>
    <s v="Tudu Põhikool"/>
    <s v="õa lõpetamine"/>
    <n v="30"/>
    <m/>
    <x v="22"/>
    <s v="Kommunikatsiooni-, kultuuri- ja vaba aja sisustamise kulud"/>
    <n v="55"/>
    <x v="0"/>
    <x v="0"/>
    <x v="0"/>
    <x v="0"/>
    <m/>
  </r>
  <r>
    <x v="1"/>
    <x v="63"/>
    <x v="63"/>
    <x v="26"/>
    <s v="Haridus"/>
    <s v="Tudu Põhikool"/>
    <s v="õpetajate päev "/>
    <n v="20"/>
    <m/>
    <x v="22"/>
    <s v="Kommunikatsiooni-, kultuuri- ja vaba aja sisustamise kulud"/>
    <n v="55"/>
    <x v="0"/>
    <x v="0"/>
    <x v="0"/>
    <x v="0"/>
    <m/>
  </r>
  <r>
    <x v="1"/>
    <x v="63"/>
    <x v="63"/>
    <x v="26"/>
    <s v="Haridus"/>
    <s v="Tudu Põhikool"/>
    <s v="Tudu hariduselu 170 tähist"/>
    <n v="200"/>
    <m/>
    <x v="22"/>
    <s v="Kommunikatsiooni-, kultuuri- ja vaba aja sisustamise kulud"/>
    <n v="55"/>
    <x v="0"/>
    <x v="0"/>
    <x v="0"/>
    <x v="0"/>
    <m/>
  </r>
  <r>
    <x v="1"/>
    <x v="63"/>
    <x v="63"/>
    <x v="26"/>
    <s v="Haridus"/>
    <s v="Tudu Põhikool"/>
    <s v="küte"/>
    <n v="6500"/>
    <m/>
    <x v="4"/>
    <s v="Kinnistute, hoonete ja ruumide majandamiskulud"/>
    <n v="55"/>
    <x v="0"/>
    <x v="0"/>
    <x v="0"/>
    <x v="0"/>
    <m/>
  </r>
  <r>
    <x v="1"/>
    <x v="63"/>
    <x v="63"/>
    <x v="26"/>
    <s v="Haridus"/>
    <s v="Tudu Põhikool"/>
    <s v="elekter"/>
    <n v="2700"/>
    <m/>
    <x v="4"/>
    <s v="Kinnistute, hoonete ja ruumide majandamiskulud"/>
    <n v="55"/>
    <x v="0"/>
    <x v="0"/>
    <x v="0"/>
    <x v="0"/>
    <m/>
  </r>
  <r>
    <x v="1"/>
    <x v="63"/>
    <x v="63"/>
    <x v="26"/>
    <s v="Haridus"/>
    <s v="Tudu Põhikool"/>
    <s v="korrashoiuvahendid"/>
    <n v="300"/>
    <m/>
    <x v="4"/>
    <s v="Kinnistute, hoonete ja ruumide majandamiskulud"/>
    <n v="55"/>
    <x v="0"/>
    <x v="0"/>
    <x v="0"/>
    <x v="0"/>
    <m/>
  </r>
  <r>
    <x v="1"/>
    <x v="63"/>
    <x v="63"/>
    <x v="26"/>
    <s v="Haridus"/>
    <s v="Tudu Põhikool"/>
    <s v="aknapesuteenus"/>
    <n v="500"/>
    <m/>
    <x v="4"/>
    <s v="Kinnistute, hoonete ja ruumide majandamiskulud"/>
    <n v="55"/>
    <x v="0"/>
    <x v="0"/>
    <x v="0"/>
    <x v="0"/>
    <m/>
  </r>
  <r>
    <x v="1"/>
    <x v="63"/>
    <x v="63"/>
    <x v="26"/>
    <s v="Haridus"/>
    <s v="Tudu Põhikool"/>
    <s v="prügi"/>
    <n v="400"/>
    <m/>
    <x v="4"/>
    <s v="Kinnistute, hoonete ja ruumide majandamiskulud"/>
    <n v="55"/>
    <x v="0"/>
    <x v="0"/>
    <x v="0"/>
    <x v="0"/>
    <m/>
  </r>
  <r>
    <x v="1"/>
    <x v="63"/>
    <x v="63"/>
    <x v="26"/>
    <s v="Haridus"/>
    <s v="Tudu Põhikool"/>
    <s v="elektritööd"/>
    <n v="600"/>
    <m/>
    <x v="4"/>
    <s v="Kinnistute, hoonete ja ruumide majandamiskulud"/>
    <n v="55"/>
    <x v="0"/>
    <x v="0"/>
    <x v="0"/>
    <x v="0"/>
    <m/>
  </r>
  <r>
    <x v="1"/>
    <x v="63"/>
    <x v="63"/>
    <x v="26"/>
    <s v="Haridus"/>
    <s v="Tudu Põhikool"/>
    <s v="korstnapühkimine"/>
    <n v="200"/>
    <m/>
    <x v="4"/>
    <s v="Kinnistute, hoonete ja ruumide majandamiskulud"/>
    <n v="55"/>
    <x v="0"/>
    <x v="0"/>
    <x v="0"/>
    <x v="0"/>
    <m/>
  </r>
  <r>
    <x v="1"/>
    <x v="63"/>
    <x v="63"/>
    <x v="26"/>
    <s v="Haridus"/>
    <s v="Tudu Põhikool"/>
    <s v="vee analüüsid"/>
    <n v="80"/>
    <m/>
    <x v="4"/>
    <s v="Kinnistute, hoonete ja ruumide majandamiskulud"/>
    <n v="55"/>
    <x v="0"/>
    <x v="0"/>
    <x v="0"/>
    <x v="0"/>
    <m/>
  </r>
  <r>
    <x v="1"/>
    <x v="63"/>
    <x v="63"/>
    <x v="26"/>
    <s v="Haridus"/>
    <s v="Tudu Põhikool"/>
    <s v="vesi, kanalisatsioon"/>
    <n v="1100"/>
    <m/>
    <x v="4"/>
    <s v="Kinnistute, hoonete ja ruumide majandamiskulud"/>
    <n v="55"/>
    <x v="0"/>
    <x v="0"/>
    <x v="0"/>
    <x v="0"/>
    <m/>
  </r>
  <r>
    <x v="1"/>
    <x v="63"/>
    <x v="63"/>
    <x v="26"/>
    <s v="Haridus"/>
    <s v="Tudu Põhikool"/>
    <s v="jooksev remont"/>
    <n v="600"/>
    <m/>
    <x v="4"/>
    <s v="Kinnistute, hoonete ja ruumide majandamiskulud"/>
    <n v="55"/>
    <x v="0"/>
    <x v="0"/>
    <x v="0"/>
    <x v="0"/>
    <m/>
  </r>
  <r>
    <x v="1"/>
    <x v="63"/>
    <x v="63"/>
    <x v="26"/>
    <s v="Haridus"/>
    <s v="Tudu Põhikool"/>
    <s v="riigi sümboolika"/>
    <n v="150"/>
    <m/>
    <x v="4"/>
    <s v="Kinnistute, hoonete ja ruumide majandamiskulud"/>
    <n v="55"/>
    <x v="0"/>
    <x v="0"/>
    <x v="0"/>
    <x v="0"/>
    <m/>
  </r>
  <r>
    <x v="1"/>
    <x v="63"/>
    <x v="63"/>
    <x v="26"/>
    <s v="Haridus"/>
    <s v="Tudu Põhikool"/>
    <s v="kooliaed(seemned, istikud)"/>
    <n v="150"/>
    <m/>
    <x v="4"/>
    <s v="Kinnistute, hoonete ja ruumide majandamiskulud"/>
    <n v="55"/>
    <x v="0"/>
    <x v="0"/>
    <x v="0"/>
    <x v="0"/>
    <m/>
  </r>
  <r>
    <x v="1"/>
    <x v="63"/>
    <x v="63"/>
    <x v="26"/>
    <s v="Haridus"/>
    <s v="Tudu Põhikool"/>
    <s v="avariivalgustus"/>
    <n v="200"/>
    <m/>
    <x v="4"/>
    <s v="Kinnistute, hoonete ja ruumide majandamiskulud"/>
    <n v="55"/>
    <x v="0"/>
    <x v="0"/>
    <x v="0"/>
    <x v="0"/>
    <m/>
  </r>
  <r>
    <x v="1"/>
    <x v="63"/>
    <x v="63"/>
    <x v="26"/>
    <s v="Haridus"/>
    <s v="Tudu Põhikool"/>
    <s v="ATS hooldus"/>
    <n v="500"/>
    <m/>
    <x v="4"/>
    <s v="Kinnistute, hoonete ja ruumide majandamiskulud"/>
    <n v="55"/>
    <x v="0"/>
    <x v="0"/>
    <x v="0"/>
    <x v="0"/>
    <m/>
  </r>
  <r>
    <x v="1"/>
    <x v="63"/>
    <x v="63"/>
    <x v="26"/>
    <s v="Haridus"/>
    <s v="Tudu Põhikool"/>
    <s v="arvutiprogrammid, hooldused"/>
    <n v="650"/>
    <m/>
    <x v="5"/>
    <s v="Info- ja kommunikatsioonitehnoliigised kulud"/>
    <n v="55"/>
    <x v="0"/>
    <x v="0"/>
    <x v="0"/>
    <x v="0"/>
    <m/>
  </r>
  <r>
    <x v="1"/>
    <x v="63"/>
    <x v="63"/>
    <x v="26"/>
    <s v="Haridus"/>
    <s v="Tudu Põhikool"/>
    <s v="IT-tarvikud"/>
    <n v="150"/>
    <m/>
    <x v="5"/>
    <s v="Info- ja kommunikatsioonitehnoliigised kulud"/>
    <n v="55"/>
    <x v="0"/>
    <x v="0"/>
    <x v="0"/>
    <x v="0"/>
    <m/>
  </r>
  <r>
    <x v="1"/>
    <x v="63"/>
    <x v="63"/>
    <x v="26"/>
    <s v="Haridus"/>
    <s v="Tudu Põhikool"/>
    <s v="koopiamasin"/>
    <n v="100"/>
    <m/>
    <x v="5"/>
    <s v="Info- ja kommunikatsioonitehnoliigised kulud"/>
    <n v="55"/>
    <x v="0"/>
    <x v="0"/>
    <x v="0"/>
    <x v="0"/>
    <m/>
  </r>
  <r>
    <x v="1"/>
    <x v="63"/>
    <x v="63"/>
    <x v="26"/>
    <s v="Haridus"/>
    <s v="Tudu Põhikool"/>
    <s v="Pedagoogilised koolitused"/>
    <n v="200"/>
    <s v="Ped."/>
    <x v="2"/>
    <s v="Koolituskulud"/>
    <n v="55"/>
    <x v="0"/>
    <x v="0"/>
    <x v="0"/>
    <x v="0"/>
    <m/>
  </r>
  <r>
    <x v="1"/>
    <x v="63"/>
    <x v="63"/>
    <x v="26"/>
    <s v="Haridus"/>
    <s v="Tudu Põhikool"/>
    <s v="Pedagoogilised õppevahendid"/>
    <n v="741"/>
    <s v="Ped."/>
    <x v="30"/>
    <s v="Õppevahendid"/>
    <n v="55"/>
    <x v="0"/>
    <x v="0"/>
    <x v="0"/>
    <x v="0"/>
    <m/>
  </r>
  <r>
    <x v="1"/>
    <x v="64"/>
    <x v="64"/>
    <x v="26"/>
    <s v="Haridus"/>
    <s v="Vinni-Pajusti Gümnaasium"/>
    <s v="telefonid ja internet "/>
    <n v="5940"/>
    <s v="Telia Ettevõted, internet ja telefonid"/>
    <x v="0"/>
    <s v="Administreerimiskulud"/>
    <n v="55"/>
    <x v="0"/>
    <x v="0"/>
    <x v="0"/>
    <x v="0"/>
    <m/>
  </r>
  <r>
    <x v="1"/>
    <x v="64"/>
    <x v="64"/>
    <x v="26"/>
    <s v="Haridus"/>
    <s v="Vinni-Pajusti Gümnaasium"/>
    <s v="mobiilside"/>
    <n v="210"/>
    <s v="Telia "/>
    <x v="0"/>
    <s v="Administreerimiskulud"/>
    <n v="55"/>
    <x v="0"/>
    <x v="0"/>
    <x v="0"/>
    <x v="0"/>
    <m/>
  </r>
  <r>
    <x v="1"/>
    <x v="64"/>
    <x v="64"/>
    <x v="26"/>
    <s v="Haridus"/>
    <s v="Vinni-Pajusti Gümnaasium"/>
    <s v="postikulu"/>
    <n v="250"/>
    <s v="aruanded jne "/>
    <x v="0"/>
    <s v="Administreerimiskulud"/>
    <n v="55"/>
    <x v="0"/>
    <x v="0"/>
    <x v="0"/>
    <x v="0"/>
    <m/>
  </r>
  <r>
    <x v="1"/>
    <x v="64"/>
    <x v="64"/>
    <x v="26"/>
    <s v="Haridus"/>
    <s v="Vinni-Pajusti Gümnaasium"/>
    <s v="ajalehed ja muu teabekirjandus"/>
    <n v="750"/>
    <s v="päevaleht,õpetajate leht,virumaa teataja"/>
    <x v="0"/>
    <s v="Administreerimiskulud"/>
    <n v="55"/>
    <x v="0"/>
    <x v="0"/>
    <x v="0"/>
    <x v="0"/>
    <m/>
  </r>
  <r>
    <x v="1"/>
    <x v="64"/>
    <x v="64"/>
    <x v="26"/>
    <s v="Haridus"/>
    <s v="Vinni-Pajusti Gümnaasium"/>
    <s v="raamatukogutarvikud"/>
    <n v="350"/>
    <s v="Deltmar(rmtk programm), raamatukile"/>
    <x v="0"/>
    <s v="Administreerimiskulud"/>
    <n v="55"/>
    <x v="0"/>
    <x v="0"/>
    <x v="0"/>
    <x v="0"/>
    <m/>
  </r>
  <r>
    <x v="1"/>
    <x v="64"/>
    <x v="64"/>
    <x v="26"/>
    <s v="Haridus"/>
    <s v="Vinni-Pajusti Gümnaasium"/>
    <s v="veebimajutus"/>
    <n v="1320"/>
    <s v="andmesidevõrk 110 x 12"/>
    <x v="0"/>
    <s v="Administreerimiskulud"/>
    <n v="55"/>
    <x v="0"/>
    <x v="0"/>
    <x v="0"/>
    <x v="0"/>
    <m/>
  </r>
  <r>
    <x v="1"/>
    <x v="64"/>
    <x v="64"/>
    <x v="26"/>
    <s v="Haridus"/>
    <s v="Vinni-Pajusti Gümnaasium"/>
    <s v="kuulutused"/>
    <n v="550"/>
    <s v="kaastunne, tööpakkumine"/>
    <x v="0"/>
    <s v="Administreerimiskulud"/>
    <n v="55"/>
    <x v="0"/>
    <x v="0"/>
    <x v="0"/>
    <x v="0"/>
    <m/>
  </r>
  <r>
    <x v="1"/>
    <x v="64"/>
    <x v="64"/>
    <x v="26"/>
    <s v="Haridus"/>
    <s v="Vinni-Pajusti Gümnaasium"/>
    <s v="kantseleikaup"/>
    <n v="4000"/>
    <s v="paljundused, paber, pliiats jne"/>
    <x v="0"/>
    <s v="Administreerimiskulud"/>
    <n v="55"/>
    <x v="0"/>
    <x v="0"/>
    <x v="0"/>
    <x v="0"/>
    <m/>
  </r>
  <r>
    <x v="1"/>
    <x v="64"/>
    <x v="64"/>
    <x v="26"/>
    <s v="Haridus"/>
    <s v="Vinni-Pajusti Gümnaasium"/>
    <s v="eKool"/>
    <n v="960"/>
    <s v="eKool 80 x 12"/>
    <x v="0"/>
    <s v="Administreerimiskulud"/>
    <n v="55"/>
    <x v="0"/>
    <x v="0"/>
    <x v="0"/>
    <x v="0"/>
    <m/>
  </r>
  <r>
    <x v="1"/>
    <x v="64"/>
    <x v="64"/>
    <x v="26"/>
    <s v="Haridus"/>
    <s v="Vinni-Pajusti Gümnaasium"/>
    <s v="televisioon"/>
    <n v="150"/>
    <s v="kaabel TV, Telia"/>
    <x v="0"/>
    <s v="Administreerimiskulud"/>
    <n v="55"/>
    <x v="0"/>
    <x v="0"/>
    <x v="0"/>
    <x v="0"/>
    <m/>
  </r>
  <r>
    <x v="1"/>
    <x v="64"/>
    <x v="64"/>
    <x v="26"/>
    <s v="Haridus"/>
    <s v="Vinni-Pajusti Gümnaasium"/>
    <s v="koolituste plaan"/>
    <n v="800"/>
    <s v="lisatud eraldi dokumendina"/>
    <x v="2"/>
    <s v="Koolituskulud"/>
    <n v="55"/>
    <x v="0"/>
    <x v="0"/>
    <x v="0"/>
    <x v="0"/>
    <m/>
  </r>
  <r>
    <x v="1"/>
    <x v="64"/>
    <x v="64"/>
    <x v="26"/>
    <s v="Haridus"/>
    <s v="Vinni-Pajusti Gümnaasium"/>
    <s v="Kütus ja isikliku sõiduauto komp."/>
    <n v="7000"/>
    <s v="Kallaste 135,Albert 185,buss 200 x 12 kuud"/>
    <x v="3"/>
    <s v="Sõidukite ülalpidamise kulud"/>
    <n v="55"/>
    <x v="0"/>
    <x v="0"/>
    <x v="0"/>
    <x v="0"/>
    <m/>
  </r>
  <r>
    <x v="1"/>
    <x v="64"/>
    <x v="64"/>
    <x v="26"/>
    <s v="Haridus"/>
    <s v="Vinni-Pajusti Gümnaasium"/>
    <s v="remont+liising"/>
    <n v="11000"/>
    <s v="Kallaste 249,Albert 220,buss 420x12 kuud "/>
    <x v="3"/>
    <s v="Sõidukite ülalpidamise kulud"/>
    <n v="55"/>
    <x v="0"/>
    <x v="0"/>
    <x v="0"/>
    <x v="0"/>
    <m/>
  </r>
  <r>
    <x v="1"/>
    <x v="64"/>
    <x v="64"/>
    <x v="26"/>
    <s v="Haridus"/>
    <s v="Vinni-Pajusti Gümnaasium"/>
    <s v="kindlustus"/>
    <n v="1750"/>
    <s v="liiklus+kasko 3 autot"/>
    <x v="3"/>
    <s v="Sõidukite ülalpidamise kulud"/>
    <n v="55"/>
    <x v="0"/>
    <x v="0"/>
    <x v="0"/>
    <x v="0"/>
    <m/>
  </r>
  <r>
    <x v="1"/>
    <x v="64"/>
    <x v="64"/>
    <x v="26"/>
    <s v="Haridus"/>
    <s v="Vinni-Pajusti Gümnaasium"/>
    <s v="autohüvitus(toiger,reimets)"/>
    <n v="1900"/>
    <s v="(40+150)x10kuud"/>
    <x v="3"/>
    <s v="Sõidukite ülalpidamise kulud"/>
    <n v="55"/>
    <x v="0"/>
    <x v="0"/>
    <x v="0"/>
    <x v="0"/>
    <m/>
  </r>
  <r>
    <x v="1"/>
    <x v="64"/>
    <x v="64"/>
    <x v="26"/>
    <s v="Haridus"/>
    <s v="Vinni-Pajusti Gümnaasium"/>
    <s v="tehn.hoole"/>
    <n v="850"/>
    <s v="3 autot"/>
    <x v="3"/>
    <s v="Sõidukite ülalpidamise kulud"/>
    <n v="55"/>
    <x v="0"/>
    <x v="0"/>
    <x v="0"/>
    <x v="0"/>
    <m/>
  </r>
  <r>
    <x v="1"/>
    <x v="64"/>
    <x v="64"/>
    <x v="26"/>
    <s v="Haridus"/>
    <s v="Vinni-Pajusti Gümnaasium"/>
    <s v="remonditööd ja hooldus"/>
    <n v="5000"/>
    <m/>
    <x v="8"/>
    <s v="Inventari kulud, v.a infotehnoloogia ja kaitseotstarbelised kulud"/>
    <n v="55"/>
    <x v="0"/>
    <x v="0"/>
    <x v="0"/>
    <x v="0"/>
    <m/>
  </r>
  <r>
    <x v="1"/>
    <x v="64"/>
    <x v="64"/>
    <x v="26"/>
    <s v="Haridus"/>
    <s v="Vinni-Pajusti Gümnaasium"/>
    <s v="esmaabi vahendid,korral.med"/>
    <n v="1500"/>
    <s v="med.tõend, vaktsineerimised,esmaabi vahendid"/>
    <x v="9"/>
    <s v="Meditsiinikulud ja hügieenitarbed"/>
    <n v="55"/>
    <x v="0"/>
    <x v="0"/>
    <x v="0"/>
    <x v="0"/>
    <m/>
  </r>
  <r>
    <x v="1"/>
    <x v="64"/>
    <x v="64"/>
    <x v="26"/>
    <s v="Haridus"/>
    <s v="Vinni-Pajusti Gümnaasium"/>
    <s v="õpik,töövihik,mänguasjad jm"/>
    <n v="35000"/>
    <m/>
    <x v="30"/>
    <s v="Õppevahendid"/>
    <n v="55"/>
    <x v="0"/>
    <x v="0"/>
    <x v="0"/>
    <x v="0"/>
    <m/>
  </r>
  <r>
    <x v="1"/>
    <x v="64"/>
    <x v="64"/>
    <x v="26"/>
    <s v="Haridus"/>
    <s v="Vinni-Pajusti Gümnaasium"/>
    <s v="paljunduspaber"/>
    <n v="1700"/>
    <m/>
    <x v="30"/>
    <s v="Õppevahendid"/>
    <n v="55"/>
    <x v="0"/>
    <x v="0"/>
    <x v="0"/>
    <x v="0"/>
    <m/>
  </r>
  <r>
    <x v="1"/>
    <x v="64"/>
    <x v="64"/>
    <x v="26"/>
    <s v="Haridus"/>
    <s v="Vinni-Pajusti Gümnaasium"/>
    <s v="õppetransport"/>
    <n v="20000"/>
    <m/>
    <x v="30"/>
    <s v="Õppevahendid"/>
    <n v="55"/>
    <x v="0"/>
    <x v="0"/>
    <x v="0"/>
    <x v="0"/>
    <m/>
  </r>
  <r>
    <x v="1"/>
    <x v="64"/>
    <x v="64"/>
    <x v="26"/>
    <s v="Haridus"/>
    <s v="Vinni-Pajusti Gümnaasium"/>
    <s v="mälumängud,spordivõistlused jm"/>
    <n v="13000"/>
    <m/>
    <x v="22"/>
    <s v="Kommunikatsiooni-, kultuuri- ja vaba aja sisustamise kulud"/>
    <n v="55"/>
    <x v="0"/>
    <x v="0"/>
    <x v="0"/>
    <x v="0"/>
    <m/>
  </r>
  <r>
    <x v="1"/>
    <x v="64"/>
    <x v="64"/>
    <x v="26"/>
    <s v="Haridus"/>
    <s v="Vinni-Pajusti Gümnaasium"/>
    <s v="meened"/>
    <n v="3500"/>
    <m/>
    <x v="22"/>
    <s v="Kommunikatsiooni-, kultuuri- ja vaba aja sisustamise kulud"/>
    <n v="55"/>
    <x v="0"/>
    <x v="0"/>
    <x v="0"/>
    <x v="0"/>
    <m/>
  </r>
  <r>
    <x v="1"/>
    <x v="64"/>
    <x v="64"/>
    <x v="26"/>
    <s v="Haridus"/>
    <s v="Vinni-Pajusti Gümnaasium"/>
    <s v="küte"/>
    <n v="115000"/>
    <s v="1200 MWH x ???"/>
    <x v="4"/>
    <s v="Kinnistute, hoonete ja ruumide majandamiskulud"/>
    <n v="55"/>
    <x v="0"/>
    <x v="0"/>
    <x v="0"/>
    <x v="0"/>
    <m/>
  </r>
  <r>
    <x v="1"/>
    <x v="64"/>
    <x v="64"/>
    <x v="26"/>
    <s v="Haridus"/>
    <s v="Vinni-Pajusti Gümnaasium"/>
    <s v="elekter"/>
    <n v="37894"/>
    <s v="24000 Kwa x"/>
    <x v="4"/>
    <s v="Kinnistute, hoonete ja ruumide majandamiskulud"/>
    <n v="55"/>
    <x v="0"/>
    <x v="0"/>
    <x v="0"/>
    <x v="0"/>
    <m/>
  </r>
  <r>
    <x v="1"/>
    <x v="64"/>
    <x v="64"/>
    <x v="26"/>
    <s v="Haridus"/>
    <s v="Vinni-Pajusti Gümnaasium"/>
    <s v="vesi- ja kanalisatsioon"/>
    <n v="11000"/>
    <s v="aasta tarbimine 2800m3 x ???"/>
    <x v="4"/>
    <s v="Kinnistute, hoonete ja ruumide majandamiskulud"/>
    <n v="55"/>
    <x v="0"/>
    <x v="0"/>
    <x v="0"/>
    <x v="0"/>
    <m/>
  </r>
  <r>
    <x v="1"/>
    <x v="64"/>
    <x v="64"/>
    <x v="26"/>
    <s v="Haridus"/>
    <s v="Vinni-Pajusti Gümnaasium"/>
    <s v="korrashoiuvahendid"/>
    <n v="10000"/>
    <s v="puh.vahendid, paber jne"/>
    <x v="4"/>
    <s v="Kinnistute, hoonete ja ruumide majandamiskulud"/>
    <n v="55"/>
    <x v="0"/>
    <x v="0"/>
    <x v="0"/>
    <x v="0"/>
    <m/>
  </r>
  <r>
    <x v="1"/>
    <x v="64"/>
    <x v="64"/>
    <x v="26"/>
    <s v="Haridus"/>
    <s v="Vinni-Pajusti Gümnaasium"/>
    <s v="prügivedu"/>
    <n v="850"/>
    <m/>
    <x v="4"/>
    <s v="Kinnistute, hoonete ja ruumide majandamiskulud"/>
    <n v="55"/>
    <x v="0"/>
    <x v="0"/>
    <x v="0"/>
    <x v="0"/>
    <m/>
  </r>
  <r>
    <x v="1"/>
    <x v="64"/>
    <x v="64"/>
    <x v="26"/>
    <s v="Haridus"/>
    <s v="Vinni-Pajusti Gümnaasium"/>
    <s v="Lindström vaipade pesu"/>
    <n v="986"/>
    <m/>
    <x v="4"/>
    <s v="Kinnistute, hoonete ja ruumide majandamiskulud"/>
    <n v="55"/>
    <x v="0"/>
    <x v="0"/>
    <x v="0"/>
    <x v="0"/>
    <m/>
  </r>
  <r>
    <x v="1"/>
    <x v="64"/>
    <x v="64"/>
    <x v="26"/>
    <s v="Haridus"/>
    <s v="Vinni-Pajusti Gümnaasium"/>
    <s v="ATS hooldus"/>
    <n v="1420"/>
    <s v="KEK Elekter"/>
    <x v="4"/>
    <s v="Kinnistute, hoonete ja ruumide majandamiskulud"/>
    <n v="55"/>
    <x v="0"/>
    <x v="0"/>
    <x v="0"/>
    <x v="0"/>
    <m/>
  </r>
  <r>
    <x v="1"/>
    <x v="64"/>
    <x v="64"/>
    <x v="26"/>
    <s v="Haridus"/>
    <s v="Vinni-Pajusti Gümnaasium"/>
    <s v="KH ENERGIA KONSULT"/>
    <n v="922"/>
    <m/>
    <x v="4"/>
    <s v="Kinnistute, hoonete ja ruumide majandamiskulud"/>
    <n v="55"/>
    <x v="0"/>
    <x v="0"/>
    <x v="0"/>
    <x v="0"/>
    <m/>
  </r>
  <r>
    <x v="1"/>
    <x v="64"/>
    <x v="64"/>
    <x v="26"/>
    <s v="Haridus"/>
    <s v="Vinni-Pajusti Gümnaasium"/>
    <s v="G4S AS"/>
    <n v="940"/>
    <m/>
    <x v="4"/>
    <s v="Kinnistute, hoonete ja ruumide majandamiskulud"/>
    <n v="55"/>
    <x v="0"/>
    <x v="0"/>
    <x v="0"/>
    <x v="0"/>
    <m/>
  </r>
  <r>
    <x v="1"/>
    <x v="64"/>
    <x v="64"/>
    <x v="26"/>
    <s v="Haridus"/>
    <s v="Vinni-Pajusti Gümnaasium"/>
    <s v="USS Securiry"/>
    <n v="385"/>
    <m/>
    <x v="4"/>
    <s v="Kinnistute, hoonete ja ruumide majandamiskulud"/>
    <n v="55"/>
    <x v="0"/>
    <x v="0"/>
    <x v="0"/>
    <x v="0"/>
    <m/>
  </r>
  <r>
    <x v="1"/>
    <x v="64"/>
    <x v="64"/>
    <x v="26"/>
    <s v="Haridus"/>
    <s v="Vinni-Pajusti Gümnaasium"/>
    <s v="Rentokil-kahjuritõrjeteenus"/>
    <n v="260"/>
    <m/>
    <x v="4"/>
    <s v="Kinnistute, hoonete ja ruumide majandamiskulud"/>
    <n v="55"/>
    <x v="0"/>
    <x v="0"/>
    <x v="0"/>
    <x v="0"/>
    <m/>
  </r>
  <r>
    <x v="1"/>
    <x v="64"/>
    <x v="64"/>
    <x v="26"/>
    <s v="Haridus"/>
    <s v="Vinni-Pajusti Gümnaasium"/>
    <s v="ventilatsiooni hooldus"/>
    <n v="2500"/>
    <s v="hooldus+filtrid"/>
    <x v="4"/>
    <s v="Kinnistute, hoonete ja ruumide majandamiskulud"/>
    <n v="55"/>
    <x v="0"/>
    <x v="0"/>
    <x v="0"/>
    <x v="0"/>
    <m/>
  </r>
  <r>
    <x v="1"/>
    <x v="64"/>
    <x v="64"/>
    <x v="26"/>
    <s v="Haridus"/>
    <s v="Vinni-Pajusti Gümnaasium"/>
    <s v="remont"/>
    <n v="10000"/>
    <s v="pisiremont(san.remont)"/>
    <x v="4"/>
    <s v="Kinnistute, hoonete ja ruumide majandamiskulud"/>
    <n v="55"/>
    <x v="0"/>
    <x v="0"/>
    <x v="0"/>
    <x v="0"/>
    <m/>
  </r>
  <r>
    <x v="1"/>
    <x v="64"/>
    <x v="64"/>
    <x v="26"/>
    <s v="Haridus"/>
    <s v="Vinni-Pajusti Gümnaasium"/>
    <s v="arvutite värskendus(mälu,kõvaketad"/>
    <n v="2000"/>
    <m/>
    <x v="5"/>
    <s v="Info- ja kommunikatsioonitehnoliigised kulud"/>
    <n v="55"/>
    <x v="0"/>
    <x v="0"/>
    <x v="0"/>
    <x v="0"/>
    <m/>
  </r>
  <r>
    <x v="1"/>
    <x v="64"/>
    <x v="64"/>
    <x v="26"/>
    <s v="Haridus"/>
    <s v="Vinni-Pajusti Gümnaasium"/>
    <s v="tarkvara litsensid"/>
    <n v="2500"/>
    <m/>
    <x v="5"/>
    <s v="Info- ja kommunikatsioonitehnoliigised kulud"/>
    <n v="55"/>
    <x v="0"/>
    <x v="0"/>
    <x v="0"/>
    <x v="0"/>
    <m/>
  </r>
  <r>
    <x v="1"/>
    <x v="64"/>
    <x v="64"/>
    <x v="26"/>
    <s v="Haridus"/>
    <s v="Vinni-Pajusti Gümnaasium"/>
    <s v="Vinni-Pajusti Gümnaasiumi küttesüsteemi rekonstrueerimine"/>
    <n v="60000"/>
    <m/>
    <x v="12"/>
    <s v="Rajatiste ja hoonete soetamine ja renoveerimine"/>
    <n v="15"/>
    <x v="3"/>
    <x v="3"/>
    <x v="3"/>
    <x v="2"/>
    <m/>
  </r>
  <r>
    <x v="1"/>
    <x v="64"/>
    <x v="64"/>
    <x v="26"/>
    <s v="Haridus"/>
    <s v="Vinni-Pajusti Gümnaasium"/>
    <s v="Toiduained"/>
    <n v="70525"/>
    <s v="Ped."/>
    <x v="29"/>
    <s v="Toiduained ja toitlustusteenused"/>
    <n v="55"/>
    <x v="0"/>
    <x v="0"/>
    <x v="0"/>
    <x v="0"/>
    <m/>
  </r>
  <r>
    <x v="1"/>
    <x v="64"/>
    <x v="64"/>
    <x v="26"/>
    <s v="Haridus"/>
    <s v="Vinni-Pajusti Gümnaasium"/>
    <s v="Spordiinventaar"/>
    <n v="10000"/>
    <s v="Matid on vanad ja vajavad vahetamist ning uuendamist,"/>
    <x v="8"/>
    <s v="Inventari kulud, v.a infotehnoloogia ja kaitseotstarbelised kulud"/>
    <n v="55"/>
    <x v="0"/>
    <x v="0"/>
    <x v="0"/>
    <x v="0"/>
    <m/>
  </r>
  <r>
    <x v="1"/>
    <x v="64"/>
    <x v="64"/>
    <x v="26"/>
    <s v="Haridus"/>
    <s v="Vinni-Pajusti Gümnaasium"/>
    <s v="Projektorid"/>
    <n v="2500"/>
    <s v="5 projektorit vajavad vahetamist"/>
    <x v="8"/>
    <s v="Inventari kulud, v.a infotehnoloogia ja kaitseotstarbelised kulud"/>
    <n v="55"/>
    <x v="0"/>
    <x v="0"/>
    <x v="0"/>
    <x v="0"/>
    <m/>
  </r>
  <r>
    <x v="1"/>
    <x v="64"/>
    <x v="64"/>
    <x v="26"/>
    <s v="Haridus"/>
    <s v="Vinni-Pajusti Gümnaasium"/>
    <s v="Võrguseadmed"/>
    <n v="1000"/>
    <s v="Sisevõrgu korrastamine ja uuendamine"/>
    <x v="5"/>
    <s v="Info- ja kommunikatsioonitehnoliigised kulud"/>
    <n v="55"/>
    <x v="0"/>
    <x v="0"/>
    <x v="0"/>
    <x v="0"/>
    <m/>
  </r>
  <r>
    <x v="1"/>
    <x v="64"/>
    <x v="64"/>
    <x v="26"/>
    <s v="Haridus"/>
    <s v="Vinni-Pajusti Gümnaasium"/>
    <s v="Klassimööbel"/>
    <n v="8500"/>
    <s v="Õppevahendite hoiustamise kapid (6 klassi)"/>
    <x v="8"/>
    <s v="Inventari kulud, v.a infotehnoloogia ja kaitseotstarbelised kulud"/>
    <n v="55"/>
    <x v="0"/>
    <x v="0"/>
    <x v="0"/>
    <x v="0"/>
    <m/>
  </r>
  <r>
    <x v="1"/>
    <x v="64"/>
    <x v="64"/>
    <x v="26"/>
    <s v="Haridus"/>
    <s v="Vinni-Pajusti Gümnaasium"/>
    <s v="Arvutipargi uuendus"/>
    <n v="2500"/>
    <s v="Vananevad arvutid vajavad uuendust ja vahetamist "/>
    <x v="5"/>
    <s v="Info- ja kommunikatsioonitehnoliigised kulud"/>
    <n v="55"/>
    <x v="0"/>
    <x v="0"/>
    <x v="0"/>
    <x v="0"/>
    <m/>
  </r>
  <r>
    <x v="1"/>
    <x v="64"/>
    <x v="64"/>
    <x v="26"/>
    <s v="Haridus"/>
    <s v="Vinni-Pajusti Gümnaasium"/>
    <s v="Valveseadmed"/>
    <n v="1000"/>
    <s v="Valveseadmete korrastamine ja uuendamine"/>
    <x v="4"/>
    <s v="Kinnistute, hoonete ja ruumide majandamiskulud"/>
    <n v="55"/>
    <x v="0"/>
    <x v="0"/>
    <x v="0"/>
    <x v="0"/>
    <m/>
  </r>
  <r>
    <x v="1"/>
    <x v="64"/>
    <x v="64"/>
    <x v="26"/>
    <s v="Haridus"/>
    <s v="Vinni-Pajusti Gümnaasium"/>
    <s v="Infotabloo"/>
    <n v="8000"/>
    <s v="Info edastamine õpilastele, õpetajatele ja vanematele"/>
    <x v="8"/>
    <s v="Inventari kulud, v.a infotehnoloogia ja kaitseotstarbelised kulud"/>
    <n v="55"/>
    <x v="0"/>
    <x v="0"/>
    <x v="0"/>
    <x v="0"/>
    <m/>
  </r>
  <r>
    <x v="1"/>
    <x v="64"/>
    <x v="64"/>
    <x v="26"/>
    <s v="Haridus"/>
    <s v="Vinni-Pajusti Gümnaasium"/>
    <s v="Pedagoogilised koolitused"/>
    <n v="7036"/>
    <s v="Ped."/>
    <x v="2"/>
    <s v="Koolituskulud"/>
    <n v="55"/>
    <x v="0"/>
    <x v="0"/>
    <x v="0"/>
    <x v="0"/>
    <m/>
  </r>
  <r>
    <x v="1"/>
    <x v="64"/>
    <x v="64"/>
    <x v="26"/>
    <s v="Haridus"/>
    <s v="Vinni-Pajusti Gümnaasium"/>
    <s v="Pedagoogilised õppevahendid"/>
    <n v="22971"/>
    <s v="Ped."/>
    <x v="30"/>
    <s v="Õppevahendid"/>
    <n v="55"/>
    <x v="0"/>
    <x v="0"/>
    <x v="0"/>
    <x v="0"/>
    <m/>
  </r>
  <r>
    <x v="1"/>
    <x v="65"/>
    <x v="60"/>
    <x v="26"/>
    <s v="Haridus"/>
    <s v="Haridusnõunik"/>
    <s v="Kohatasud "/>
    <n v="87579"/>
    <s v="põhikool"/>
    <x v="30"/>
    <s v="Õppevahendid"/>
    <n v="55"/>
    <x v="0"/>
    <x v="0"/>
    <x v="0"/>
    <x v="0"/>
    <m/>
  </r>
  <r>
    <x v="1"/>
    <x v="65"/>
    <x v="60"/>
    <x v="26"/>
    <s v="Haridus"/>
    <s v="Haridusnõunik"/>
    <s v="Tulud haridustegevusest kohatasud"/>
    <n v="-48048"/>
    <s v="s.h põhikool"/>
    <x v="31"/>
    <s v="Õpilaskoht"/>
    <n v="32"/>
    <x v="9"/>
    <x v="10"/>
    <x v="13"/>
    <x v="1"/>
    <m/>
  </r>
  <r>
    <x v="1"/>
    <x v="65"/>
    <x v="60"/>
    <x v="26"/>
    <s v="Haridus"/>
    <s v="Haridusnõunik"/>
    <s v="Tulud haridustegevusest kohatasud"/>
    <n v="-2940"/>
    <s v="s.h õpilaskodu"/>
    <x v="31"/>
    <s v="Õpilaskoht"/>
    <n v="32"/>
    <x v="9"/>
    <x v="10"/>
    <x v="13"/>
    <x v="1"/>
    <m/>
  </r>
  <r>
    <x v="1"/>
    <x v="66"/>
    <x v="65"/>
    <x v="26"/>
    <s v="Haridus"/>
    <s v="Põlula kool"/>
    <s v="kontoritarbed"/>
    <n v="500"/>
    <m/>
    <x v="0"/>
    <s v="Administreerimiskulud"/>
    <n v="55"/>
    <x v="0"/>
    <x v="0"/>
    <x v="0"/>
    <x v="0"/>
    <m/>
  </r>
  <r>
    <x v="1"/>
    <x v="66"/>
    <x v="65"/>
    <x v="26"/>
    <s v="Haridus"/>
    <s v="Põlula kool"/>
    <s v="koolitused"/>
    <n v="1300"/>
    <m/>
    <x v="2"/>
    <s v="Koolituskulud"/>
    <n v="55"/>
    <x v="0"/>
    <x v="0"/>
    <x v="0"/>
    <x v="0"/>
    <m/>
  </r>
  <r>
    <x v="1"/>
    <x v="66"/>
    <x v="65"/>
    <x v="26"/>
    <s v="Haridus"/>
    <s v="Põlula kool"/>
    <s v="Pedagoogilised koolitused"/>
    <n v="200"/>
    <s v="Ped."/>
    <x v="2"/>
    <s v="Koolituskulud"/>
    <n v="55"/>
    <x v="0"/>
    <x v="0"/>
    <x v="0"/>
    <x v="0"/>
    <m/>
  </r>
  <r>
    <x v="1"/>
    <x v="66"/>
    <x v="65"/>
    <x v="26"/>
    <s v="Haridus"/>
    <s v="Põlula kool"/>
    <s v="isikliku auto kasutus"/>
    <n v="2750"/>
    <m/>
    <x v="3"/>
    <s v="Sõidukite ülalpidamise kulud"/>
    <n v="55"/>
    <x v="0"/>
    <x v="0"/>
    <x v="0"/>
    <x v="0"/>
    <m/>
  </r>
  <r>
    <x v="1"/>
    <x v="66"/>
    <x v="65"/>
    <x v="26"/>
    <s v="Haridus"/>
    <s v="Põlula kool"/>
    <s v="autopargi hooldus"/>
    <n v="100"/>
    <m/>
    <x v="3"/>
    <s v="Sõidukite ülalpidamise kulud"/>
    <n v="55"/>
    <x v="0"/>
    <x v="0"/>
    <x v="0"/>
    <x v="0"/>
    <m/>
  </r>
  <r>
    <x v="1"/>
    <x v="66"/>
    <x v="65"/>
    <x v="26"/>
    <s v="Haridus"/>
    <s v="Põlula kool"/>
    <s v="muud ettenägematud kulud 200 eurot"/>
    <n v="200"/>
    <m/>
    <x v="8"/>
    <s v="Inventari kulud, v.a infotehnoloogia ja kaitseotstarbelised kulud"/>
    <n v="55"/>
    <x v="0"/>
    <x v="0"/>
    <x v="0"/>
    <x v="0"/>
    <m/>
  </r>
  <r>
    <x v="1"/>
    <x v="66"/>
    <x v="65"/>
    <x v="26"/>
    <s v="Haridus"/>
    <s v="Põlula kool"/>
    <s v="nõudepesumasina hooldus 200 eurot"/>
    <n v="200"/>
    <m/>
    <x v="8"/>
    <s v="Inventari kulud, v.a infotehnoloogia ja kaitseotstarbelised kulud"/>
    <n v="55"/>
    <x v="0"/>
    <x v="0"/>
    <x v="0"/>
    <x v="0"/>
    <m/>
  </r>
  <r>
    <x v="1"/>
    <x v="66"/>
    <x v="65"/>
    <x v="26"/>
    <s v="Haridus"/>
    <s v="Põlula kool"/>
    <s v="aiakäru soetus tk.1 100 eurot"/>
    <n v="100"/>
    <m/>
    <x v="8"/>
    <s v="Inventari kulud, v.a infotehnoloogia ja kaitseotstarbelised kulud"/>
    <n v="55"/>
    <x v="0"/>
    <x v="0"/>
    <x v="0"/>
    <x v="0"/>
    <m/>
  </r>
  <r>
    <x v="1"/>
    <x v="66"/>
    <x v="65"/>
    <x v="26"/>
    <s v="Haridus"/>
    <s v="Põlula kool"/>
    <s v="murutrimmeri remont 100 eurot"/>
    <n v="100"/>
    <m/>
    <x v="8"/>
    <s v="Inventari kulud, v.a infotehnoloogia ja kaitseotstarbelised kulud"/>
    <n v="55"/>
    <x v="0"/>
    <x v="0"/>
    <x v="0"/>
    <x v="0"/>
    <m/>
  </r>
  <r>
    <x v="1"/>
    <x v="66"/>
    <x v="65"/>
    <x v="26"/>
    <s v="Haridus"/>
    <s v="Põlula kool"/>
    <s v="Toiduained"/>
    <n v="3075"/>
    <m/>
    <x v="29"/>
    <s v="Toiduained ja toitlustusteenused"/>
    <n v="55"/>
    <x v="0"/>
    <x v="0"/>
    <x v="0"/>
    <x v="0"/>
    <m/>
  </r>
  <r>
    <x v="1"/>
    <x v="66"/>
    <x v="65"/>
    <x v="26"/>
    <s v="Haridus"/>
    <s v="Põlula kool"/>
    <s v="Toiduained"/>
    <n v="1925"/>
    <s v="Ped."/>
    <x v="29"/>
    <s v="Toiduained ja toitlustusteenused"/>
    <n v="55"/>
    <x v="0"/>
    <x v="0"/>
    <x v="0"/>
    <x v="0"/>
    <m/>
  </r>
  <r>
    <x v="1"/>
    <x v="66"/>
    <x v="65"/>
    <x v="26"/>
    <s v="Haridus"/>
    <s v="Põlula kool"/>
    <s v="esmaabivahendid 100 eurot"/>
    <n v="100"/>
    <m/>
    <x v="9"/>
    <s v="Meditsiinikulud ja hügieenitarbed"/>
    <n v="55"/>
    <x v="0"/>
    <x v="0"/>
    <x v="0"/>
    <x v="0"/>
    <m/>
  </r>
  <r>
    <x v="1"/>
    <x v="66"/>
    <x v="65"/>
    <x v="26"/>
    <s v="Haridus"/>
    <s v="Põlula kool"/>
    <s v="muud õppevahendid 300 eurot"/>
    <n v="300"/>
    <m/>
    <x v="30"/>
    <s v="Õppevahendid"/>
    <n v="55"/>
    <x v="0"/>
    <x v="0"/>
    <x v="0"/>
    <x v="0"/>
    <m/>
  </r>
  <r>
    <x v="1"/>
    <x v="66"/>
    <x v="65"/>
    <x v="26"/>
    <s v="Haridus"/>
    <s v="Põlula kool"/>
    <s v="värvitoonerid tk.3 300 eurot"/>
    <n v="300"/>
    <m/>
    <x v="0"/>
    <s v="Administreerimiskulud"/>
    <n v="55"/>
    <x v="0"/>
    <x v="0"/>
    <x v="0"/>
    <x v="0"/>
    <m/>
  </r>
  <r>
    <x v="1"/>
    <x v="66"/>
    <x v="65"/>
    <x v="26"/>
    <s v="Haridus"/>
    <s v="Põlula kool"/>
    <s v="tavatoonerid tk. 5  400 eurot"/>
    <n v="400"/>
    <m/>
    <x v="0"/>
    <s v="Administreerimiskulud"/>
    <n v="55"/>
    <x v="0"/>
    <x v="0"/>
    <x v="0"/>
    <x v="0"/>
    <m/>
  </r>
  <r>
    <x v="1"/>
    <x v="66"/>
    <x v="65"/>
    <x v="26"/>
    <s v="Haridus"/>
    <s v="Põlula kool"/>
    <s v="tööõpetuse abivahendid- 500 eurot"/>
    <n v="500"/>
    <m/>
    <x v="30"/>
    <s v="Õppevahendid"/>
    <n v="55"/>
    <x v="0"/>
    <x v="0"/>
    <x v="0"/>
    <x v="0"/>
    <m/>
  </r>
  <r>
    <x v="1"/>
    <x v="66"/>
    <x v="65"/>
    <x v="26"/>
    <s v="Haridus"/>
    <s v="Põlula kool"/>
    <s v="õpikud, töövihikud  300 eurot"/>
    <n v="300"/>
    <m/>
    <x v="30"/>
    <s v="Õppevahendid"/>
    <n v="55"/>
    <x v="0"/>
    <x v="0"/>
    <x v="0"/>
    <x v="0"/>
    <m/>
  </r>
  <r>
    <x v="1"/>
    <x v="66"/>
    <x v="65"/>
    <x v="26"/>
    <s v="Haridus"/>
    <s v="Põlula kool"/>
    <s v="koopiapaber 100 eurot, värviline paber 100 eurot, kunstitarbed 600 eurot"/>
    <n v="800"/>
    <m/>
    <x v="30"/>
    <s v="Õppevahendid"/>
    <n v="55"/>
    <x v="0"/>
    <x v="0"/>
    <x v="0"/>
    <x v="0"/>
    <m/>
  </r>
  <r>
    <x v="1"/>
    <x v="66"/>
    <x v="65"/>
    <x v="26"/>
    <s v="Haridus"/>
    <s v="Põlula kool"/>
    <s v="Ürituste transport"/>
    <n v="1000"/>
    <m/>
    <x v="22"/>
    <s v="Kommunikatsiooni-, kultuuri- ja vaba aja sisustamise kulud"/>
    <n v="55"/>
    <x v="0"/>
    <x v="0"/>
    <x v="0"/>
    <x v="0"/>
    <m/>
  </r>
  <r>
    <x v="1"/>
    <x v="66"/>
    <x v="65"/>
    <x v="26"/>
    <s v="Haridus"/>
    <s v="Põlula kool"/>
    <s v="hoonete kindlustus"/>
    <n v="600"/>
    <m/>
    <x v="4"/>
    <s v="Kinnistute, hoonete ja ruumide majandamiskulud"/>
    <n v="55"/>
    <x v="0"/>
    <x v="0"/>
    <x v="0"/>
    <x v="0"/>
    <m/>
  </r>
  <r>
    <x v="1"/>
    <x v="66"/>
    <x v="65"/>
    <x v="26"/>
    <s v="Haridus"/>
    <s v="Põlula kool"/>
    <s v="majanduskaup kooli ja sööklasse"/>
    <n v="3000"/>
    <m/>
    <x v="4"/>
    <s v="Kinnistute, hoonete ja ruumide majandamiskulud"/>
    <n v="55"/>
    <x v="0"/>
    <x v="0"/>
    <x v="0"/>
    <x v="0"/>
    <m/>
  </r>
  <r>
    <x v="1"/>
    <x v="66"/>
    <x v="65"/>
    <x v="26"/>
    <s v="Haridus"/>
    <s v="Põlula kool"/>
    <s v="elekter"/>
    <n v="17000"/>
    <m/>
    <x v="4"/>
    <s v="Kinnistute, hoonete ja ruumide majandamiskulud"/>
    <n v="55"/>
    <x v="0"/>
    <x v="0"/>
    <x v="0"/>
    <x v="0"/>
    <m/>
  </r>
  <r>
    <x v="1"/>
    <x v="66"/>
    <x v="65"/>
    <x v="26"/>
    <s v="Haridus"/>
    <s v="Põlula kool"/>
    <s v="valvesignalisatsioon"/>
    <n v="1500"/>
    <m/>
    <x v="4"/>
    <s v="Kinnistute, hoonete ja ruumide majandamiskulud"/>
    <n v="55"/>
    <x v="0"/>
    <x v="0"/>
    <x v="0"/>
    <x v="0"/>
    <m/>
  </r>
  <r>
    <x v="1"/>
    <x v="66"/>
    <x v="65"/>
    <x v="26"/>
    <s v="Haridus"/>
    <s v="Põlula kool"/>
    <s v="prügi vedu"/>
    <n v="600"/>
    <m/>
    <x v="4"/>
    <s v="Kinnistute, hoonete ja ruumide majandamiskulud"/>
    <n v="55"/>
    <x v="0"/>
    <x v="0"/>
    <x v="0"/>
    <x v="0"/>
    <m/>
  </r>
  <r>
    <x v="1"/>
    <x v="66"/>
    <x v="65"/>
    <x v="26"/>
    <s v="Haridus"/>
    <s v="Põlula kool"/>
    <s v="laboratoorsed analüüsid"/>
    <n v="500"/>
    <m/>
    <x v="4"/>
    <s v="Kinnistute, hoonete ja ruumide majandamiskulud"/>
    <n v="55"/>
    <x v="0"/>
    <x v="0"/>
    <x v="0"/>
    <x v="0"/>
    <m/>
  </r>
  <r>
    <x v="1"/>
    <x v="66"/>
    <x v="65"/>
    <x v="26"/>
    <s v="Haridus"/>
    <s v="Põlula kool"/>
    <s v="käiduteenus"/>
    <n v="500"/>
    <m/>
    <x v="4"/>
    <s v="Kinnistute, hoonete ja ruumide majandamiskulud"/>
    <n v="55"/>
    <x v="0"/>
    <x v="0"/>
    <x v="0"/>
    <x v="0"/>
    <m/>
  </r>
  <r>
    <x v="1"/>
    <x v="66"/>
    <x v="65"/>
    <x v="26"/>
    <s v="Haridus"/>
    <s v="Põlula kool"/>
    <s v="IT alased hooldustööd"/>
    <n v="2500"/>
    <m/>
    <x v="5"/>
    <s v="Info- ja kommunikatsioonitehnoliigised kulud"/>
    <n v="55"/>
    <x v="0"/>
    <x v="0"/>
    <x v="0"/>
    <x v="0"/>
    <m/>
  </r>
  <r>
    <x v="1"/>
    <x v="66"/>
    <x v="65"/>
    <x v="26"/>
    <s v="Haridus"/>
    <s v="Põlula kool"/>
    <s v="Pedagoogilised õppevahendid"/>
    <n v="627"/>
    <s v="Ped."/>
    <x v="30"/>
    <s v="Õppevahendid"/>
    <n v="55"/>
    <x v="0"/>
    <x v="0"/>
    <x v="0"/>
    <x v="0"/>
    <m/>
  </r>
  <r>
    <x v="1"/>
    <x v="67"/>
    <x v="60"/>
    <x v="27"/>
    <s v="Haridus"/>
    <s v="Haridusnõunik"/>
    <s v="Kohatasud "/>
    <n v="64104.399999999994"/>
    <s v="gümnaasium"/>
    <x v="30"/>
    <s v="Õppevahendid"/>
    <n v="55"/>
    <x v="0"/>
    <x v="0"/>
    <x v="0"/>
    <x v="0"/>
    <m/>
  </r>
  <r>
    <x v="1"/>
    <x v="67"/>
    <x v="60"/>
    <x v="27"/>
    <s v="Haridus"/>
    <s v="Haridusnõunik"/>
    <s v="Tulud haridustegevusest kohatasud"/>
    <n v="-13104"/>
    <s v="s.h gümnaasium"/>
    <x v="31"/>
    <s v="Õpilaskoht"/>
    <n v="32"/>
    <x v="9"/>
    <x v="10"/>
    <x v="13"/>
    <x v="1"/>
    <m/>
  </r>
  <r>
    <x v="1"/>
    <x v="68"/>
    <x v="66"/>
    <x v="28"/>
    <s v="Haridus"/>
    <s v="Haridusnõunik"/>
    <s v="huvitegevuse kompensatsioon lastevanematele"/>
    <n v="0"/>
    <m/>
    <x v="30"/>
    <s v="Õppevahendid"/>
    <n v="55"/>
    <x v="0"/>
    <x v="0"/>
    <x v="0"/>
    <x v="0"/>
    <m/>
  </r>
  <r>
    <x v="1"/>
    <x v="68"/>
    <x v="66"/>
    <x v="28"/>
    <s v="Haridus"/>
    <s v="Haridusnõunik"/>
    <s v="arvlemine muusikakoolidega"/>
    <n v="35000"/>
    <m/>
    <x v="30"/>
    <s v="Õppevahendid"/>
    <n v="55"/>
    <x v="0"/>
    <x v="0"/>
    <x v="0"/>
    <x v="0"/>
    <m/>
  </r>
  <r>
    <x v="1"/>
    <x v="68"/>
    <x v="66"/>
    <x v="28"/>
    <s v="Haridus"/>
    <s v="Haridusnõunik"/>
    <s v="huvitegevusinventari soetus, arenguprojektid jms"/>
    <n v="20000"/>
    <m/>
    <x v="1"/>
    <s v="Mitmesugused majanduskulud"/>
    <n v="55"/>
    <x v="0"/>
    <x v="0"/>
    <x v="0"/>
    <x v="0"/>
    <m/>
  </r>
  <r>
    <x v="1"/>
    <x v="68"/>
    <x v="66"/>
    <x v="28"/>
    <s v="Haridus"/>
    <s v="Haridusnõunik"/>
    <s v="Huvihariduse ja - tegevuse toetus"/>
    <n v="-194908"/>
    <s v="toetusfond"/>
    <x v="15"/>
    <s v="Toetusfond"/>
    <n v="35201"/>
    <x v="4"/>
    <x v="4"/>
    <x v="5"/>
    <x v="1"/>
    <m/>
  </r>
  <r>
    <x v="1"/>
    <x v="68"/>
    <x v="66"/>
    <x v="28"/>
    <s v="Haridus"/>
    <s v="Vallavalitsus"/>
    <s v="Lasteaedade ja koolide õues õppetingimuste loomine"/>
    <n v="10000"/>
    <m/>
    <x v="12"/>
    <s v="Rajatiste ja hoonete soetamine ja renoveerimine"/>
    <n v="15"/>
    <x v="3"/>
    <x v="3"/>
    <x v="3"/>
    <x v="2"/>
    <m/>
  </r>
  <r>
    <x v="1"/>
    <x v="68"/>
    <x v="66"/>
    <x v="28"/>
    <s v="Haridus"/>
    <s v="Noorsoo- ja spordinõunik"/>
    <s v="Transport(buss)"/>
    <n v="4020"/>
    <s v="huviharidus-ujumistreeningud Vinni Spordikompleksis 2020. - Tudu, Roela, V-Jaagupi, Pajusti, Vinni lapsed 7-26 a."/>
    <x v="1"/>
    <s v="Mitmesugused majanduskulud"/>
    <n v="55"/>
    <x v="0"/>
    <x v="0"/>
    <x v="0"/>
    <x v="0"/>
    <m/>
  </r>
  <r>
    <x v="1"/>
    <x v="68"/>
    <x v="66"/>
    <x v="28"/>
    <s v="Haridus"/>
    <s v="Noorsoo- ja spordinõunik"/>
    <s v="Ujula kasutus"/>
    <n v="4540"/>
    <s v="huviharidus-ujumistreeningud Vinni Spordikompleksis 2020. - Tudu, Roela, V-Jaagupi, Pajusti, Vinni lapsed 7-26 a."/>
    <x v="1"/>
    <s v="Mitmesugused majanduskulud"/>
    <n v="55"/>
    <x v="0"/>
    <x v="0"/>
    <x v="0"/>
    <x v="0"/>
    <m/>
  </r>
  <r>
    <x v="1"/>
    <x v="68"/>
    <x v="66"/>
    <x v="28"/>
    <s v="Haridus"/>
    <s v="Noorsoo- ja spordinõunik"/>
    <s v="Transport(buss)"/>
    <n v="2450"/>
    <s v="huviharidus-ujumistreeningud Vinni Spordikompleksis 2020. - Laekvere, Muuga lapsed 7-26a."/>
    <x v="1"/>
    <s v="Mitmesugused majanduskulud"/>
    <n v="55"/>
    <x v="0"/>
    <x v="0"/>
    <x v="0"/>
    <x v="0"/>
    <m/>
  </r>
  <r>
    <x v="1"/>
    <x v="68"/>
    <x v="66"/>
    <x v="28"/>
    <s v="Haridus"/>
    <s v="Noorsoo- ja spordinõunik"/>
    <s v="Ujula kasutus"/>
    <n v="2110"/>
    <s v="huviharidus-ujumistreeningud Vinni Spordikompleksis 2020. - Laekvere, Muuga lapsed 7-26a."/>
    <x v="1"/>
    <s v="Mitmesugused majanduskulud"/>
    <n v="55"/>
    <x v="0"/>
    <x v="0"/>
    <x v="0"/>
    <x v="0"/>
    <m/>
  </r>
  <r>
    <x v="1"/>
    <x v="69"/>
    <x v="67"/>
    <x v="29"/>
    <s v="Haridus"/>
    <s v="Teede- ja ühistranspordinõunik"/>
    <s v="Liising "/>
    <n v="37152"/>
    <s v="12x3096"/>
    <x v="3"/>
    <s v="Sõidukite ülalpidamise kulud"/>
    <n v="55"/>
    <x v="0"/>
    <x v="0"/>
    <x v="0"/>
    <x v="0"/>
    <m/>
  </r>
  <r>
    <x v="1"/>
    <x v="69"/>
    <x v="67"/>
    <x v="29"/>
    <s v="Haridus"/>
    <s v="Teede- ja ühistranspordinõunik"/>
    <s v="Kasko ja liikluskindlustus"/>
    <n v="3100"/>
    <s v="2600+450 käesoleval aastal"/>
    <x v="3"/>
    <s v="Sõidukite ülalpidamise kulud"/>
    <n v="55"/>
    <x v="0"/>
    <x v="0"/>
    <x v="0"/>
    <x v="0"/>
    <m/>
  </r>
  <r>
    <x v="1"/>
    <x v="69"/>
    <x v="67"/>
    <x v="29"/>
    <s v="Haridus"/>
    <s v="Teede- ja ühistranspordinõunik"/>
    <s v="Remont ja hooldus"/>
    <n v="3000"/>
    <m/>
    <x v="3"/>
    <s v="Sõidukite ülalpidamise kulud"/>
    <n v="55"/>
    <x v="0"/>
    <x v="0"/>
    <x v="0"/>
    <x v="0"/>
    <m/>
  </r>
  <r>
    <x v="1"/>
    <x v="69"/>
    <x v="67"/>
    <x v="29"/>
    <s v="Haridus"/>
    <s v="Teede- ja ühistranspordinõunik"/>
    <s v="Navigaatori või tahvelarvuti soetamine"/>
    <n v="300"/>
    <s v="On olnud plaanis, aga pole sellel aastal tehtud"/>
    <x v="8"/>
    <s v="Inventari kulud, v.a infotehnoloogia ja kaitseotstarbelised kulud"/>
    <n v="55"/>
    <x v="0"/>
    <x v="0"/>
    <x v="0"/>
    <x v="0"/>
    <m/>
  </r>
  <r>
    <x v="1"/>
    <x v="69"/>
    <x v="67"/>
    <x v="29"/>
    <s v="Haridus"/>
    <s v="Teede- ja ühistranspordinõunik"/>
    <s v="Tervise- ja spordiarendamise hüvitis"/>
    <n v="400"/>
    <m/>
    <x v="1"/>
    <s v="Mitmesugused majanduskulud"/>
    <n v="55"/>
    <x v="0"/>
    <x v="0"/>
    <x v="0"/>
    <x v="0"/>
    <m/>
  </r>
  <r>
    <x v="1"/>
    <x v="69"/>
    <x v="67"/>
    <x v="29"/>
    <s v="Haridus"/>
    <s v="Teede- ja ühistranspordinõunik"/>
    <s v="Sideteenused"/>
    <n v="120"/>
    <s v="bussijuhi mobiil"/>
    <x v="0"/>
    <s v="Administreerimiskulud"/>
    <n v="55"/>
    <x v="0"/>
    <x v="0"/>
    <x v="0"/>
    <x v="0"/>
    <m/>
  </r>
  <r>
    <x v="1"/>
    <x v="69"/>
    <x v="67"/>
    <x v="29"/>
    <s v="Haridus"/>
    <s v="Teede- ja ühistranspordinõunik"/>
    <s v="Õpilastranspot Põlula ja VPG (RTX Lines OÜ leping)"/>
    <n v="25000"/>
    <m/>
    <x v="32"/>
    <s v="Õppetoetused"/>
    <n v="413"/>
    <x v="10"/>
    <x v="1"/>
    <x v="14"/>
    <x v="0"/>
    <m/>
  </r>
  <r>
    <x v="1"/>
    <x v="69"/>
    <x v="67"/>
    <x v="29"/>
    <s v="Haridus"/>
    <s v="Teede- ja ühistranspordinõunik"/>
    <s v="Õpilastranspot Põlula ja VPG (TA Bussid leping)"/>
    <n v="56000"/>
    <m/>
    <x v="32"/>
    <s v="Õppetoetused"/>
    <n v="413"/>
    <x v="10"/>
    <x v="1"/>
    <x v="14"/>
    <x v="0"/>
    <m/>
  </r>
  <r>
    <x v="1"/>
    <x v="69"/>
    <x v="67"/>
    <x v="29"/>
    <s v="Haridus"/>
    <s v="Teede- ja ühistranspordinõunik"/>
    <s v="Õpilastransport Muuga ja Laekvere (MK Reis leping)"/>
    <n v="42000"/>
    <m/>
    <x v="32"/>
    <s v="Õppetoetused"/>
    <n v="413"/>
    <x v="10"/>
    <x v="1"/>
    <x v="14"/>
    <x v="0"/>
    <m/>
  </r>
  <r>
    <x v="1"/>
    <x v="69"/>
    <x v="67"/>
    <x v="29"/>
    <s v="Haridus"/>
    <s v="Teede- ja ühistranspordinõunik"/>
    <s v="Kütus"/>
    <n v="23700"/>
    <s v="50000km*36l/100le*1,3eur/l"/>
    <x v="3"/>
    <s v="Sõidukite ülalpidamise kulud"/>
    <n v="55"/>
    <x v="0"/>
    <x v="0"/>
    <x v="0"/>
    <x v="0"/>
    <m/>
  </r>
  <r>
    <x v="1"/>
    <x v="70"/>
    <x v="68"/>
    <x v="30"/>
    <s v="Haridus"/>
    <s v="Roela Õpilaskodu"/>
    <s v="telefon, internet"/>
    <n v="576"/>
    <s v="internet 46 x 12 = 552"/>
    <x v="0"/>
    <s v="Administreerimiskulud"/>
    <n v="55"/>
    <x v="0"/>
    <x v="0"/>
    <x v="0"/>
    <x v="0"/>
    <m/>
  </r>
  <r>
    <x v="1"/>
    <x v="70"/>
    <x v="68"/>
    <x v="30"/>
    <s v="Haridus"/>
    <s v="Roela Õpilaskodu"/>
    <s v="mobiili kuulimiit 20 eurot"/>
    <n v="60"/>
    <s v="20 x 12"/>
    <x v="0"/>
    <s v="Administreerimiskulud"/>
    <n v="55"/>
    <x v="0"/>
    <x v="0"/>
    <x v="0"/>
    <x v="0"/>
    <m/>
  </r>
  <r>
    <x v="1"/>
    <x v="70"/>
    <x v="68"/>
    <x v="30"/>
    <s v="Haridus"/>
    <s v="Roela Õpilaskodu"/>
    <s v="printeri tahm"/>
    <n v="50"/>
    <m/>
    <x v="0"/>
    <s v="Administreerimiskulud"/>
    <n v="55"/>
    <x v="0"/>
    <x v="0"/>
    <x v="0"/>
    <x v="0"/>
    <m/>
  </r>
  <r>
    <x v="1"/>
    <x v="70"/>
    <x v="68"/>
    <x v="30"/>
    <s v="Haridus"/>
    <s v="Roela Õpilaskodu"/>
    <s v="kalendrid, paber jne"/>
    <n v="50"/>
    <m/>
    <x v="0"/>
    <s v="Administreerimiskulud"/>
    <n v="55"/>
    <x v="0"/>
    <x v="0"/>
    <x v="0"/>
    <x v="0"/>
    <m/>
  </r>
  <r>
    <x v="1"/>
    <x v="70"/>
    <x v="68"/>
    <x v="30"/>
    <s v="Haridus"/>
    <s v="Roela Õpilaskodu"/>
    <s v="seadmete remont"/>
    <n v="200"/>
    <s v="pesukuivati, pesumasin"/>
    <x v="8"/>
    <s v="Inventari kulud, v.a infotehnoloogia ja kaitseotstarbelised kulud"/>
    <n v="55"/>
    <x v="0"/>
    <x v="0"/>
    <x v="0"/>
    <x v="0"/>
    <m/>
  </r>
  <r>
    <x v="1"/>
    <x v="70"/>
    <x v="68"/>
    <x v="30"/>
    <s v="Haridus"/>
    <s v="Roela Õpilaskodu"/>
    <s v="isikliku sõiduauto kasutus"/>
    <n v="352"/>
    <s v="32 x 11 (Tiina Alavere)"/>
    <x v="3"/>
    <s v="Sõidukite ülalpidamise kulud"/>
    <n v="55"/>
    <x v="0"/>
    <x v="0"/>
    <x v="0"/>
    <x v="0"/>
    <m/>
  </r>
  <r>
    <x v="1"/>
    <x v="70"/>
    <x v="68"/>
    <x v="30"/>
    <s v="Haridus"/>
    <s v="Roela Õpilaskodu"/>
    <s v="voodikast 9 tk"/>
    <n v="500"/>
    <m/>
    <x v="8"/>
    <s v="Inventari kulud, v.a infotehnoloogia ja kaitseotstarbelised kulud"/>
    <n v="55"/>
    <x v="0"/>
    <x v="0"/>
    <x v="0"/>
    <x v="0"/>
    <m/>
  </r>
  <r>
    <x v="1"/>
    <x v="70"/>
    <x v="68"/>
    <x v="30"/>
    <s v="Haridus"/>
    <s v="Roela Õpilaskodu"/>
    <s v="köögitaburet 12 tk"/>
    <n v="250"/>
    <m/>
    <x v="8"/>
    <s v="Inventari kulud, v.a infotehnoloogia ja kaitseotstarbelised kulud"/>
    <n v="55"/>
    <x v="0"/>
    <x v="0"/>
    <x v="0"/>
    <x v="0"/>
    <m/>
  </r>
  <r>
    <x v="1"/>
    <x v="70"/>
    <x v="68"/>
    <x v="30"/>
    <s v="Haridus"/>
    <s v="Roela Õpilaskodu"/>
    <s v="televiisor 1 tk"/>
    <n v="600"/>
    <m/>
    <x v="8"/>
    <s v="Inventari kulud, v.a infotehnoloogia ja kaitseotstarbelised kulud"/>
    <n v="55"/>
    <x v="0"/>
    <x v="0"/>
    <x v="0"/>
    <x v="0"/>
    <m/>
  </r>
  <r>
    <x v="1"/>
    <x v="70"/>
    <x v="68"/>
    <x v="30"/>
    <s v="Haridus"/>
    <s v="Roela Õpilaskodu"/>
    <s v="toiduained"/>
    <n v="3600"/>
    <m/>
    <x v="29"/>
    <s v="Toiduained ja toitlustusteenused"/>
    <n v="55"/>
    <x v="0"/>
    <x v="0"/>
    <x v="0"/>
    <x v="0"/>
    <m/>
  </r>
  <r>
    <x v="1"/>
    <x v="70"/>
    <x v="68"/>
    <x v="30"/>
    <s v="Haridus"/>
    <s v="Roela Õpilaskodu"/>
    <s v="ravimid"/>
    <n v="150"/>
    <m/>
    <x v="9"/>
    <s v="Meditsiinikulud ja hügieenitarbed"/>
    <n v="55"/>
    <x v="0"/>
    <x v="0"/>
    <x v="0"/>
    <x v="0"/>
    <m/>
  </r>
  <r>
    <x v="1"/>
    <x v="70"/>
    <x v="68"/>
    <x v="30"/>
    <s v="Haridus"/>
    <s v="Roela Õpilaskodu"/>
    <s v="vihikud, pliiatsid, värvid jne"/>
    <n v="150"/>
    <m/>
    <x v="30"/>
    <s v="Õppevahendid"/>
    <n v="55"/>
    <x v="0"/>
    <x v="0"/>
    <x v="0"/>
    <x v="0"/>
    <m/>
  </r>
  <r>
    <x v="1"/>
    <x v="70"/>
    <x v="68"/>
    <x v="30"/>
    <s v="Haridus"/>
    <s v="Roela Õpilaskodu"/>
    <s v="mängud"/>
    <n v="150"/>
    <m/>
    <x v="30"/>
    <s v="Õppevahendid"/>
    <n v="55"/>
    <x v="0"/>
    <x v="0"/>
    <x v="0"/>
    <x v="0"/>
    <m/>
  </r>
  <r>
    <x v="1"/>
    <x v="70"/>
    <x v="68"/>
    <x v="30"/>
    <s v="Haridus"/>
    <s v="Roela Õpilaskodu"/>
    <s v="väljasõidud"/>
    <n v="200"/>
    <m/>
    <x v="22"/>
    <s v="Kommunikatsiooni-, kultuuri- ja vaba aja sisustamise kulud"/>
    <n v="55"/>
    <x v="0"/>
    <x v="0"/>
    <x v="0"/>
    <x v="0"/>
    <m/>
  </r>
  <r>
    <x v="1"/>
    <x v="70"/>
    <x v="68"/>
    <x v="30"/>
    <s v="Haridus"/>
    <s v="Roela Õpilaskodu"/>
    <s v="üritused"/>
    <n v="200"/>
    <m/>
    <x v="22"/>
    <s v="Kommunikatsiooni-, kultuuri- ja vaba aja sisustamise kulud"/>
    <n v="55"/>
    <x v="0"/>
    <x v="0"/>
    <x v="0"/>
    <x v="0"/>
    <m/>
  </r>
  <r>
    <x v="1"/>
    <x v="70"/>
    <x v="68"/>
    <x v="30"/>
    <s v="Haridus"/>
    <s v="Roela Õpilaskodu"/>
    <s v="küte"/>
    <n v="2300"/>
    <m/>
    <x v="4"/>
    <s v="Kinnistute, hoonete ja ruumide majandamiskulud"/>
    <n v="55"/>
    <x v="0"/>
    <x v="0"/>
    <x v="0"/>
    <x v="0"/>
    <m/>
  </r>
  <r>
    <x v="1"/>
    <x v="70"/>
    <x v="68"/>
    <x v="30"/>
    <s v="Haridus"/>
    <s v="Roela Õpilaskodu"/>
    <s v="elekter"/>
    <n v="1000"/>
    <m/>
    <x v="4"/>
    <s v="Kinnistute, hoonete ja ruumide majandamiskulud"/>
    <n v="55"/>
    <x v="0"/>
    <x v="0"/>
    <x v="0"/>
    <x v="0"/>
    <m/>
  </r>
  <r>
    <x v="1"/>
    <x v="70"/>
    <x v="68"/>
    <x v="30"/>
    <s v="Haridus"/>
    <s v="Roela Õpilaskodu"/>
    <s v="vesi- ja kanalisatsioon"/>
    <n v="400"/>
    <m/>
    <x v="4"/>
    <s v="Kinnistute, hoonete ja ruumide majandamiskulud"/>
    <n v="55"/>
    <x v="0"/>
    <x v="0"/>
    <x v="0"/>
    <x v="0"/>
    <m/>
  </r>
  <r>
    <x v="1"/>
    <x v="70"/>
    <x v="68"/>
    <x v="30"/>
    <s v="Haridus"/>
    <s v="Roela Õpilaskodu"/>
    <s v="prügi"/>
    <n v="216"/>
    <m/>
    <x v="4"/>
    <s v="Kinnistute, hoonete ja ruumide majandamiskulud"/>
    <n v="55"/>
    <x v="0"/>
    <x v="0"/>
    <x v="0"/>
    <x v="0"/>
    <m/>
  </r>
  <r>
    <x v="1"/>
    <x v="70"/>
    <x v="68"/>
    <x v="30"/>
    <s v="Haridus"/>
    <s v="Roela Õpilaskodu"/>
    <s v="korrashoiuvahendid"/>
    <n v="400"/>
    <m/>
    <x v="4"/>
    <s v="Kinnistute, hoonete ja ruumide majandamiskulud"/>
    <n v="55"/>
    <x v="0"/>
    <x v="0"/>
    <x v="0"/>
    <x v="0"/>
    <m/>
  </r>
  <r>
    <x v="1"/>
    <x v="71"/>
    <x v="26"/>
    <x v="2"/>
    <s v="Vabaaeg, kultuur ja religioon"/>
    <s v="Haridusnõunik"/>
    <s v="Valla hariduskapitali taastamine"/>
    <n v="1100"/>
    <s v="(1*350.- + 3*125.-- 5*75.- )"/>
    <x v="22"/>
    <s v="Kommunikatsiooni-, kultuuri- ja vaba aja sisustamise kulud"/>
    <n v="55"/>
    <x v="0"/>
    <x v="0"/>
    <x v="0"/>
    <x v="0"/>
    <m/>
  </r>
  <r>
    <x v="1"/>
    <x v="71"/>
    <x v="26"/>
    <x v="2"/>
    <s v="Vabaaeg, kultuur ja religioon"/>
    <s v="Haridusnõunik"/>
    <s v="Õpilaste ja õpetajate vastuvõtt"/>
    <n v="5000"/>
    <s v="150 inimest: tänukirjad, meened, fotod, lilled, esinejad, suupisted"/>
    <x v="22"/>
    <s v="Kommunikatsiooni-, kultuuri- ja vaba aja sisustamise kulud"/>
    <n v="55"/>
    <x v="0"/>
    <x v="0"/>
    <x v="0"/>
    <x v="0"/>
    <m/>
  </r>
  <r>
    <x v="1"/>
    <x v="71"/>
    <x v="26"/>
    <x v="2"/>
    <s v="Vabaaeg, kultuur ja religioon"/>
    <s v="Haridusnõunik"/>
    <s v="Õppeaasta lõpetamine"/>
    <n v="3500"/>
    <s v="Lilled , meened( 75 LA+31 PK +14 G+õpetajad)"/>
    <x v="22"/>
    <s v="Kommunikatsiooni-, kultuuri- ja vaba aja sisustamise kulud"/>
    <n v="55"/>
    <x v="0"/>
    <x v="0"/>
    <x v="0"/>
    <x v="0"/>
    <m/>
  </r>
  <r>
    <x v="1"/>
    <x v="71"/>
    <x v="26"/>
    <x v="2"/>
    <s v="Vabaaeg, kultuur ja religioon"/>
    <s v="Haridusnõunik"/>
    <s v="Õppeaasta alustamine"/>
    <n v="1000"/>
    <s v="lilled 11 maja+ meened 1.klassile(75)"/>
    <x v="22"/>
    <s v="Kommunikatsiooni-, kultuuri- ja vaba aja sisustamise kulud"/>
    <n v="55"/>
    <x v="0"/>
    <x v="0"/>
    <x v="0"/>
    <x v="0"/>
    <m/>
  </r>
  <r>
    <x v="1"/>
    <x v="71"/>
    <x v="26"/>
    <x v="2"/>
    <s v="Vabaaeg, kultuur ja religioon"/>
    <s v="Haridusnõunik"/>
    <s v="Õpetajatepäev"/>
    <n v="7000"/>
    <s v="üritus 175-le inimesele( kontsert, teater vms., transport, lilled, suupisted)"/>
    <x v="22"/>
    <s v="Kommunikatsiooni-, kultuuri- ja vaba aja sisustamise kulud"/>
    <n v="55"/>
    <x v="0"/>
    <x v="0"/>
    <x v="0"/>
    <x v="0"/>
    <m/>
  </r>
  <r>
    <x v="1"/>
    <x v="71"/>
    <x v="26"/>
    <x v="2"/>
    <s v="Vabaaeg, kultuur ja religioon"/>
    <s v="Haridusnõunik"/>
    <s v="Muud haridusüritused"/>
    <n v="25000"/>
    <s v="valla laste- ja noortepäev, haridusasutuste taidluspäevad jm ülevallalised üritused vastavalt kokkulepitud kultuurikavale"/>
    <x v="22"/>
    <s v="Kommunikatsiooni-, kultuuri- ja vaba aja sisustamise kulud"/>
    <n v="55"/>
    <x v="0"/>
    <x v="0"/>
    <x v="0"/>
    <x v="0"/>
    <m/>
  </r>
  <r>
    <x v="1"/>
    <x v="2"/>
    <x v="2"/>
    <x v="2"/>
    <s v="Haridus"/>
    <s v="Haridusnõunik"/>
    <s v="LVHJ lähetused+  3 töötaja koolitused"/>
    <n v="3000"/>
    <m/>
    <x v="2"/>
    <s v="Koolituskulud"/>
    <n v="55"/>
    <x v="0"/>
    <x v="0"/>
    <x v="0"/>
    <x v="0"/>
    <m/>
  </r>
  <r>
    <x v="1"/>
    <x v="2"/>
    <x v="2"/>
    <x v="2"/>
    <s v="Haridus"/>
    <s v="Haridusnõunik"/>
    <s v="Isikliku sõiduauto komp."/>
    <n v="8300"/>
    <s v="(300+250+250) 2*10 kuud 1 *11 kuud"/>
    <x v="3"/>
    <s v="Sõidukite ülalpidamise kulud"/>
    <n v="55"/>
    <x v="0"/>
    <x v="0"/>
    <x v="0"/>
    <x v="0"/>
    <m/>
  </r>
  <r>
    <x v="1"/>
    <x v="2"/>
    <x v="2"/>
    <x v="2"/>
    <s v="Haridus"/>
    <s v="Haridusnõunik"/>
    <s v="eripedagoogi töövahendid"/>
    <n v="1000"/>
    <m/>
    <x v="30"/>
    <s v="Õppevahendid"/>
    <n v="55"/>
    <x v="0"/>
    <x v="0"/>
    <x v="0"/>
    <x v="0"/>
    <m/>
  </r>
  <r>
    <x v="1"/>
    <x v="2"/>
    <x v="2"/>
    <x v="2"/>
    <s v="Haridus"/>
    <s v="Haridusnõunik"/>
    <s v="laualambid jms alushariduse spets"/>
    <n v="300"/>
    <m/>
    <x v="8"/>
    <s v="Inventari kulud, v.a infotehnoloogia ja kaitseotstarbelised kulud"/>
    <n v="55"/>
    <x v="0"/>
    <x v="0"/>
    <x v="0"/>
    <x v="0"/>
    <m/>
  </r>
  <r>
    <x v="1"/>
    <x v="2"/>
    <x v="2"/>
    <x v="2"/>
    <s v="Haridus"/>
    <s v="Haridusnõunik"/>
    <s v="Sideteenused"/>
    <n v="540"/>
    <m/>
    <x v="0"/>
    <s v="Administreerimiskulud"/>
    <n v="55"/>
    <x v="0"/>
    <x v="0"/>
    <x v="0"/>
    <x v="0"/>
    <m/>
  </r>
  <r>
    <x v="1"/>
    <x v="72"/>
    <x v="69"/>
    <x v="2"/>
    <s v="Haridus"/>
    <s v="Haridusnõunik"/>
    <s v="Õpetajate ühiskoolitused"/>
    <n v="10000"/>
    <s v="koolivaheaegadel kõikidele valla õpetajatele korraldatud koolitused(4) "/>
    <x v="2"/>
    <s v="Koolituskulud"/>
    <n v="55"/>
    <x v="0"/>
    <x v="0"/>
    <x v="0"/>
    <x v="0"/>
    <m/>
  </r>
  <r>
    <x v="1"/>
    <x v="72"/>
    <x v="69"/>
    <x v="2"/>
    <s v="Haridus"/>
    <s v="Haridusnõunik"/>
    <s v="lastevanemate koolitused"/>
    <n v="10000"/>
    <m/>
    <x v="2"/>
    <s v="Koolituskulud"/>
    <n v="55"/>
    <x v="0"/>
    <x v="0"/>
    <x v="0"/>
    <x v="0"/>
    <m/>
  </r>
  <r>
    <x v="9"/>
    <x v="73"/>
    <x v="70"/>
    <x v="31"/>
    <s v="Sotsiaalne kaitse"/>
    <s v="Sotsiaalosakond"/>
    <s v="Vähihaigete Liit"/>
    <n v="300"/>
    <m/>
    <x v="28"/>
    <s v="Sihtotstarbelised eraldised jooksvateks kuludeks"/>
    <n v="4500"/>
    <x v="1"/>
    <x v="1"/>
    <x v="11"/>
    <x v="0"/>
    <m/>
  </r>
  <r>
    <x v="9"/>
    <x v="73"/>
    <x v="70"/>
    <x v="31"/>
    <s v="Sotsiaalne kaitse"/>
    <s v="Sotsiaalosakond"/>
    <s v="Lääne-Virumaa Sclerosis Multipleksi Ühing"/>
    <n v="700"/>
    <m/>
    <x v="28"/>
    <s v="Sihtotstarbelised eraldised jooksvateks kuludeks"/>
    <n v="4500"/>
    <x v="1"/>
    <x v="1"/>
    <x v="11"/>
    <x v="0"/>
    <m/>
  </r>
  <r>
    <x v="9"/>
    <x v="73"/>
    <x v="70"/>
    <x v="31"/>
    <s v="Sotsiaalne kaitse"/>
    <s v="Sotsiaalosakond"/>
    <s v="Lääne Virumaa Kurtide Ühing"/>
    <n v="250"/>
    <m/>
    <x v="28"/>
    <s v="Sihtotstarbelised eraldised jooksvateks kuludeks"/>
    <n v="4500"/>
    <x v="1"/>
    <x v="1"/>
    <x v="11"/>
    <x v="0"/>
    <m/>
  </r>
  <r>
    <x v="9"/>
    <x v="73"/>
    <x v="70"/>
    <x v="31"/>
    <s v="Sotsiaalne kaitse"/>
    <s v="Sotsiaalosakond"/>
    <s v="MTÜ Õendus-hoolduskeskus Loojang"/>
    <n v="7000"/>
    <m/>
    <x v="28"/>
    <s v="Sihtotstarbelised eraldised jooksvateks kuludeks"/>
    <n v="4500"/>
    <x v="1"/>
    <x v="1"/>
    <x v="11"/>
    <x v="0"/>
    <m/>
  </r>
  <r>
    <x v="9"/>
    <x v="74"/>
    <x v="71"/>
    <x v="32"/>
    <s v="Sotsiaalne kaitse"/>
    <s v="Sotsiaalosakond"/>
    <s v="Lääne-Virumaa Puuetega Inimeste Koda"/>
    <n v="1500"/>
    <m/>
    <x v="28"/>
    <s v="Sihtotstarbelised eraldised jooksvateks kuludeks"/>
    <n v="4500"/>
    <x v="1"/>
    <x v="1"/>
    <x v="11"/>
    <x v="0"/>
    <m/>
  </r>
  <r>
    <x v="9"/>
    <x v="74"/>
    <x v="71"/>
    <x v="32"/>
    <s v="Sotsiaalne kaitse"/>
    <s v="Sotsiaalosakond"/>
    <s v="MTÜ Johanna osalemine"/>
    <n v="8600"/>
    <m/>
    <x v="25"/>
    <s v="Sihtotstarbelised eraldised põhivara soetamiseks muudele residentidele"/>
    <n v="4502"/>
    <x v="1"/>
    <x v="9"/>
    <x v="12"/>
    <x v="2"/>
    <m/>
  </r>
  <r>
    <x v="9"/>
    <x v="74"/>
    <x v="71"/>
    <x v="32"/>
    <s v="Sotsiaalne kaitse"/>
    <s v="Sotsiaalosakond"/>
    <s v="MTÜ Johanna projektid"/>
    <n v="1000"/>
    <m/>
    <x v="28"/>
    <s v="Sihtotstarbelised eraldised jooksvateks kuludeks"/>
    <n v="4500"/>
    <x v="1"/>
    <x v="1"/>
    <x v="11"/>
    <x v="0"/>
    <m/>
  </r>
  <r>
    <x v="9"/>
    <x v="74"/>
    <x v="71"/>
    <x v="32"/>
    <s v="Sotsiaalne kaitse"/>
    <s v="Sotsiaalosakond"/>
    <s v="MTÜ Johanna tegevustoetus"/>
    <n v="3800"/>
    <m/>
    <x v="28"/>
    <s v="Sihtotstarbelised eraldised jooksvateks kuludeks"/>
    <n v="4500"/>
    <x v="1"/>
    <x v="1"/>
    <x v="11"/>
    <x v="0"/>
    <m/>
  </r>
  <r>
    <x v="9"/>
    <x v="74"/>
    <x v="71"/>
    <x v="32"/>
    <s v="Sotsiaalne kaitse"/>
    <s v="Sotsiaalosakond"/>
    <s v="Maakonna projekt Erivajadustega inimeste tugiteenused osal"/>
    <n v="1632"/>
    <m/>
    <x v="3"/>
    <s v="Sõidukite ülalpidamise kulud"/>
    <n v="55"/>
    <x v="0"/>
    <x v="0"/>
    <x v="0"/>
    <x v="0"/>
    <m/>
  </r>
  <r>
    <x v="9"/>
    <x v="75"/>
    <x v="72"/>
    <x v="33"/>
    <s v="Sotsiaalne kaitse"/>
    <s v="Sotsiaalosakond"/>
    <s v="Toetus ravimitele, abivah.,proteesid"/>
    <n v="11000"/>
    <m/>
    <x v="33"/>
    <s v="Proteesid, ortopeedilised ja muud abivahendid puuetega inimestele"/>
    <n v="413"/>
    <x v="10"/>
    <x v="1"/>
    <x v="14"/>
    <x v="0"/>
    <m/>
  </r>
  <r>
    <x v="9"/>
    <x v="76"/>
    <x v="73"/>
    <x v="33"/>
    <s v="Sotsiaalne kaitse"/>
    <s v="Sotsiaalosakond"/>
    <s v="Invatranspordis osalemine/teenus"/>
    <n v="45500"/>
    <s v="sh. Laekvere eakate seltsing Meenutuse transpordi kulud"/>
    <x v="34"/>
    <s v="Muud toetused puuetega inimestele ja nende hooldajatele"/>
    <n v="413"/>
    <x v="10"/>
    <x v="1"/>
    <x v="14"/>
    <x v="0"/>
    <m/>
  </r>
  <r>
    <x v="9"/>
    <x v="77"/>
    <x v="74"/>
    <x v="33"/>
    <s v="Sotsiaalne kaitse"/>
    <s v="Sotsiaalosakond"/>
    <s v="Puuetega täiskanvanute hooldaja toetus"/>
    <n v="110000"/>
    <m/>
    <x v="35"/>
    <s v="Puudega inimese hooldaja toetus"/>
    <n v="413"/>
    <x v="10"/>
    <x v="1"/>
    <x v="14"/>
    <x v="0"/>
    <m/>
  </r>
  <r>
    <x v="9"/>
    <x v="77"/>
    <x v="74"/>
    <x v="33"/>
    <s v="Sotsiaalne kaitse"/>
    <s v="Sotsiaalosakond"/>
    <s v="Puuetega inimeste eest makstav sotsiaalmaks"/>
    <n v="51600"/>
    <m/>
    <x v="36"/>
    <s v="Erijuhtudel riigi poolt makstavad maksud"/>
    <n v="413"/>
    <x v="10"/>
    <x v="1"/>
    <x v="14"/>
    <x v="0"/>
    <m/>
  </r>
  <r>
    <x v="9"/>
    <x v="78"/>
    <x v="75"/>
    <x v="33"/>
    <s v="Sotsiaalne kaitse"/>
    <s v="Sotsiaalosakond"/>
    <s v="Täiendavad toetused (ujumine, ühiselamu)"/>
    <n v="3800"/>
    <m/>
    <x v="37"/>
    <s v="Sotsiaalteenused"/>
    <n v="55"/>
    <x v="0"/>
    <x v="0"/>
    <x v="0"/>
    <x v="0"/>
    <m/>
  </r>
  <r>
    <x v="9"/>
    <x v="78"/>
    <x v="75"/>
    <x v="33"/>
    <s v="Sotsiaalne kaitse"/>
    <s v="Sotsiaalosakond"/>
    <s v="Sõidukulude kompenseerimise toetus"/>
    <n v="3500"/>
    <m/>
    <x v="34"/>
    <s v="Muud toetused puuetega inimestele ja nende hooldajatele"/>
    <n v="413"/>
    <x v="10"/>
    <x v="1"/>
    <x v="14"/>
    <x v="0"/>
    <m/>
  </r>
  <r>
    <x v="9"/>
    <x v="78"/>
    <x v="75"/>
    <x v="33"/>
    <s v="Sotsiaalne kaitse"/>
    <s v="Sotsiaalosakond"/>
    <s v="Viipekeele tõlk"/>
    <n v="800"/>
    <m/>
    <x v="34"/>
    <s v="Muud toetused puuetega inimestele ja nende hooldajatele"/>
    <n v="413"/>
    <x v="10"/>
    <x v="1"/>
    <x v="14"/>
    <x v="0"/>
    <m/>
  </r>
  <r>
    <x v="9"/>
    <x v="78"/>
    <x v="75"/>
    <x v="33"/>
    <s v="Sotsiaalne kaitse"/>
    <s v="Sotsiaalosakond"/>
    <s v="Muud toetused (juhtkoera toit)"/>
    <n v="300"/>
    <m/>
    <x v="34"/>
    <s v="Muud toetused puuetega inimestele ja nende hooldajatele"/>
    <n v="413"/>
    <x v="10"/>
    <x v="1"/>
    <x v="14"/>
    <x v="0"/>
    <m/>
  </r>
  <r>
    <x v="9"/>
    <x v="78"/>
    <x v="75"/>
    <x v="33"/>
    <s v="Sotsiaalne kaitse"/>
    <s v="Sotsiaalosakond"/>
    <s v="Muud toetused (ühekordsed)"/>
    <n v="7000"/>
    <m/>
    <x v="34"/>
    <s v="Muud toetused puuetega inimestele ja nende hooldajatele"/>
    <n v="413"/>
    <x v="10"/>
    <x v="1"/>
    <x v="14"/>
    <x v="0"/>
    <m/>
  </r>
  <r>
    <x v="9"/>
    <x v="78"/>
    <x v="75"/>
    <x v="33"/>
    <s v="Sotsiaalne kaitse"/>
    <s v="Sotsiaalosakond"/>
    <s v="Tõlgiteenus"/>
    <n v="1000"/>
    <m/>
    <x v="37"/>
    <s v="Sotsiaalteenused"/>
    <n v="55"/>
    <x v="0"/>
    <x v="0"/>
    <x v="0"/>
    <x v="0"/>
    <m/>
  </r>
  <r>
    <x v="9"/>
    <x v="78"/>
    <x v="75"/>
    <x v="33"/>
    <s v="Sotsiaalne kaitse"/>
    <s v="Sotsiaalosakond"/>
    <s v="Projekt &quot;Puuetega in. Kodude kohandamine&quot;"/>
    <n v="5000"/>
    <m/>
    <x v="4"/>
    <s v="Kinnistute, hoonete ja ruumide majandamiskulud"/>
    <n v="55"/>
    <x v="0"/>
    <x v="0"/>
    <x v="0"/>
    <x v="0"/>
    <m/>
  </r>
  <r>
    <x v="9"/>
    <x v="79"/>
    <x v="76"/>
    <x v="33"/>
    <s v="Sotsiaalne kaitse"/>
    <s v="Sotsiaalosakond"/>
    <s v="AS Hoolekandeteenused osalemine"/>
    <n v="840"/>
    <m/>
    <x v="37"/>
    <s v="Sotsiaalteenused"/>
    <n v="55"/>
    <x v="0"/>
    <x v="0"/>
    <x v="0"/>
    <x v="0"/>
    <m/>
  </r>
  <r>
    <x v="9"/>
    <x v="80"/>
    <x v="77"/>
    <x v="33"/>
    <s v="Sotsiaalne kaitse"/>
    <s v="Sotsiaalosakond"/>
    <s v="Puuetega laste hooldaja toetus"/>
    <n v="17831"/>
    <s v="Toetusfond"/>
    <x v="35"/>
    <s v="Puudega inimese hooldaja toetus"/>
    <n v="413"/>
    <x v="10"/>
    <x v="1"/>
    <x v="14"/>
    <x v="0"/>
    <m/>
  </r>
  <r>
    <x v="9"/>
    <x v="80"/>
    <x v="77"/>
    <x v="33"/>
    <s v="Sotsiaalne kaitse"/>
    <s v="Sotsiaalosakond"/>
    <s v="Toetusfond"/>
    <n v="-17831"/>
    <s v="Puuetega laste hooldaja toetus"/>
    <x v="15"/>
    <s v="Toetusfond"/>
    <n v="35201"/>
    <x v="4"/>
    <x v="4"/>
    <x v="5"/>
    <x v="1"/>
    <m/>
  </r>
  <r>
    <x v="9"/>
    <x v="81"/>
    <x v="78"/>
    <x v="34"/>
    <s v="Sotsiaalne kaitse"/>
    <s v="Tammiku kodu"/>
    <s v="telefonid ja internet, TV"/>
    <n v="2000"/>
    <m/>
    <x v="0"/>
    <s v="Administreerimiskulud"/>
    <n v="55"/>
    <x v="0"/>
    <x v="0"/>
    <x v="0"/>
    <x v="0"/>
    <m/>
  </r>
  <r>
    <x v="9"/>
    <x v="81"/>
    <x v="78"/>
    <x v="34"/>
    <s v="Sotsiaalne kaitse"/>
    <s v="Tammiku kodu"/>
    <s v="ajaleht "/>
    <n v="150"/>
    <s v="Virumaa Teataja                                               "/>
    <x v="0"/>
    <s v="Administreerimiskulud"/>
    <n v="55"/>
    <x v="0"/>
    <x v="0"/>
    <x v="0"/>
    <x v="0"/>
    <m/>
  </r>
  <r>
    <x v="9"/>
    <x v="81"/>
    <x v="78"/>
    <x v="34"/>
    <s v="Sotsiaalne kaitse"/>
    <s v="Tammiku kodu"/>
    <s v="tahm, paber, kirjatarbed"/>
    <n v="174"/>
    <s v="tint 30x4; paber, kirjatarbed                              "/>
    <x v="0"/>
    <s v="Administreerimiskulud"/>
    <n v="55"/>
    <x v="0"/>
    <x v="0"/>
    <x v="0"/>
    <x v="0"/>
    <m/>
  </r>
  <r>
    <x v="9"/>
    <x v="81"/>
    <x v="78"/>
    <x v="34"/>
    <s v="Sotsiaalne kaitse"/>
    <s v="Tammiku kodu"/>
    <s v="kodulehekülg"/>
    <n v="76"/>
    <s v="Elkada Oü 19x44                                                 "/>
    <x v="0"/>
    <s v="Administreerimiskulud"/>
    <n v="55"/>
    <x v="0"/>
    <x v="0"/>
    <x v="0"/>
    <x v="0"/>
    <m/>
  </r>
  <r>
    <x v="9"/>
    <x v="81"/>
    <x v="78"/>
    <x v="34"/>
    <s v="Sotsiaalne kaitse"/>
    <s v="Tammiku kodu"/>
    <s v="koolituste plaan"/>
    <n v="50"/>
    <s v="juhataja koolitus                                                "/>
    <x v="2"/>
    <s v="Koolituskulud"/>
    <n v="55"/>
    <x v="0"/>
    <x v="0"/>
    <x v="0"/>
    <x v="0"/>
    <m/>
  </r>
  <r>
    <x v="9"/>
    <x v="81"/>
    <x v="78"/>
    <x v="34"/>
    <s v="Sotsiaalne kaitse"/>
    <s v="Tammiku kodu"/>
    <s v="plaanilised koolitused"/>
    <n v="150"/>
    <s v="hooldajate, kokkade koolitused                         "/>
    <x v="2"/>
    <s v="Koolituskulud"/>
    <n v="55"/>
    <x v="0"/>
    <x v="0"/>
    <x v="0"/>
    <x v="0"/>
    <m/>
  </r>
  <r>
    <x v="9"/>
    <x v="81"/>
    <x v="78"/>
    <x v="34"/>
    <s v="Sotsiaalne kaitse"/>
    <s v="Tammiku kodu"/>
    <s v="el.auto tehnhool, kindlustus, remont"/>
    <n v="800"/>
    <m/>
    <x v="3"/>
    <s v="Sõidukite ülalpidamise kulud"/>
    <n v="55"/>
    <x v="0"/>
    <x v="0"/>
    <x v="0"/>
    <x v="0"/>
    <m/>
  </r>
  <r>
    <x v="9"/>
    <x v="81"/>
    <x v="78"/>
    <x v="34"/>
    <s v="Sotsiaalne kaitse"/>
    <s v="Tammiku kodu"/>
    <s v="sotsiaaltranspordi teenus"/>
    <n v="432"/>
    <m/>
    <x v="3"/>
    <s v="Sõidukite ülalpidamise kulud"/>
    <n v="55"/>
    <x v="0"/>
    <x v="0"/>
    <x v="0"/>
    <x v="0"/>
    <m/>
  </r>
  <r>
    <x v="9"/>
    <x v="81"/>
    <x v="78"/>
    <x v="34"/>
    <s v="Sotsiaalne kaitse"/>
    <s v="Tammiku kodu"/>
    <s v="toidukaup"/>
    <n v="19535"/>
    <s v="24 in x 365 p x 2,30                                  "/>
    <x v="29"/>
    <s v="Toiduained ja toitlustusteenused"/>
    <n v="55"/>
    <x v="0"/>
    <x v="0"/>
    <x v="0"/>
    <x v="0"/>
    <m/>
  </r>
  <r>
    <x v="9"/>
    <x v="81"/>
    <x v="78"/>
    <x v="34"/>
    <s v="Sotsiaalne kaitse"/>
    <s v="Tammiku kodu"/>
    <s v="Tervisekontroll"/>
    <n v="100"/>
    <s v="Töötajad                                                     "/>
    <x v="9"/>
    <s v="Meditsiinikulud ja hügieenitarbed"/>
    <n v="55"/>
    <x v="0"/>
    <x v="0"/>
    <x v="0"/>
    <x v="0"/>
    <m/>
  </r>
  <r>
    <x v="9"/>
    <x v="81"/>
    <x v="78"/>
    <x v="34"/>
    <s v="Sotsiaalne kaitse"/>
    <s v="Tammiku kodu"/>
    <s v="Pereõe külastus"/>
    <n v="1000"/>
    <s v="Riina Sinisoo 1x kuus                                  "/>
    <x v="9"/>
    <s v="Meditsiinikulud ja hügieenitarbed"/>
    <n v="55"/>
    <x v="0"/>
    <x v="0"/>
    <x v="0"/>
    <x v="0"/>
    <m/>
  </r>
  <r>
    <x v="9"/>
    <x v="81"/>
    <x v="78"/>
    <x v="34"/>
    <s v="Sotsiaalne kaitse"/>
    <s v="Tammiku kodu"/>
    <s v="Ravimid"/>
    <n v="1850"/>
    <s v="Retsepti-ja vabamüügiravimid             "/>
    <x v="9"/>
    <s v="Meditsiinikulud ja hügieenitarbed"/>
    <n v="55"/>
    <x v="0"/>
    <x v="0"/>
    <x v="0"/>
    <x v="0"/>
    <m/>
  </r>
  <r>
    <x v="9"/>
    <x v="81"/>
    <x v="78"/>
    <x v="34"/>
    <s v="Sotsiaalne kaitse"/>
    <s v="Tammiku kodu"/>
    <s v="Hügieenitarbed"/>
    <n v="2060"/>
    <s v="1x linad, pesemiskindad, mähkmed jm      "/>
    <x v="9"/>
    <s v="Meditsiinikulud ja hügieenitarbed"/>
    <n v="55"/>
    <x v="0"/>
    <x v="0"/>
    <x v="0"/>
    <x v="0"/>
    <m/>
  </r>
  <r>
    <x v="9"/>
    <x v="81"/>
    <x v="78"/>
    <x v="34"/>
    <s v="Sotsiaalne kaitse"/>
    <s v="Tammiku kodu"/>
    <s v="Haiglatasud"/>
    <n v="300"/>
    <s v="Haigla voodi-ja visiiditasud                           "/>
    <x v="9"/>
    <s v="Meditsiinikulud ja hügieenitarbed"/>
    <n v="55"/>
    <x v="0"/>
    <x v="0"/>
    <x v="0"/>
    <x v="0"/>
    <m/>
  </r>
  <r>
    <x v="9"/>
    <x v="81"/>
    <x v="78"/>
    <x v="34"/>
    <s v="Sotsiaalne kaitse"/>
    <s v="Tammiku kodu"/>
    <s v="Üritused, sünnipäevad, esinejad"/>
    <n v="1000"/>
    <m/>
    <x v="22"/>
    <s v="Kommunikatsiooni-, kultuuri- ja vaba aja sisustamise kulud"/>
    <n v="55"/>
    <x v="0"/>
    <x v="0"/>
    <x v="0"/>
    <x v="0"/>
    <m/>
  </r>
  <r>
    <x v="9"/>
    <x v="81"/>
    <x v="78"/>
    <x v="34"/>
    <s v="Sotsiaalne kaitse"/>
    <s v="Tammiku kodu"/>
    <s v="Ettenägematud soetused"/>
    <n v="940"/>
    <m/>
    <x v="1"/>
    <s v="Mitmesugused majanduskulud"/>
    <n v="55"/>
    <x v="0"/>
    <x v="0"/>
    <x v="0"/>
    <x v="0"/>
    <m/>
  </r>
  <r>
    <x v="9"/>
    <x v="81"/>
    <x v="78"/>
    <x v="34"/>
    <s v="Sotsiaalne kaitse"/>
    <s v="Tammiku kodu"/>
    <s v="küte"/>
    <n v="1500"/>
    <s v="35 m2 puid Tammiku Kodule                           "/>
    <x v="4"/>
    <s v="Kinnistute, hoonete ja ruumide majandamiskulud"/>
    <n v="55"/>
    <x v="0"/>
    <x v="0"/>
    <x v="0"/>
    <x v="0"/>
    <m/>
  </r>
  <r>
    <x v="9"/>
    <x v="81"/>
    <x v="78"/>
    <x v="34"/>
    <s v="Sotsiaalne kaitse"/>
    <s v="Tammiku kodu"/>
    <s v="elekter"/>
    <n v="4150"/>
    <s v="Obja k peamaja ja 2 korterit Roelas             "/>
    <x v="4"/>
    <s v="Kinnistute, hoonete ja ruumide majandamiskulud"/>
    <n v="55"/>
    <x v="0"/>
    <x v="0"/>
    <x v="0"/>
    <x v="0"/>
    <m/>
  </r>
  <r>
    <x v="9"/>
    <x v="81"/>
    <x v="78"/>
    <x v="34"/>
    <s v="Sotsiaalne kaitse"/>
    <s v="Tammiku kodu"/>
    <s v="vesi ja kanalisatsioon"/>
    <n v="2760"/>
    <s v="Fixum 230 eurot kuus                                                      "/>
    <x v="4"/>
    <s v="Kinnistute, hoonete ja ruumide majandamiskulud"/>
    <n v="55"/>
    <x v="0"/>
    <x v="0"/>
    <x v="0"/>
    <x v="0"/>
    <m/>
  </r>
  <r>
    <x v="9"/>
    <x v="81"/>
    <x v="78"/>
    <x v="34"/>
    <s v="Sotsiaalne kaitse"/>
    <s v="Tammiku kodu"/>
    <s v="korrashoiuvahendid, voodipesud, käterätid jms"/>
    <n v="4100"/>
    <s v="pesuvahendid, puhastustarbed jm         "/>
    <x v="4"/>
    <s v="Kinnistute, hoonete ja ruumide majandamiskulud"/>
    <n v="55"/>
    <x v="0"/>
    <x v="0"/>
    <x v="0"/>
    <x v="0"/>
    <m/>
  </r>
  <r>
    <x v="9"/>
    <x v="81"/>
    <x v="78"/>
    <x v="34"/>
    <s v="Sotsiaalne kaitse"/>
    <s v="Tammiku kodu"/>
    <s v="KÜ maksud"/>
    <n v="4300"/>
    <s v="Järve 2-10 ja Järve 6-21          "/>
    <x v="4"/>
    <s v="Kinnistute, hoonete ja ruumide majandamiskulud"/>
    <n v="55"/>
    <x v="0"/>
    <x v="0"/>
    <x v="0"/>
    <x v="0"/>
    <m/>
  </r>
  <r>
    <x v="9"/>
    <x v="81"/>
    <x v="78"/>
    <x v="34"/>
    <s v="Sotsiaalne kaitse"/>
    <s v="Tammiku kodu"/>
    <s v="Valve ATS hooldus"/>
    <n v="288"/>
    <s v="4x72 GAS Eesti                                            "/>
    <x v="4"/>
    <s v="Kinnistute, hoonete ja ruumide majandamiskulud"/>
    <n v="55"/>
    <x v="0"/>
    <x v="0"/>
    <x v="0"/>
    <x v="0"/>
    <m/>
  </r>
  <r>
    <x v="9"/>
    <x v="81"/>
    <x v="78"/>
    <x v="34"/>
    <s v="Sotsiaalne kaitse"/>
    <s v="Tammiku kodu"/>
    <s v="vee analüüsid"/>
    <n v="150"/>
    <s v="Terviseamet                                               "/>
    <x v="4"/>
    <s v="Kinnistute, hoonete ja ruumide majandamiskulud"/>
    <n v="55"/>
    <x v="0"/>
    <x v="0"/>
    <x v="0"/>
    <x v="0"/>
    <m/>
  </r>
  <r>
    <x v="9"/>
    <x v="81"/>
    <x v="78"/>
    <x v="34"/>
    <s v="Sotsiaalne kaitse"/>
    <s v="Tammiku kodu"/>
    <s v="korstna-ja ventilatsiooni puhastus"/>
    <n v="654"/>
    <s v="Päästeameti nõue                                         "/>
    <x v="4"/>
    <s v="Kinnistute, hoonete ja ruumide majandamiskulud"/>
    <n v="55"/>
    <x v="0"/>
    <x v="0"/>
    <x v="0"/>
    <x v="0"/>
    <m/>
  </r>
  <r>
    <x v="9"/>
    <x v="81"/>
    <x v="78"/>
    <x v="34"/>
    <s v="Sotsiaalne kaitse"/>
    <s v="Tammiku kodu"/>
    <s v="kahjuritõrje, prügi"/>
    <n v="296"/>
    <s v="Rentokil 35x4, prügi 13x12                 "/>
    <x v="4"/>
    <s v="Kinnistute, hoonete ja ruumide majandamiskulud"/>
    <n v="55"/>
    <x v="0"/>
    <x v="0"/>
    <x v="0"/>
    <x v="0"/>
    <m/>
  </r>
  <r>
    <x v="9"/>
    <x v="81"/>
    <x v="78"/>
    <x v="34"/>
    <s v="Sotsiaalne kaitse"/>
    <s v="Tammiku kodu"/>
    <s v="kütus muruniidukile, niiduki õli ja remont"/>
    <n v="180"/>
    <s v="20 l kuus 240, õli, remont 150                                                                   "/>
    <x v="4"/>
    <s v="Kinnistute, hoonete ja ruumide majandamiskulud"/>
    <n v="55"/>
    <x v="0"/>
    <x v="0"/>
    <x v="0"/>
    <x v="0"/>
    <m/>
  </r>
  <r>
    <x v="9"/>
    <x v="81"/>
    <x v="78"/>
    <x v="34"/>
    <s v="Sotsiaalne kaitse"/>
    <s v="Tammiku kodu"/>
    <s v="TV, arvutid"/>
    <n v="1100"/>
    <m/>
    <x v="5"/>
    <s v="Info- ja kommunikatsioonitehnoliigised kulud"/>
    <n v="55"/>
    <x v="0"/>
    <x v="0"/>
    <x v="0"/>
    <x v="0"/>
    <m/>
  </r>
  <r>
    <x v="9"/>
    <x v="82"/>
    <x v="79"/>
    <x v="34"/>
    <s v="Sotsiaalne kaitse"/>
    <s v="Arendusnõunik"/>
    <s v="Ulvi Kodu rekonstrueerimine"/>
    <n v="400000"/>
    <m/>
    <x v="12"/>
    <s v="Rajatiste ja hoonete soetamine ja renoveerimine"/>
    <n v="15"/>
    <x v="3"/>
    <x v="3"/>
    <x v="3"/>
    <x v="2"/>
    <m/>
  </r>
  <r>
    <x v="9"/>
    <x v="82"/>
    <x v="79"/>
    <x v="34"/>
    <s v="Sotsiaalne kaitse"/>
    <s v="Ulvi kodu"/>
    <s v="bürootarbed"/>
    <n v="120"/>
    <m/>
    <x v="0"/>
    <s v="Administreerimiskulud"/>
    <n v="55"/>
    <x v="0"/>
    <x v="0"/>
    <x v="0"/>
    <x v="0"/>
    <m/>
  </r>
  <r>
    <x v="9"/>
    <x v="82"/>
    <x v="79"/>
    <x v="34"/>
    <s v="Sotsiaalne kaitse"/>
    <s v="Ulvi kodu"/>
    <s v="ajalehed( virumaa teataja, kodutohter "/>
    <n v="170"/>
    <m/>
    <x v="0"/>
    <s v="Administreerimiskulud"/>
    <n v="55"/>
    <x v="0"/>
    <x v="0"/>
    <x v="0"/>
    <x v="0"/>
    <m/>
  </r>
  <r>
    <x v="9"/>
    <x v="82"/>
    <x v="79"/>
    <x v="34"/>
    <s v="Sotsiaalne kaitse"/>
    <s v="Ulvi kodu"/>
    <s v="esinduskulu"/>
    <n v="200"/>
    <m/>
    <x v="0"/>
    <s v="Administreerimiskulud"/>
    <n v="55"/>
    <x v="0"/>
    <x v="0"/>
    <x v="0"/>
    <x v="0"/>
    <m/>
  </r>
  <r>
    <x v="9"/>
    <x v="82"/>
    <x v="79"/>
    <x v="34"/>
    <s v="Sotsiaalne kaitse"/>
    <s v="Ulvi kodu"/>
    <s v="koolitused"/>
    <n v="650"/>
    <m/>
    <x v="2"/>
    <s v="Koolituskulud"/>
    <n v="55"/>
    <x v="0"/>
    <x v="0"/>
    <x v="0"/>
    <x v="0"/>
    <m/>
  </r>
  <r>
    <x v="9"/>
    <x v="82"/>
    <x v="79"/>
    <x v="34"/>
    <s v="Sotsiaalne kaitse"/>
    <s v="Ulvi kodu"/>
    <s v="isikliku sõiduauto komp."/>
    <n v="1650"/>
    <s v="sõidukite kulud 11kuud * 150"/>
    <x v="3"/>
    <s v="Sõidukite ülalpidamise kulud"/>
    <n v="55"/>
    <x v="0"/>
    <x v="0"/>
    <x v="0"/>
    <x v="0"/>
    <m/>
  </r>
  <r>
    <x v="9"/>
    <x v="82"/>
    <x v="79"/>
    <x v="34"/>
    <s v="Sotsiaalne kaitse"/>
    <s v="Ulvi kodu"/>
    <s v="voodikapp lauaga 2 tk  "/>
    <n v="600"/>
    <m/>
    <x v="8"/>
    <s v="Inventari kulud, v.a infotehnoloogia ja kaitseotstarbelised kulud"/>
    <n v="55"/>
    <x v="0"/>
    <x v="0"/>
    <x v="0"/>
    <x v="0"/>
    <m/>
  </r>
  <r>
    <x v="9"/>
    <x v="82"/>
    <x v="79"/>
    <x v="34"/>
    <s v="Sotsiaalne kaitse"/>
    <s v="Ulvi kodu"/>
    <s v="riidekapp 1 tk"/>
    <n v="230"/>
    <m/>
    <x v="8"/>
    <s v="Inventari kulud, v.a infotehnoloogia ja kaitseotstarbelised kulud"/>
    <n v="55"/>
    <x v="0"/>
    <x v="0"/>
    <x v="0"/>
    <x v="0"/>
    <m/>
  </r>
  <r>
    <x v="9"/>
    <x v="82"/>
    <x v="79"/>
    <x v="34"/>
    <s v="Sotsiaalne kaitse"/>
    <s v="Ulvi kodu"/>
    <s v="voodipesu 30"/>
    <n v="600"/>
    <m/>
    <x v="8"/>
    <s v="Inventari kulud, v.a infotehnoloogia ja kaitseotstarbelised kulud"/>
    <n v="55"/>
    <x v="0"/>
    <x v="0"/>
    <x v="0"/>
    <x v="0"/>
    <m/>
  </r>
  <r>
    <x v="9"/>
    <x v="82"/>
    <x v="79"/>
    <x v="34"/>
    <s v="Sotsiaalne kaitse"/>
    <s v="Ulvi kodu"/>
    <s v="köögitarvikud (potid, pannid) kööki, hooldus, remont"/>
    <n v="500"/>
    <m/>
    <x v="8"/>
    <s v="Inventari kulud, v.a infotehnoloogia ja kaitseotstarbelised kulud"/>
    <n v="55"/>
    <x v="0"/>
    <x v="0"/>
    <x v="0"/>
    <x v="0"/>
    <m/>
  </r>
  <r>
    <x v="9"/>
    <x v="82"/>
    <x v="79"/>
    <x v="34"/>
    <s v="Sotsiaalne kaitse"/>
    <s v="Ulvi kodu"/>
    <s v="nõudepesumasin"/>
    <n v="0"/>
    <s v="Lisavajadustes"/>
    <x v="8"/>
    <s v="Inventari kulud, v.a infotehnoloogia ja kaitseotstarbelised kulud"/>
    <n v="55"/>
    <x v="0"/>
    <x v="0"/>
    <x v="0"/>
    <x v="0"/>
    <m/>
  </r>
  <r>
    <x v="9"/>
    <x v="82"/>
    <x v="79"/>
    <x v="34"/>
    <s v="Sotsiaalne kaitse"/>
    <s v="Ulvi kodu"/>
    <s v="madrats 2tk"/>
    <n v="200"/>
    <m/>
    <x v="8"/>
    <s v="Inventari kulud, v.a infotehnoloogia ja kaitseotstarbelised kulud"/>
    <n v="55"/>
    <x v="0"/>
    <x v="0"/>
    <x v="0"/>
    <x v="0"/>
    <m/>
  </r>
  <r>
    <x v="9"/>
    <x v="82"/>
    <x v="79"/>
    <x v="34"/>
    <s v="Sotsiaalne kaitse"/>
    <s v="Ulvi kodu"/>
    <s v="pesukuivati"/>
    <n v="0"/>
    <s v="Lisavajadustes"/>
    <x v="8"/>
    <s v="Inventari kulud, v.a infotehnoloogia ja kaitseotstarbelised kulud"/>
    <n v="55"/>
    <x v="0"/>
    <x v="0"/>
    <x v="0"/>
    <x v="0"/>
    <m/>
  </r>
  <r>
    <x v="9"/>
    <x v="82"/>
    <x v="79"/>
    <x v="34"/>
    <s v="Sotsiaalne kaitse"/>
    <s v="Ulvi kodu"/>
    <s v="Toiduained"/>
    <n v="24012"/>
    <m/>
    <x v="29"/>
    <s v="Toiduained ja toitlustusteenused"/>
    <n v="55"/>
    <x v="0"/>
    <x v="0"/>
    <x v="0"/>
    <x v="0"/>
    <m/>
  </r>
  <r>
    <x v="9"/>
    <x v="82"/>
    <x v="79"/>
    <x v="34"/>
    <s v="Sotsiaalne kaitse"/>
    <s v="Ulvi kodu"/>
    <s v="Personalitoit"/>
    <n v="2200"/>
    <m/>
    <x v="29"/>
    <s v="Toiduained ja toitlustusteenused"/>
    <n v="55"/>
    <x v="0"/>
    <x v="0"/>
    <x v="0"/>
    <x v="0"/>
    <m/>
  </r>
  <r>
    <x v="9"/>
    <x v="82"/>
    <x v="79"/>
    <x v="34"/>
    <s v="Sotsiaalne kaitse"/>
    <s v="Ulvi kodu"/>
    <s v="Ravimid, mähkmed"/>
    <n v="200"/>
    <m/>
    <x v="9"/>
    <s v="Meditsiinikulud ja hügieenitarbed"/>
    <n v="55"/>
    <x v="0"/>
    <x v="0"/>
    <x v="0"/>
    <x v="0"/>
    <m/>
  </r>
  <r>
    <x v="9"/>
    <x v="82"/>
    <x v="79"/>
    <x v="34"/>
    <s v="Sotsiaalne kaitse"/>
    <s v="Ulvi kodu"/>
    <s v="kaldtee "/>
    <n v="0"/>
    <s v="Lisavajadustes"/>
    <x v="4"/>
    <s v="Kinnistute, hoonete ja ruumide majandamiskulud"/>
    <n v="55"/>
    <x v="0"/>
    <x v="0"/>
    <x v="0"/>
    <x v="0"/>
    <m/>
  </r>
  <r>
    <x v="9"/>
    <x v="82"/>
    <x v="79"/>
    <x v="34"/>
    <s v="Sotsiaalne kaitse"/>
    <s v="Ulvi kodu"/>
    <s v="üritused, huvitegevus, lilled"/>
    <n v="1600"/>
    <m/>
    <x v="22"/>
    <s v="Kommunikatsiooni-, kultuuri- ja vaba aja sisustamise kulud"/>
    <n v="55"/>
    <x v="0"/>
    <x v="0"/>
    <x v="0"/>
    <x v="0"/>
    <m/>
  </r>
  <r>
    <x v="9"/>
    <x v="82"/>
    <x v="79"/>
    <x v="34"/>
    <s v="Sotsiaalne kaitse"/>
    <s v="Ulvi kodu"/>
    <s v="Tööriided  "/>
    <n v="500"/>
    <m/>
    <x v="16"/>
    <s v="Eri- ja vormiriietus"/>
    <n v="55"/>
    <x v="0"/>
    <x v="0"/>
    <x v="0"/>
    <x v="0"/>
    <m/>
  </r>
  <r>
    <x v="9"/>
    <x v="82"/>
    <x v="79"/>
    <x v="34"/>
    <s v="Sotsiaalne kaitse"/>
    <s v="Ulvi kodu"/>
    <s v="sõiduabi (transport haiglast koju)"/>
    <n v="300"/>
    <m/>
    <x v="37"/>
    <s v="Sotsiaalteenused"/>
    <n v="55"/>
    <x v="0"/>
    <x v="0"/>
    <x v="0"/>
    <x v="0"/>
    <m/>
  </r>
  <r>
    <x v="9"/>
    <x v="82"/>
    <x v="79"/>
    <x v="34"/>
    <s v="Sotsiaalne kaitse"/>
    <s v="Ulvi kodu"/>
    <s v="tervishoiuteenuse ostmine ( pereõde)"/>
    <n v="1000"/>
    <s v="uus teenus"/>
    <x v="37"/>
    <s v="Sotsiaalteenused"/>
    <n v="55"/>
    <x v="0"/>
    <x v="0"/>
    <x v="0"/>
    <x v="0"/>
    <m/>
  </r>
  <r>
    <x v="9"/>
    <x v="82"/>
    <x v="79"/>
    <x v="34"/>
    <s v="Sotsiaalne kaitse"/>
    <s v="Ulvi kodu"/>
    <s v="soojusenergia ( küte)"/>
    <n v="9000"/>
    <m/>
    <x v="4"/>
    <s v="Kinnistute, hoonete ja ruumide majandamiskulud"/>
    <n v="55"/>
    <x v="0"/>
    <x v="0"/>
    <x v="0"/>
    <x v="0"/>
    <m/>
  </r>
  <r>
    <x v="9"/>
    <x v="82"/>
    <x v="79"/>
    <x v="34"/>
    <s v="Sotsiaalne kaitse"/>
    <s v="Ulvi kodu"/>
    <s v="elekter"/>
    <n v="6000"/>
    <m/>
    <x v="4"/>
    <s v="Kinnistute, hoonete ja ruumide majandamiskulud"/>
    <n v="55"/>
    <x v="0"/>
    <x v="0"/>
    <x v="0"/>
    <x v="0"/>
    <m/>
  </r>
  <r>
    <x v="9"/>
    <x v="82"/>
    <x v="79"/>
    <x v="34"/>
    <s v="Sotsiaalne kaitse"/>
    <s v="Ulvi kodu"/>
    <s v="vesi ja kanalisatsioon"/>
    <n v="2400"/>
    <m/>
    <x v="4"/>
    <s v="Kinnistute, hoonete ja ruumide majandamiskulud"/>
    <n v="55"/>
    <x v="0"/>
    <x v="0"/>
    <x v="0"/>
    <x v="0"/>
    <m/>
  </r>
  <r>
    <x v="9"/>
    <x v="82"/>
    <x v="79"/>
    <x v="34"/>
    <s v="Sotsiaalne kaitse"/>
    <s v="Ulvi kodu"/>
    <s v="korrashoid ja remont tubades"/>
    <n v="1000"/>
    <m/>
    <x v="4"/>
    <s v="Kinnistute, hoonete ja ruumide majandamiskulud"/>
    <n v="55"/>
    <x v="0"/>
    <x v="0"/>
    <x v="0"/>
    <x v="0"/>
    <m/>
  </r>
  <r>
    <x v="9"/>
    <x v="82"/>
    <x v="79"/>
    <x v="34"/>
    <s v="Sotsiaalne kaitse"/>
    <s v="Ulvi kodu"/>
    <s v="prügi vedu+energia kontroll)"/>
    <n v="900"/>
    <m/>
    <x v="4"/>
    <s v="Kinnistute, hoonete ja ruumide majandamiskulud"/>
    <n v="55"/>
    <x v="0"/>
    <x v="0"/>
    <x v="0"/>
    <x v="0"/>
    <m/>
  </r>
  <r>
    <x v="9"/>
    <x v="82"/>
    <x v="79"/>
    <x v="34"/>
    <s v="Sotsiaalne kaitse"/>
    <s v="Ulvi kodu"/>
    <s v="ruumide korrashoid, pesu pesemine"/>
    <n v="6000"/>
    <m/>
    <x v="4"/>
    <s v="Kinnistute, hoonete ja ruumide majandamiskulud"/>
    <n v="55"/>
    <x v="0"/>
    <x v="0"/>
    <x v="0"/>
    <x v="0"/>
    <m/>
  </r>
  <r>
    <x v="9"/>
    <x v="82"/>
    <x v="79"/>
    <x v="34"/>
    <s v="Sotsiaalne kaitse"/>
    <s v="Ulvi kodu"/>
    <s v="ettevõttekindlustus"/>
    <n v="180"/>
    <m/>
    <x v="4"/>
    <s v="Kinnistute, hoonete ja ruumide majandamiskulud"/>
    <n v="55"/>
    <x v="0"/>
    <x v="0"/>
    <x v="0"/>
    <x v="0"/>
    <m/>
  </r>
  <r>
    <x v="9"/>
    <x v="82"/>
    <x v="79"/>
    <x v="34"/>
    <s v="Sotsiaalne kaitse"/>
    <s v="Ulvi kodu"/>
    <s v="internet ja teler, telefon"/>
    <n v="650"/>
    <m/>
    <x v="5"/>
    <s v="Info- ja kommunikatsioonitehnoliigised kulud"/>
    <n v="55"/>
    <x v="0"/>
    <x v="0"/>
    <x v="0"/>
    <x v="0"/>
    <m/>
  </r>
  <r>
    <x v="9"/>
    <x v="82"/>
    <x v="79"/>
    <x v="34"/>
    <s v="Sotsiaalne kaitse"/>
    <s v="Ulvi kodu"/>
    <s v="tarkvara hooldus"/>
    <n v="100"/>
    <m/>
    <x v="5"/>
    <s v="Info- ja kommunikatsioonitehnoliigised kulud"/>
    <n v="55"/>
    <x v="0"/>
    <x v="0"/>
    <x v="0"/>
    <x v="0"/>
    <m/>
  </r>
  <r>
    <x v="9"/>
    <x v="82"/>
    <x v="79"/>
    <x v="34"/>
    <s v="Sotsiaalne kaitse"/>
    <s v="Ulvi kodu"/>
    <s v="Personalitoit"/>
    <n v="-2200"/>
    <s v="Töötajad tasuvad ise tagasi"/>
    <x v="29"/>
    <s v="Toiduained ja toitlustusteenused"/>
    <n v="55"/>
    <x v="0"/>
    <x v="0"/>
    <x v="0"/>
    <x v="0"/>
    <m/>
  </r>
  <r>
    <x v="9"/>
    <x v="82"/>
    <x v="79"/>
    <x v="34"/>
    <s v="Sotsiaalne kaitse"/>
    <s v="Ulvi kodu"/>
    <s v="Ravimid, mähkmed"/>
    <n v="12000"/>
    <m/>
    <x v="9"/>
    <s v="Meditsiinikulud ja hügieenitarbed"/>
    <n v="55"/>
    <x v="0"/>
    <x v="0"/>
    <x v="0"/>
    <x v="0"/>
    <m/>
  </r>
  <r>
    <x v="9"/>
    <x v="82"/>
    <x v="79"/>
    <x v="34"/>
    <s v="Sotsiaalne kaitse"/>
    <s v="Ulvi kodu"/>
    <s v="Ravimid, mähkmed"/>
    <n v="-12000"/>
    <s v="Kulu kaetakse hooldajate pere poolt"/>
    <x v="9"/>
    <s v="Meditsiinikulud ja hügieenitarbed"/>
    <n v="55"/>
    <x v="0"/>
    <x v="0"/>
    <x v="0"/>
    <x v="0"/>
    <m/>
  </r>
  <r>
    <x v="9"/>
    <x v="83"/>
    <x v="80"/>
    <x v="34"/>
    <s v="Sotsiaalne kaitse"/>
    <s v="Sotsiaalosakond"/>
    <s v="Üldtüüpi hooldekodusse paigut.in.ülalp.kulud"/>
    <n v="70000"/>
    <m/>
    <x v="37"/>
    <s v="Sotsiaalteenused"/>
    <n v="55"/>
    <x v="0"/>
    <x v="0"/>
    <x v="0"/>
    <x v="0"/>
    <m/>
  </r>
  <r>
    <x v="9"/>
    <x v="84"/>
    <x v="81"/>
    <x v="34"/>
    <s v="Sotsiaalne kaitse"/>
    <s v="Vinni Päevakeskus"/>
    <s v="tahm, paber"/>
    <n v="40"/>
    <m/>
    <x v="0"/>
    <s v="Administreerimiskulud"/>
    <n v="55"/>
    <x v="0"/>
    <x v="0"/>
    <x v="0"/>
    <x v="0"/>
    <m/>
  </r>
  <r>
    <x v="9"/>
    <x v="84"/>
    <x v="81"/>
    <x v="34"/>
    <s v="Sotsiaalne kaitse"/>
    <s v="Vinni Päevakeskus"/>
    <s v="ajakirjad (Tervendaja ja 60+)"/>
    <n v="50"/>
    <m/>
    <x v="0"/>
    <s v="Administreerimiskulud"/>
    <n v="55"/>
    <x v="0"/>
    <x v="0"/>
    <x v="0"/>
    <x v="0"/>
    <m/>
  </r>
  <r>
    <x v="9"/>
    <x v="84"/>
    <x v="81"/>
    <x v="34"/>
    <s v="Sotsiaalne kaitse"/>
    <s v="Vinni Päevakeskus"/>
    <s v="lilled"/>
    <n v="200"/>
    <m/>
    <x v="0"/>
    <s v="Administreerimiskulud"/>
    <n v="55"/>
    <x v="0"/>
    <x v="0"/>
    <x v="0"/>
    <x v="0"/>
    <m/>
  </r>
  <r>
    <x v="9"/>
    <x v="84"/>
    <x v="81"/>
    <x v="34"/>
    <s v="Sotsiaalne kaitse"/>
    <s v="Vinni Päevakeskus"/>
    <s v="Koolituskulud"/>
    <n v="50"/>
    <m/>
    <x v="2"/>
    <s v="Koolituskulud"/>
    <n v="55"/>
    <x v="0"/>
    <x v="0"/>
    <x v="0"/>
    <x v="0"/>
    <m/>
  </r>
  <r>
    <x v="9"/>
    <x v="84"/>
    <x v="81"/>
    <x v="34"/>
    <s v="Sotsiaalne kaitse"/>
    <s v="Vinni Päevakeskus"/>
    <s v="Isikliku sõiduauto komp."/>
    <n v="760"/>
    <m/>
    <x v="3"/>
    <s v="Sõidukite ülalpidamise kulud"/>
    <n v="55"/>
    <x v="0"/>
    <x v="0"/>
    <x v="0"/>
    <x v="0"/>
    <m/>
  </r>
  <r>
    <x v="9"/>
    <x v="84"/>
    <x v="81"/>
    <x v="34"/>
    <s v="Sotsiaalne kaitse"/>
    <s v="Vinni Päevakeskus"/>
    <s v="eakate päev, jõulud ja kevadpidu"/>
    <n v="200"/>
    <m/>
    <x v="22"/>
    <s v="Kommunikatsiooni-, kultuuri- ja vaba aja sisustamise kulud"/>
    <n v="55"/>
    <x v="0"/>
    <x v="0"/>
    <x v="0"/>
    <x v="0"/>
    <m/>
  </r>
  <r>
    <x v="9"/>
    <x v="84"/>
    <x v="81"/>
    <x v="34"/>
    <s v="Sotsiaalne kaitse"/>
    <s v="Vinni Päevakeskus"/>
    <s v="käeline tegevus (materjalid)"/>
    <n v="100"/>
    <m/>
    <x v="22"/>
    <s v="Kommunikatsiooni-, kultuuri- ja vaba aja sisustamise kulud"/>
    <n v="55"/>
    <x v="0"/>
    <x v="0"/>
    <x v="0"/>
    <x v="0"/>
    <m/>
  </r>
  <r>
    <x v="9"/>
    <x v="84"/>
    <x v="81"/>
    <x v="34"/>
    <s v="Sotsiaalne kaitse"/>
    <s v="Vinni Päevakeskus"/>
    <s v="mälutreening 2xkuus, 16x40,00"/>
    <n v="640"/>
    <m/>
    <x v="22"/>
    <s v="Kommunikatsiooni-, kultuuri- ja vaba aja sisustamise kulud"/>
    <n v="55"/>
    <x v="0"/>
    <x v="0"/>
    <x v="0"/>
    <x v="0"/>
    <m/>
  </r>
  <r>
    <x v="9"/>
    <x v="84"/>
    <x v="81"/>
    <x v="34"/>
    <s v="Sotsiaalne kaitse"/>
    <s v="Vinni Päevakeskus"/>
    <s v="võimlemine 4x kuus, 30x 45,00"/>
    <n v="1350"/>
    <m/>
    <x v="22"/>
    <s v="Kommunikatsiooni-, kultuuri- ja vaba aja sisustamise kulud"/>
    <n v="55"/>
    <x v="0"/>
    <x v="0"/>
    <x v="0"/>
    <x v="0"/>
    <m/>
  </r>
  <r>
    <x v="9"/>
    <x v="84"/>
    <x v="81"/>
    <x v="34"/>
    <s v="Sotsiaalne kaitse"/>
    <s v="Vinni Päevakeskus"/>
    <s v="laulmine"/>
    <n v="500"/>
    <m/>
    <x v="22"/>
    <s v="Kommunikatsiooni-, kultuuri- ja vaba aja sisustamise kulud"/>
    <n v="55"/>
    <x v="0"/>
    <x v="0"/>
    <x v="0"/>
    <x v="0"/>
    <m/>
  </r>
  <r>
    <x v="9"/>
    <x v="84"/>
    <x v="81"/>
    <x v="34"/>
    <s v="Sotsiaalne kaitse"/>
    <s v="Vinni Päevakeskus"/>
    <s v="ettearvamatud"/>
    <n v="100"/>
    <m/>
    <x v="4"/>
    <s v="Kinnistute, hoonete ja ruumide majandamiskulud"/>
    <n v="55"/>
    <x v="0"/>
    <x v="0"/>
    <x v="0"/>
    <x v="0"/>
    <m/>
  </r>
  <r>
    <x v="9"/>
    <x v="84"/>
    <x v="81"/>
    <x v="34"/>
    <s v="Sotsiaalne kaitse"/>
    <s v="Vinni Päevakeskus"/>
    <s v="vesi ja kanalisatsioon"/>
    <n v="50"/>
    <m/>
    <x v="4"/>
    <s v="Kinnistute, hoonete ja ruumide majandamiskulud"/>
    <n v="55"/>
    <x v="0"/>
    <x v="0"/>
    <x v="0"/>
    <x v="0"/>
    <m/>
  </r>
  <r>
    <x v="9"/>
    <x v="84"/>
    <x v="81"/>
    <x v="34"/>
    <s v="Sotsiaalne kaitse"/>
    <s v="Vinni Päevakeskus"/>
    <s v="puhastus vahendid"/>
    <n v="50"/>
    <m/>
    <x v="4"/>
    <s v="Kinnistute, hoonete ja ruumide majandamiskulud"/>
    <n v="55"/>
    <x v="0"/>
    <x v="0"/>
    <x v="0"/>
    <x v="0"/>
    <m/>
  </r>
  <r>
    <x v="9"/>
    <x v="85"/>
    <x v="74"/>
    <x v="35"/>
    <s v="Sotsiaalne kaitse"/>
    <s v="Sotsiaalosakond"/>
    <s v="Hooldustöötaja el.auto hooldus, remont, jms"/>
    <n v="1000"/>
    <s v="sh. Kredex laadimistasud"/>
    <x v="3"/>
    <s v="Sõidukite ülalpidamise kulud"/>
    <n v="55"/>
    <x v="0"/>
    <x v="0"/>
    <x v="0"/>
    <x v="0"/>
    <m/>
  </r>
  <r>
    <x v="9"/>
    <x v="85"/>
    <x v="74"/>
    <x v="35"/>
    <s v="Sotsiaalne kaitse"/>
    <s v="Sotsiaalosakond"/>
    <s v="Hooldustöötajate koolitused"/>
    <n v="600"/>
    <m/>
    <x v="2"/>
    <s v="Koolituskulud"/>
    <n v="55"/>
    <x v="0"/>
    <x v="0"/>
    <x v="0"/>
    <x v="0"/>
    <m/>
  </r>
  <r>
    <x v="9"/>
    <x v="85"/>
    <x v="74"/>
    <x v="35"/>
    <s v="Sotsiaalne kaitse"/>
    <s v="Sotsiaalosakond"/>
    <s v="Inventar"/>
    <n v="900"/>
    <s v="el.jalgratta hooldus( akud) jms"/>
    <x v="8"/>
    <s v="Inventari kulud, v.a infotehnoloogia ja kaitseotstarbelised kulud"/>
    <n v="55"/>
    <x v="0"/>
    <x v="0"/>
    <x v="0"/>
    <x v="0"/>
    <m/>
  </r>
  <r>
    <x v="9"/>
    <x v="86"/>
    <x v="82"/>
    <x v="35"/>
    <s v="Sotsiaalne kaitse"/>
    <s v="Sotsiaalosakond"/>
    <s v="Ühekordsed toetused"/>
    <n v="35500"/>
    <m/>
    <x v="38"/>
    <s v="Toetused eakatele"/>
    <n v="413"/>
    <x v="10"/>
    <x v="1"/>
    <x v="14"/>
    <x v="0"/>
    <m/>
  </r>
  <r>
    <x v="9"/>
    <x v="87"/>
    <x v="83"/>
    <x v="35"/>
    <s v="Sotsiaalne kaitse"/>
    <s v="Sotsiaalosakond"/>
    <s v="Juubelitoetused (+ lilled)"/>
    <n v="9500"/>
    <m/>
    <x v="38"/>
    <s v="Toetused eakatele"/>
    <n v="413"/>
    <x v="10"/>
    <x v="1"/>
    <x v="14"/>
    <x v="0"/>
    <m/>
  </r>
  <r>
    <x v="9"/>
    <x v="86"/>
    <x v="82"/>
    <x v="35"/>
    <s v="Sotsiaalne kaitse"/>
    <s v="Sotsiaalosakond"/>
    <s v="Täiendav ravimite toetus"/>
    <n v="3000"/>
    <m/>
    <x v="38"/>
    <s v="Toetused eakatele"/>
    <n v="413"/>
    <x v="10"/>
    <x v="1"/>
    <x v="14"/>
    <x v="0"/>
    <m/>
  </r>
  <r>
    <x v="9"/>
    <x v="88"/>
    <x v="84"/>
    <x v="36"/>
    <s v="Sotsiaalne kaitse"/>
    <s v="Vinni Perekodu"/>
    <s v="telefon, internet, TV "/>
    <n v="4000"/>
    <m/>
    <x v="0"/>
    <s v="Administreerimiskulud"/>
    <n v="55"/>
    <x v="0"/>
    <x v="0"/>
    <x v="0"/>
    <x v="0"/>
    <m/>
  </r>
  <r>
    <x v="9"/>
    <x v="88"/>
    <x v="84"/>
    <x v="36"/>
    <s v="Sotsiaalne kaitse"/>
    <s v="Vinni Perekodu"/>
    <s v="postikulu"/>
    <n v="80"/>
    <m/>
    <x v="0"/>
    <s v="Administreerimiskulud"/>
    <n v="55"/>
    <x v="0"/>
    <x v="0"/>
    <x v="0"/>
    <x v="0"/>
    <m/>
  </r>
  <r>
    <x v="9"/>
    <x v="88"/>
    <x v="84"/>
    <x v="36"/>
    <s v="Sotsiaalne kaitse"/>
    <s v="Vinni Perekodu"/>
    <s v="kantseleikulu"/>
    <n v="1300"/>
    <m/>
    <x v="0"/>
    <s v="Administreerimiskulud"/>
    <n v="55"/>
    <x v="0"/>
    <x v="0"/>
    <x v="0"/>
    <x v="0"/>
    <m/>
  </r>
  <r>
    <x v="9"/>
    <x v="88"/>
    <x v="84"/>
    <x v="36"/>
    <s v="Sotsiaalne kaitse"/>
    <s v="Vinni Perekodu"/>
    <s v="mobiilkõned"/>
    <n v="420"/>
    <m/>
    <x v="0"/>
    <s v="Administreerimiskulud"/>
    <n v="55"/>
    <x v="0"/>
    <x v="0"/>
    <x v="0"/>
    <x v="0"/>
    <m/>
  </r>
  <r>
    <x v="9"/>
    <x v="88"/>
    <x v="84"/>
    <x v="36"/>
    <s v="Sotsiaalne kaitse"/>
    <s v="Vinni Perekodu"/>
    <s v="koolituste plaan"/>
    <n v="2500"/>
    <m/>
    <x v="2"/>
    <s v="Koolituskulud"/>
    <n v="55"/>
    <x v="0"/>
    <x v="0"/>
    <x v="0"/>
    <x v="0"/>
    <m/>
  </r>
  <r>
    <x v="9"/>
    <x v="88"/>
    <x v="84"/>
    <x v="36"/>
    <s v="Sotsiaalne kaitse"/>
    <s v="Vinni Perekodu"/>
    <s v="liising, kasko"/>
    <n v="11200"/>
    <m/>
    <x v="3"/>
    <s v="Sõidukite ülalpidamise kulud"/>
    <n v="55"/>
    <x v="0"/>
    <x v="0"/>
    <x v="0"/>
    <x v="0"/>
    <m/>
  </r>
  <r>
    <x v="9"/>
    <x v="88"/>
    <x v="84"/>
    <x v="36"/>
    <s v="Sotsiaalne kaitse"/>
    <s v="Vinni Perekodu"/>
    <s v="kütus"/>
    <n v="2800"/>
    <m/>
    <x v="3"/>
    <s v="Sõidukite ülalpidamise kulud"/>
    <n v="55"/>
    <x v="0"/>
    <x v="0"/>
    <x v="0"/>
    <x v="0"/>
    <m/>
  </r>
  <r>
    <x v="9"/>
    <x v="88"/>
    <x v="84"/>
    <x v="36"/>
    <s v="Sotsiaalne kaitse"/>
    <s v="Vinni Perekodu"/>
    <s v="Inventar "/>
    <n v="3000"/>
    <m/>
    <x v="8"/>
    <s v="Inventari kulud, v.a infotehnoloogia ja kaitseotstarbelised kulud"/>
    <n v="55"/>
    <x v="0"/>
    <x v="0"/>
    <x v="0"/>
    <x v="0"/>
    <m/>
  </r>
  <r>
    <x v="9"/>
    <x v="88"/>
    <x v="84"/>
    <x v="36"/>
    <s v="Sotsiaalne kaitse"/>
    <s v="Vinni Perekodu"/>
    <s v="riided , jalanõud"/>
    <n v="13920"/>
    <s v="29 last x 40€kuusx 12 kuud"/>
    <x v="8"/>
    <s v="Inventari kulud, v.a infotehnoloogia ja kaitseotstarbelised kulud"/>
    <n v="55"/>
    <x v="0"/>
    <x v="0"/>
    <x v="0"/>
    <x v="0"/>
    <m/>
  </r>
  <r>
    <x v="9"/>
    <x v="88"/>
    <x v="84"/>
    <x v="36"/>
    <s v="Sotsiaalne kaitse"/>
    <s v="Vinni Perekodu"/>
    <s v="toitlustamine kodus"/>
    <n v="42340"/>
    <s v="29 last x 4 € päev x 365 päeva"/>
    <x v="29"/>
    <s v="Toiduained ja toitlustusteenused"/>
    <n v="55"/>
    <x v="0"/>
    <x v="0"/>
    <x v="0"/>
    <x v="0"/>
    <m/>
  </r>
  <r>
    <x v="9"/>
    <x v="88"/>
    <x v="84"/>
    <x v="36"/>
    <s v="Sotsiaalne kaitse"/>
    <s v="Vinni Perekodu"/>
    <s v="lasteaed, kaugel õppijad, väljas"/>
    <n v="1500"/>
    <m/>
    <x v="29"/>
    <s v="Toiduained ja toitlustusteenused"/>
    <n v="55"/>
    <x v="0"/>
    <x v="0"/>
    <x v="0"/>
    <x v="0"/>
    <m/>
  </r>
  <r>
    <x v="9"/>
    <x v="88"/>
    <x v="84"/>
    <x v="36"/>
    <s v="Sotsiaalne kaitse"/>
    <s v="Vinni Perekodu"/>
    <s v="ravimid, hügieen"/>
    <n v="6200"/>
    <m/>
    <x v="9"/>
    <s v="Meditsiinikulud ja hügieenitarbed"/>
    <n v="55"/>
    <x v="0"/>
    <x v="0"/>
    <x v="0"/>
    <x v="0"/>
    <m/>
  </r>
  <r>
    <x v="9"/>
    <x v="88"/>
    <x v="84"/>
    <x v="36"/>
    <s v="Sotsiaalne kaitse"/>
    <s v="Vinni Perekodu"/>
    <s v="eriarstide vastuvõtt"/>
    <n v="1040"/>
    <m/>
    <x v="9"/>
    <s v="Meditsiinikulud ja hügieenitarbed"/>
    <n v="55"/>
    <x v="0"/>
    <x v="0"/>
    <x v="0"/>
    <x v="0"/>
    <m/>
  </r>
  <r>
    <x v="9"/>
    <x v="88"/>
    <x v="84"/>
    <x v="36"/>
    <s v="Sotsiaalne kaitse"/>
    <s v="Vinni Perekodu"/>
    <s v="kohatasu lasteaed "/>
    <n v="960"/>
    <m/>
    <x v="30"/>
    <s v="Õppevahendid"/>
    <n v="55"/>
    <x v="0"/>
    <x v="0"/>
    <x v="0"/>
    <x v="0"/>
    <m/>
  </r>
  <r>
    <x v="9"/>
    <x v="88"/>
    <x v="84"/>
    <x v="36"/>
    <s v="Sotsiaalne kaitse"/>
    <s v="Vinni Perekodu"/>
    <s v="sünnipäev, jõulukink"/>
    <n v="200"/>
    <m/>
    <x v="22"/>
    <s v="Kommunikatsiooni-, kultuuri- ja vaba aja sisustamise kulud"/>
    <n v="55"/>
    <x v="0"/>
    <x v="0"/>
    <x v="0"/>
    <x v="0"/>
    <m/>
  </r>
  <r>
    <x v="9"/>
    <x v="88"/>
    <x v="84"/>
    <x v="36"/>
    <s v="Sotsiaalne kaitse"/>
    <s v="Vinni Perekodu"/>
    <s v="koolide väljasõidud"/>
    <n v="1500"/>
    <m/>
    <x v="22"/>
    <s v="Kommunikatsiooni-, kultuuri- ja vaba aja sisustamise kulud"/>
    <n v="55"/>
    <x v="0"/>
    <x v="0"/>
    <x v="0"/>
    <x v="0"/>
    <m/>
  </r>
  <r>
    <x v="9"/>
    <x v="88"/>
    <x v="84"/>
    <x v="36"/>
    <s v="Sotsiaalne kaitse"/>
    <s v="Vinni Perekodu"/>
    <s v="trenn/hobi"/>
    <n v="1540"/>
    <m/>
    <x v="22"/>
    <s v="Kommunikatsiooni-, kultuuri- ja vaba aja sisustamise kulud"/>
    <n v="55"/>
    <x v="0"/>
    <x v="0"/>
    <x v="0"/>
    <x v="0"/>
    <m/>
  </r>
  <r>
    <x v="9"/>
    <x v="88"/>
    <x v="84"/>
    <x v="36"/>
    <s v="Sotsiaalne kaitse"/>
    <s v="Vinni Perekodu"/>
    <s v="koolitarbed (sh eririietus, ...."/>
    <n v="5220"/>
    <s v="29 last  x 15 € x 12 kuud"/>
    <x v="10"/>
    <s v="Teavikud ja kunstiesemed"/>
    <n v="55"/>
    <x v="0"/>
    <x v="0"/>
    <x v="0"/>
    <x v="0"/>
    <m/>
  </r>
  <r>
    <x v="9"/>
    <x v="88"/>
    <x v="84"/>
    <x v="36"/>
    <s v="Sotsiaalne kaitse"/>
    <s v="Vinni Perekodu"/>
    <s v="2019. aasta eelarve prognoositav jääk"/>
    <n v="-21410.4399999999"/>
    <m/>
    <x v="29"/>
    <s v="Toiduained ja toitlustusteenused"/>
    <n v="55"/>
    <x v="0"/>
    <x v="0"/>
    <x v="0"/>
    <x v="0"/>
    <m/>
  </r>
  <r>
    <x v="9"/>
    <x v="88"/>
    <x v="84"/>
    <x v="36"/>
    <s v="Sotsiaalne kaitse"/>
    <s v="Vinni Perekodu"/>
    <s v="Kohatasud"/>
    <n v="-592050"/>
    <m/>
    <x v="39"/>
    <s v="Tulud sotsiaalabi teenustest"/>
    <n v="32"/>
    <x v="9"/>
    <x v="10"/>
    <x v="13"/>
    <x v="1"/>
    <m/>
  </r>
  <r>
    <x v="9"/>
    <x v="88"/>
    <x v="84"/>
    <x v="36"/>
    <s v="Sotsiaalne kaitse"/>
    <s v="Vinni Perekodu"/>
    <s v="Taskurahad"/>
    <n v="480"/>
    <s v="Eelkooliealised"/>
    <x v="40"/>
    <s v="Muud sotsiaalabitoetused ja hüvitised"/>
    <n v="413"/>
    <x v="10"/>
    <x v="1"/>
    <x v="14"/>
    <x v="0"/>
    <m/>
  </r>
  <r>
    <x v="9"/>
    <x v="88"/>
    <x v="84"/>
    <x v="36"/>
    <s v="Sotsiaalne kaitse"/>
    <s v="Vinni Perekodu"/>
    <s v="Taskurahad"/>
    <n v="1980"/>
    <s v="1-4 klassi lapsed"/>
    <x v="40"/>
    <s v="Muud sotsiaalabitoetused ja hüvitised"/>
    <n v="413"/>
    <x v="10"/>
    <x v="1"/>
    <x v="14"/>
    <x v="0"/>
    <m/>
  </r>
  <r>
    <x v="9"/>
    <x v="88"/>
    <x v="84"/>
    <x v="36"/>
    <s v="Sotsiaalne kaitse"/>
    <s v="Vinni Perekodu"/>
    <s v="Taskurahad"/>
    <n v="3840"/>
    <s v="5-.. Lapsed"/>
    <x v="40"/>
    <s v="Muud sotsiaalabitoetused ja hüvitised"/>
    <n v="413"/>
    <x v="10"/>
    <x v="1"/>
    <x v="14"/>
    <x v="0"/>
    <m/>
  </r>
  <r>
    <x v="9"/>
    <x v="88"/>
    <x v="84"/>
    <x v="36"/>
    <s v="Sotsiaalne kaitse"/>
    <s v="Vinni Perekodu"/>
    <s v="elekter"/>
    <n v="19000"/>
    <m/>
    <x v="4"/>
    <s v="Kinnistute, hoonete ja ruumide majandamiskulud"/>
    <n v="55"/>
    <x v="0"/>
    <x v="0"/>
    <x v="0"/>
    <x v="0"/>
    <m/>
  </r>
  <r>
    <x v="9"/>
    <x v="88"/>
    <x v="84"/>
    <x v="36"/>
    <s v="Sotsiaalne kaitse"/>
    <s v="Vinni Perekodu"/>
    <s v="vesi-kanalisatsioon"/>
    <n v="7000"/>
    <m/>
    <x v="4"/>
    <s v="Kinnistute, hoonete ja ruumide majandamiskulud"/>
    <n v="55"/>
    <x v="0"/>
    <x v="0"/>
    <x v="0"/>
    <x v="0"/>
    <m/>
  </r>
  <r>
    <x v="9"/>
    <x v="88"/>
    <x v="84"/>
    <x v="36"/>
    <s v="Sotsiaalne kaitse"/>
    <s v="Vinni Perekodu"/>
    <s v="korrashoiuvah."/>
    <n v="4500"/>
    <m/>
    <x v="4"/>
    <s v="Kinnistute, hoonete ja ruumide majandamiskulud"/>
    <n v="55"/>
    <x v="0"/>
    <x v="0"/>
    <x v="0"/>
    <x v="0"/>
    <m/>
  </r>
  <r>
    <x v="9"/>
    <x v="88"/>
    <x v="84"/>
    <x v="36"/>
    <s v="Sotsiaalne kaitse"/>
    <s v="Vinni Perekodu"/>
    <s v="ühiselamumaksud"/>
    <n v="900"/>
    <m/>
    <x v="4"/>
    <s v="Kinnistute, hoonete ja ruumide majandamiskulud"/>
    <n v="55"/>
    <x v="0"/>
    <x v="0"/>
    <x v="0"/>
    <x v="0"/>
    <m/>
  </r>
  <r>
    <x v="9"/>
    <x v="88"/>
    <x v="84"/>
    <x v="36"/>
    <s v="Sotsiaalne kaitse"/>
    <s v="Vinni Perekodu"/>
    <s v="prügi"/>
    <n v="900"/>
    <m/>
    <x v="4"/>
    <s v="Kinnistute, hoonete ja ruumide majandamiskulud"/>
    <n v="55"/>
    <x v="0"/>
    <x v="0"/>
    <x v="0"/>
    <x v="0"/>
    <m/>
  </r>
  <r>
    <x v="9"/>
    <x v="88"/>
    <x v="84"/>
    <x v="36"/>
    <s v="Sotsiaalne kaitse"/>
    <s v="Vinni Perekodu"/>
    <s v="signalisatsioon"/>
    <n v="320"/>
    <m/>
    <x v="4"/>
    <s v="Kinnistute, hoonete ja ruumide majandamiskulud"/>
    <n v="55"/>
    <x v="0"/>
    <x v="0"/>
    <x v="0"/>
    <x v="0"/>
    <m/>
  </r>
  <r>
    <x v="9"/>
    <x v="88"/>
    <x v="84"/>
    <x v="36"/>
    <s v="Sotsiaalne kaitse"/>
    <s v="Vinni Perekodu"/>
    <s v="el. Käidu leping"/>
    <n v="600"/>
    <m/>
    <x v="4"/>
    <s v="Kinnistute, hoonete ja ruumide majandamiskulud"/>
    <n v="55"/>
    <x v="0"/>
    <x v="0"/>
    <x v="0"/>
    <x v="0"/>
    <m/>
  </r>
  <r>
    <x v="9"/>
    <x v="88"/>
    <x v="84"/>
    <x v="36"/>
    <s v="Sotsiaalne kaitse"/>
    <s v="Vinni Perekodu"/>
    <s v="tehnoseadmed"/>
    <n v="2955"/>
    <m/>
    <x v="4"/>
    <s v="Kinnistute, hoonete ja ruumide majandamiskulud"/>
    <n v="55"/>
    <x v="0"/>
    <x v="0"/>
    <x v="0"/>
    <x v="0"/>
    <m/>
  </r>
  <r>
    <x v="9"/>
    <x v="89"/>
    <x v="80"/>
    <x v="36"/>
    <s v="Sotsiaalne kaitse"/>
    <s v="Sotsiaalosakond"/>
    <s v="Keila SOS lastekodu täiendav toetus"/>
    <n v="800"/>
    <m/>
    <x v="23"/>
    <s v="Sihtotstarbelised eraldised muudele residentidele"/>
    <n v="4500"/>
    <x v="1"/>
    <x v="1"/>
    <x v="11"/>
    <x v="0"/>
    <m/>
  </r>
  <r>
    <x v="9"/>
    <x v="89"/>
    <x v="80"/>
    <x v="36"/>
    <s v="Sotsiaalne kaitse"/>
    <s v="Sotsiaalosakond"/>
    <s v="Sõidukompensatsioon + Porkuni leping"/>
    <n v="2820"/>
    <m/>
    <x v="37"/>
    <s v="Sotsiaalteenused"/>
    <n v="55"/>
    <x v="0"/>
    <x v="0"/>
    <x v="0"/>
    <x v="0"/>
    <m/>
  </r>
  <r>
    <x v="9"/>
    <x v="89"/>
    <x v="80"/>
    <x v="36"/>
    <s v="Sotsiaalne kaitse"/>
    <s v="Sotsiaalosakond"/>
    <s v="L-Viru Suurte perede Ühendus"/>
    <n v="3000"/>
    <m/>
    <x v="28"/>
    <s v="Sihtotstarbelised eraldised jooksvateks kuludeks"/>
    <n v="4500"/>
    <x v="1"/>
    <x v="1"/>
    <x v="11"/>
    <x v="0"/>
    <m/>
  </r>
  <r>
    <x v="9"/>
    <x v="89"/>
    <x v="80"/>
    <x v="36"/>
    <s v="Sotsiaalne kaitse"/>
    <s v="Sotsiaalosakond"/>
    <s v="Vinni Perekodu "/>
    <n v="4000"/>
    <m/>
    <x v="37"/>
    <s v="Sotsiaalteenused"/>
    <n v="55"/>
    <x v="0"/>
    <x v="0"/>
    <x v="0"/>
    <x v="0"/>
    <m/>
  </r>
  <r>
    <x v="9"/>
    <x v="89"/>
    <x v="80"/>
    <x v="36"/>
    <s v="Sotsiaalne kaitse"/>
    <s v="Sotsiaalosakond"/>
    <s v="Tõlgiteenus"/>
    <n v="1000"/>
    <m/>
    <x v="37"/>
    <s v="Sotsiaalteenused"/>
    <n v="55"/>
    <x v="0"/>
    <x v="0"/>
    <x v="0"/>
    <x v="0"/>
    <m/>
  </r>
  <r>
    <x v="9"/>
    <x v="89"/>
    <x v="80"/>
    <x v="36"/>
    <s v="Sotsiaalne kaitse"/>
    <s v="Sotsiaalosakond"/>
    <s v="Asenduskodu+turvakoduteenus"/>
    <n v="1000"/>
    <m/>
    <x v="40"/>
    <s v="Muud sotsiaalabitoetused ja hüvitised"/>
    <n v="413"/>
    <x v="10"/>
    <x v="1"/>
    <x v="14"/>
    <x v="0"/>
    <m/>
  </r>
  <r>
    <x v="9"/>
    <x v="89"/>
    <x v="80"/>
    <x v="36"/>
    <s v="Sotsiaalne kaitse"/>
    <s v="Sotsiaalosakond"/>
    <s v="Asendus- ja järelhooldus-teenuse toetus"/>
    <n v="151700"/>
    <s v="Toetusfond"/>
    <x v="37"/>
    <s v="Sotsiaalteenused"/>
    <n v="55"/>
    <x v="0"/>
    <x v="0"/>
    <x v="0"/>
    <x v="0"/>
    <m/>
  </r>
  <r>
    <x v="9"/>
    <x v="89"/>
    <x v="80"/>
    <x v="36"/>
    <s v="Sotsiaalne kaitse"/>
    <s v="Sotsiaalosakond"/>
    <s v="Toetusfond"/>
    <n v="-151700"/>
    <s v="Asendus- ja järelhooldus-teenuse toetus"/>
    <x v="15"/>
    <s v="Toetusfond"/>
    <n v="35201"/>
    <x v="4"/>
    <x v="4"/>
    <x v="5"/>
    <x v="1"/>
    <m/>
  </r>
  <r>
    <x v="9"/>
    <x v="90"/>
    <x v="85"/>
    <x v="37"/>
    <s v="Sotsiaalne kaitse"/>
    <s v="Sotsiaalosakond"/>
    <s v="Matusetoetus"/>
    <n v="26000"/>
    <s v="valla poolne finantseering"/>
    <x v="41"/>
    <s v="Matusetoetus"/>
    <n v="413"/>
    <x v="10"/>
    <x v="1"/>
    <x v="14"/>
    <x v="0"/>
    <m/>
  </r>
  <r>
    <x v="9"/>
    <x v="90"/>
    <x v="85"/>
    <x v="37"/>
    <s v="Sotsiaalne kaitse"/>
    <s v="Sotsiaalosakond"/>
    <s v="Matusetoetus"/>
    <n v="22403"/>
    <s v="Toetusfond"/>
    <x v="41"/>
    <s v="Matusetoetus"/>
    <n v="413"/>
    <x v="10"/>
    <x v="1"/>
    <x v="14"/>
    <x v="0"/>
    <m/>
  </r>
  <r>
    <x v="9"/>
    <x v="90"/>
    <x v="85"/>
    <x v="37"/>
    <s v="Sotsiaalne kaitse"/>
    <s v="Sotsiaalosakond"/>
    <s v="Toetusfond"/>
    <n v="-22403"/>
    <s v="matusetoetus"/>
    <x v="15"/>
    <s v="Toetusfond"/>
    <n v="35201"/>
    <x v="4"/>
    <x v="4"/>
    <x v="5"/>
    <x v="1"/>
    <m/>
  </r>
  <r>
    <x v="9"/>
    <x v="91"/>
    <x v="86"/>
    <x v="37"/>
    <s v="Sotsiaalne kaitse"/>
    <s v="Sotsiaalosakond"/>
    <s v="Ranitsatoetus"/>
    <n v="9100"/>
    <m/>
    <x v="42"/>
    <s v="Muud peretoetused"/>
    <n v="413"/>
    <x v="10"/>
    <x v="1"/>
    <x v="14"/>
    <x v="0"/>
    <m/>
  </r>
  <r>
    <x v="9"/>
    <x v="91"/>
    <x v="86"/>
    <x v="37"/>
    <s v="Sotsiaalne kaitse"/>
    <s v="Sotsiaalosakond"/>
    <s v="Ühekorded toetused + perede koolituse toetus"/>
    <n v="21000"/>
    <m/>
    <x v="42"/>
    <s v="Muud peretoetused"/>
    <n v="413"/>
    <x v="10"/>
    <x v="1"/>
    <x v="14"/>
    <x v="0"/>
    <m/>
  </r>
  <r>
    <x v="9"/>
    <x v="91"/>
    <x v="86"/>
    <x v="37"/>
    <s v="Sotsiaalne kaitse"/>
    <s v="Sotsiaalosakond"/>
    <s v="Prillid"/>
    <n v="3000"/>
    <m/>
    <x v="42"/>
    <s v="Muud peretoetused"/>
    <n v="413"/>
    <x v="10"/>
    <x v="1"/>
    <x v="14"/>
    <x v="0"/>
    <m/>
  </r>
  <r>
    <x v="9"/>
    <x v="91"/>
    <x v="86"/>
    <x v="37"/>
    <s v="Sotsiaalne kaitse"/>
    <s v="Sotsiaalosakond"/>
    <s v="Täiendav perede toetus 3 ja enama lapse puhul"/>
    <n v="15000"/>
    <m/>
    <x v="42"/>
    <s v="Muud peretoetused"/>
    <n v="413"/>
    <x v="10"/>
    <x v="1"/>
    <x v="14"/>
    <x v="0"/>
    <m/>
  </r>
  <r>
    <x v="9"/>
    <x v="92"/>
    <x v="87"/>
    <x v="37"/>
    <s v="Sotsiaalne kaitse"/>
    <s v="Sotsiaalosakond"/>
    <s v="tervisega seotud kulutused"/>
    <n v="2500"/>
    <m/>
    <x v="42"/>
    <s v="Muud peretoetused"/>
    <n v="413"/>
    <x v="10"/>
    <x v="1"/>
    <x v="14"/>
    <x v="0"/>
    <m/>
  </r>
  <r>
    <x v="9"/>
    <x v="93"/>
    <x v="88"/>
    <x v="37"/>
    <s v="Sotsiaalne kaitse"/>
    <s v="Sotsiaalosakond"/>
    <s v="Sünnitoetus  "/>
    <n v="40000"/>
    <m/>
    <x v="43"/>
    <s v="Sünnitoetus"/>
    <n v="413"/>
    <x v="10"/>
    <x v="1"/>
    <x v="14"/>
    <x v="0"/>
    <m/>
  </r>
  <r>
    <x v="9"/>
    <x v="93"/>
    <x v="88"/>
    <x v="37"/>
    <s v="Sotsiaalne kaitse"/>
    <s v="Sotsiaalosakond"/>
    <s v="Lusikapidu ja karud"/>
    <n v="5600"/>
    <m/>
    <x v="42"/>
    <s v="Muud peretoetused"/>
    <n v="413"/>
    <x v="10"/>
    <x v="1"/>
    <x v="14"/>
    <x v="0"/>
    <m/>
  </r>
  <r>
    <x v="9"/>
    <x v="94"/>
    <x v="89"/>
    <x v="37"/>
    <s v="Sotsiaalne kaitse"/>
    <s v="Sotsiaalosakond"/>
    <s v="Hoolduspere toetus (tugiisik)"/>
    <n v="11200"/>
    <m/>
    <x v="42"/>
    <s v="Muud peretoetused"/>
    <n v="413"/>
    <x v="10"/>
    <x v="1"/>
    <x v="14"/>
    <x v="0"/>
    <m/>
  </r>
  <r>
    <x v="9"/>
    <x v="94"/>
    <x v="89"/>
    <x v="37"/>
    <s v="Sotsiaalne kaitse"/>
    <s v="Sotsiaalosakond"/>
    <s v="Tugiisiku teenus"/>
    <n v="2400"/>
    <s v="200x12 Mari-Liisa"/>
    <x v="42"/>
    <s v="Muud peretoetused"/>
    <n v="413"/>
    <x v="10"/>
    <x v="1"/>
    <x v="14"/>
    <x v="0"/>
    <m/>
  </r>
  <r>
    <x v="9"/>
    <x v="95"/>
    <x v="90"/>
    <x v="37"/>
    <s v="Sotsiaalne kaitse"/>
    <s v="Sotsiaalosakond"/>
    <s v="Laagritoetus"/>
    <n v="1760"/>
    <s v="16 x 110 madala sissetulekuga pere last"/>
    <x v="42"/>
    <s v="Muud peretoetused"/>
    <n v="413"/>
    <x v="10"/>
    <x v="1"/>
    <x v="14"/>
    <x v="0"/>
    <m/>
  </r>
  <r>
    <x v="9"/>
    <x v="95"/>
    <x v="90"/>
    <x v="37"/>
    <s v="Sotsiaalne kaitse"/>
    <s v="Sotsiaalosakond"/>
    <s v="Toetus toidule (koolid, lasteaiad), ühiselamu üür"/>
    <n v="400"/>
    <m/>
    <x v="42"/>
    <s v="Muud peretoetused"/>
    <n v="413"/>
    <x v="10"/>
    <x v="1"/>
    <x v="14"/>
    <x v="0"/>
    <m/>
  </r>
  <r>
    <x v="9"/>
    <x v="95"/>
    <x v="90"/>
    <x v="37"/>
    <s v="Sotsiaalne kaitse"/>
    <s v="Sotsiaalosakond"/>
    <s v="Muud toetused (kriisit.teenuse ost)"/>
    <n v="2400"/>
    <s v="3 last"/>
    <x v="42"/>
    <s v="Muud peretoetused"/>
    <n v="413"/>
    <x v="10"/>
    <x v="1"/>
    <x v="14"/>
    <x v="0"/>
    <m/>
  </r>
  <r>
    <x v="9"/>
    <x v="95"/>
    <x v="90"/>
    <x v="37"/>
    <s v="Sotsiaalne kaitse"/>
    <s v="Sotsiaalosakond"/>
    <s v="Projektis osalemine a la &quot;Imelised aastad.....&quot;"/>
    <n v="2800"/>
    <m/>
    <x v="42"/>
    <s v="Muud peretoetused"/>
    <n v="413"/>
    <x v="10"/>
    <x v="1"/>
    <x v="14"/>
    <x v="0"/>
    <m/>
  </r>
  <r>
    <x v="9"/>
    <x v="95"/>
    <x v="90"/>
    <x v="37"/>
    <s v="Sotsiaalne kaitse"/>
    <s v="Sotsiaalosakond"/>
    <s v="Projektis osalemine &quot;Kunstilaager...&quot;"/>
    <n v="800"/>
    <m/>
    <x v="42"/>
    <s v="Muud peretoetused"/>
    <n v="413"/>
    <x v="10"/>
    <x v="1"/>
    <x v="14"/>
    <x v="0"/>
    <m/>
  </r>
  <r>
    <x v="9"/>
    <x v="95"/>
    <x v="90"/>
    <x v="37"/>
    <s v="Sotsiaalne kaitse"/>
    <s v="Sotsiaalosakond"/>
    <s v="Noortemajadele, õpilaskodule"/>
    <n v="600"/>
    <m/>
    <x v="37"/>
    <s v="Sotsiaalteenused"/>
    <n v="55"/>
    <x v="0"/>
    <x v="0"/>
    <x v="0"/>
    <x v="0"/>
    <m/>
  </r>
  <r>
    <x v="9"/>
    <x v="95"/>
    <x v="90"/>
    <x v="37"/>
    <s v="Sotsiaalne kaitse"/>
    <s v="Sotsiaalosakond"/>
    <s v="laste kommipakid"/>
    <n v="8000"/>
    <m/>
    <x v="22"/>
    <s v="Kommunikatsiooni-, kultuuri- ja vaba aja sisustamise kulud"/>
    <n v="55"/>
    <x v="0"/>
    <x v="0"/>
    <x v="0"/>
    <x v="0"/>
    <m/>
  </r>
  <r>
    <x v="9"/>
    <x v="95"/>
    <x v="90"/>
    <x v="37"/>
    <s v="Sotsiaalne kaitse"/>
    <s v="Sotsiaalosakond"/>
    <s v="Lääne-Virumaa Suurte Perede ühenduse toetamine"/>
    <n v="600"/>
    <m/>
    <x v="28"/>
    <s v="Sihtotstarbelised eraldised jooksvateks kuludeks"/>
    <n v="4500"/>
    <x v="1"/>
    <x v="1"/>
    <x v="11"/>
    <x v="0"/>
    <m/>
  </r>
  <r>
    <x v="9"/>
    <x v="95"/>
    <x v="90"/>
    <x v="37"/>
    <s v="Sotsiaalne kaitse"/>
    <s v="Sotsiaalosakond"/>
    <s v="Porkuni kool"/>
    <n v="3000"/>
    <m/>
    <x v="42"/>
    <s v="Muud peretoetused"/>
    <n v="413"/>
    <x v="10"/>
    <x v="1"/>
    <x v="14"/>
    <x v="0"/>
    <m/>
  </r>
  <r>
    <x v="9"/>
    <x v="96"/>
    <x v="91"/>
    <x v="38"/>
    <s v="Sotsiaalne kaitse"/>
    <s v="Sotsiaalosakond"/>
    <s v="Muud toetused töötutele (ühekordsed toetused)"/>
    <n v="3000"/>
    <m/>
    <x v="44"/>
    <s v="Muud toetused töötutele"/>
    <n v="413"/>
    <x v="10"/>
    <x v="1"/>
    <x v="14"/>
    <x v="0"/>
    <m/>
  </r>
  <r>
    <x v="9"/>
    <x v="96"/>
    <x v="91"/>
    <x v="38"/>
    <s v="Sotsiaalne kaitse"/>
    <s v="Sotsiaalosakond"/>
    <s v="Töötute sotsiaalne kaitse (töötamine)"/>
    <n v="1200"/>
    <m/>
    <x v="44"/>
    <s v="Muud toetused töötutele"/>
    <n v="413"/>
    <x v="10"/>
    <x v="1"/>
    <x v="14"/>
    <x v="0"/>
    <m/>
  </r>
  <r>
    <x v="9"/>
    <x v="96"/>
    <x v="91"/>
    <x v="38"/>
    <s v="Sotsiaalne kaitse"/>
    <s v="Sotsiaalosakond"/>
    <s v="Ravikindlustuseta kindlustamata isikud"/>
    <n v="1200"/>
    <m/>
    <x v="44"/>
    <s v="Muud toetused töötutele"/>
    <n v="413"/>
    <x v="10"/>
    <x v="1"/>
    <x v="14"/>
    <x v="0"/>
    <m/>
  </r>
  <r>
    <x v="9"/>
    <x v="97"/>
    <x v="92"/>
    <x v="39"/>
    <s v="Sotsiaalne kaitse"/>
    <s v="Sotsiaalosakond"/>
    <s v="Küttetoetus"/>
    <n v="16000"/>
    <m/>
    <x v="40"/>
    <s v="Muud sotsiaalabitoetused ja hüvitised"/>
    <n v="413"/>
    <x v="10"/>
    <x v="1"/>
    <x v="14"/>
    <x v="0"/>
    <m/>
  </r>
  <r>
    <x v="9"/>
    <x v="97"/>
    <x v="92"/>
    <x v="39"/>
    <s v="Sotsiaalne kaitse"/>
    <s v="Sotsiaalosakond"/>
    <s v="Sotsiaalkorterite remont"/>
    <n v="18385"/>
    <m/>
    <x v="4"/>
    <s v="Kinnistute, hoonete ja ruumide majandamiskulud"/>
    <n v="55"/>
    <x v="0"/>
    <x v="0"/>
    <x v="0"/>
    <x v="0"/>
    <m/>
  </r>
  <r>
    <x v="9"/>
    <x v="98"/>
    <x v="93"/>
    <x v="40"/>
    <s v="Sotsiaalne kaitse"/>
    <s v="Sotsiaalosakond"/>
    <s v="Toimetulekutoetus"/>
    <n v="70350"/>
    <s v="Toetusfond"/>
    <x v="45"/>
    <s v="Toimetulekutoetus ja täiendavad sotsiaaltoetused"/>
    <n v="413"/>
    <x v="10"/>
    <x v="1"/>
    <x v="14"/>
    <x v="0"/>
    <m/>
  </r>
  <r>
    <x v="9"/>
    <x v="98"/>
    <x v="93"/>
    <x v="40"/>
    <s v="Sotsiaalne kaitse"/>
    <s v="Sotsiaalosakond"/>
    <s v="Toetusfond"/>
    <n v="-70350"/>
    <s v="toimetulekutoetus"/>
    <x v="15"/>
    <s v="Toetusfond"/>
    <n v="35201"/>
    <x v="4"/>
    <x v="4"/>
    <x v="5"/>
    <x v="1"/>
    <m/>
  </r>
  <r>
    <x v="9"/>
    <x v="99"/>
    <x v="94"/>
    <x v="41"/>
    <s v="Sotsiaalne kaitse"/>
    <s v="Sotsiaalosakond"/>
    <s v="Vältimatu sotsiaalabi"/>
    <n v="2000"/>
    <m/>
    <x v="40"/>
    <s v="Muud sotsiaalabitoetused ja hüvitised"/>
    <n v="413"/>
    <x v="10"/>
    <x v="1"/>
    <x v="14"/>
    <x v="0"/>
    <m/>
  </r>
  <r>
    <x v="9"/>
    <x v="99"/>
    <x v="94"/>
    <x v="41"/>
    <s v="Sotsiaalne kaitse"/>
    <s v="Sotsiaalosakond"/>
    <s v="Erakorraline toetus"/>
    <n v="20000"/>
    <m/>
    <x v="40"/>
    <s v="Muud sotsiaalabitoetused ja hüvitised"/>
    <n v="413"/>
    <x v="10"/>
    <x v="1"/>
    <x v="14"/>
    <x v="0"/>
    <m/>
  </r>
  <r>
    <x v="9"/>
    <x v="99"/>
    <x v="94"/>
    <x v="41"/>
    <s v="Sotsiaalne kaitse"/>
    <s v="Sotsiaalosakond"/>
    <s v="Rakvere Kodutute Varjupaik - teenuse ost"/>
    <n v="800"/>
    <m/>
    <x v="40"/>
    <s v="Muud sotsiaalabitoetused ja hüvitised"/>
    <n v="413"/>
    <x v="10"/>
    <x v="1"/>
    <x v="14"/>
    <x v="0"/>
    <m/>
  </r>
  <r>
    <x v="9"/>
    <x v="99"/>
    <x v="94"/>
    <x v="41"/>
    <s v="Sotsiaalne kaitse"/>
    <s v="Sotsiaalosakond"/>
    <s v="Varjupaik + Naiste Varjupaik"/>
    <n v="3000"/>
    <m/>
    <x v="40"/>
    <s v="Muud sotsiaalabitoetused ja hüvitised"/>
    <n v="413"/>
    <x v="10"/>
    <x v="1"/>
    <x v="14"/>
    <x v="0"/>
    <m/>
  </r>
  <r>
    <x v="9"/>
    <x v="99"/>
    <x v="94"/>
    <x v="41"/>
    <s v="Sotsiaalne kaitse"/>
    <s v="Sotsiaalosakond"/>
    <s v="Kauplusauto"/>
    <n v="7440"/>
    <s v="VKK Kaubandus; "/>
    <x v="40"/>
    <s v="Muud sotsiaalabitoetused ja hüvitised"/>
    <n v="413"/>
    <x v="10"/>
    <x v="1"/>
    <x v="14"/>
    <x v="0"/>
    <m/>
  </r>
  <r>
    <x v="9"/>
    <x v="99"/>
    <x v="94"/>
    <x v="41"/>
    <s v="Sotsiaalne kaitse"/>
    <s v="Arendusnõunik"/>
    <s v="Ulvi teeninduskeskuse / arstipunkti soojustamine"/>
    <n v="5000"/>
    <m/>
    <x v="12"/>
    <s v="Rajatiste ja hoonete soetamine ja renoveerimine"/>
    <n v="15"/>
    <x v="3"/>
    <x v="3"/>
    <x v="3"/>
    <x v="2"/>
    <m/>
  </r>
  <r>
    <x v="9"/>
    <x v="100"/>
    <x v="95"/>
    <x v="42"/>
    <s v="Sotsiaalne kaitse"/>
    <s v="Sotsiaalosakond"/>
    <s v="Sotsiaali autode kulud+kompensatsioon"/>
    <n v="18500"/>
    <s v="kütus, liising, hooldused, kindlustus"/>
    <x v="3"/>
    <s v="Sõidukite ülalpidamise kulud"/>
    <n v="55"/>
    <x v="0"/>
    <x v="0"/>
    <x v="0"/>
    <x v="0"/>
    <m/>
  </r>
  <r>
    <x v="9"/>
    <x v="100"/>
    <x v="95"/>
    <x v="42"/>
    <s v="Sotsiaalne kaitse"/>
    <s v="Sotsiaalosakond"/>
    <s v="Mobiiltelefoni kulu "/>
    <n v="816"/>
    <m/>
    <x v="0"/>
    <s v="Administreerimiskulud"/>
    <n v="55"/>
    <x v="0"/>
    <x v="0"/>
    <x v="0"/>
    <x v="0"/>
    <m/>
  </r>
  <r>
    <x v="9"/>
    <x v="100"/>
    <x v="95"/>
    <x v="42"/>
    <s v="Sotsiaalne kaitse"/>
    <s v="Sotsiaalosakond"/>
    <s v="Koolituskulud"/>
    <n v="1500"/>
    <m/>
    <x v="2"/>
    <s v="Koolituskulud"/>
    <n v="55"/>
    <x v="0"/>
    <x v="0"/>
    <x v="0"/>
    <x v="0"/>
    <m/>
  </r>
  <r>
    <x v="9"/>
    <x v="100"/>
    <x v="95"/>
    <x v="42"/>
    <s v="Sotsiaalne kaitse"/>
    <s v="Sotsiaalosakond"/>
    <s v="Inventar"/>
    <n v="300"/>
    <m/>
    <x v="8"/>
    <s v="Inventari kulud, v.a infotehnoloogia ja kaitseotstarbelised kulud"/>
    <n v="55"/>
    <x v="0"/>
    <x v="0"/>
    <x v="0"/>
    <x v="0"/>
    <m/>
  </r>
  <r>
    <x v="9"/>
    <x v="100"/>
    <x v="95"/>
    <x v="42"/>
    <s v="Sotsiaalne kaitse"/>
    <s v="Sotsiaalosakond"/>
    <s v="Riigilõiv (20 in eestkoste vormistamiseks)"/>
    <n v="1000"/>
    <s v="+ lisatud MTÜ Eestkoste teenused riigilõiv 50€/kuu"/>
    <x v="26"/>
    <s v="Maksu-, riigilõivu- ja trahvikulud"/>
    <n v="60"/>
    <x v="5"/>
    <x v="0"/>
    <x v="6"/>
    <x v="0"/>
    <m/>
  </r>
  <r>
    <x v="9"/>
    <x v="100"/>
    <x v="95"/>
    <x v="42"/>
    <s v="Sotsiaalne kaitse"/>
    <s v="Sotsiaalosakond"/>
    <s v="Projektides osalemised"/>
    <n v="2000"/>
    <m/>
    <x v="28"/>
    <s v="Sihtotstarbelised eraldised jooksvateks kuludeks"/>
    <n v="4500"/>
    <x v="1"/>
    <x v="1"/>
    <x v="11"/>
    <x v="0"/>
    <m/>
  </r>
  <r>
    <x v="9"/>
    <x v="100"/>
    <x v="95"/>
    <x v="42"/>
    <s v="Sotsiaalne kaitse"/>
    <s v="Sotsiaalosakond"/>
    <s v="Spordikulude hüvitamine"/>
    <n v="1600"/>
    <m/>
    <x v="1"/>
    <s v="Mitmesugused majanduskulud"/>
    <n v="55"/>
    <x v="0"/>
    <x v="0"/>
    <x v="0"/>
    <x v="0"/>
    <m/>
  </r>
  <r>
    <x v="9"/>
    <x v="100"/>
    <x v="95"/>
    <x v="42"/>
    <s v="Sotsiaalne kaitse"/>
    <s v="Sotsiaalosakond"/>
    <s v="IT vahendid"/>
    <n v="300"/>
    <m/>
    <x v="5"/>
    <s v="Info- ja kommunikatsioonitehnoliigised kulud"/>
    <n v="55"/>
    <x v="0"/>
    <x v="0"/>
    <x v="0"/>
    <x v="0"/>
    <m/>
  </r>
  <r>
    <x v="9"/>
    <x v="100"/>
    <x v="95"/>
    <x v="42"/>
    <s v="Sotsiaalne kaitse"/>
    <s v="Sotsiaalosakond"/>
    <s v="Kingitused valdkonna asutustele"/>
    <n v="1000"/>
    <m/>
    <x v="0"/>
    <s v="Administreerimiskulud"/>
    <n v="55"/>
    <x v="0"/>
    <x v="0"/>
    <x v="0"/>
    <x v="0"/>
    <m/>
  </r>
  <r>
    <x v="1"/>
    <x v="2"/>
    <x v="2"/>
    <x v="2"/>
    <s v="Haridus"/>
    <s v="Haridusnõunik"/>
    <s v="Koolieelsete lasteasutuste õpetajate tööjõukulude toetus"/>
    <n v="-83233"/>
    <m/>
    <x v="15"/>
    <s v="Toetusfond"/>
    <n v="35201"/>
    <x v="4"/>
    <x v="4"/>
    <x v="5"/>
    <x v="1"/>
    <m/>
  </r>
  <r>
    <x v="0"/>
    <x v="1"/>
    <x v="1"/>
    <x v="1"/>
    <s v="Üldised valitsussektori teenused"/>
    <s v="Kantselei"/>
    <s v="Rahvastikutoimingute kulude hüvitis"/>
    <n v="-988"/>
    <m/>
    <x v="15"/>
    <s v="Toetusfond"/>
    <n v="35201"/>
    <x v="4"/>
    <x v="4"/>
    <x v="5"/>
    <x v="1"/>
    <m/>
  </r>
  <r>
    <x v="1"/>
    <x v="55"/>
    <x v="55"/>
    <x v="25"/>
    <s v="Haridus"/>
    <s v="Kulina lasteaed"/>
    <s v="2019.a investeering lasteaia reovesi"/>
    <n v="1958.4"/>
    <s v="järelvalve"/>
    <x v="12"/>
    <s v="Rajatiste ja hoonete soetamine ja renoveerimine"/>
    <n v="15"/>
    <x v="3"/>
    <x v="3"/>
    <x v="3"/>
    <x v="2"/>
    <m/>
  </r>
  <r>
    <x v="1"/>
    <x v="55"/>
    <x v="55"/>
    <x v="25"/>
    <s v="Haridus"/>
    <s v="Kulina lasteaed"/>
    <s v="2019.a investeering lasteaia reovesi"/>
    <n v="13248"/>
    <s v="investeering"/>
    <x v="12"/>
    <s v="Rajatiste ja hoonete soetamine ja renoveerimine"/>
    <n v="15"/>
    <x v="3"/>
    <x v="3"/>
    <x v="3"/>
    <x v="2"/>
    <m/>
  </r>
  <r>
    <x v="1"/>
    <x v="61"/>
    <x v="61"/>
    <x v="26"/>
    <s v="Haridus"/>
    <s v="Laekvere õppehoone"/>
    <s v="Laekvere Põhikooli dušši- ja riietusruumide ehitamine"/>
    <n v="6000"/>
    <m/>
    <x v="4"/>
    <s v="Kinnistute, hoonete ja ruumide majandamiskulud"/>
    <n v="55"/>
    <x v="0"/>
    <x v="0"/>
    <x v="0"/>
    <x v="0"/>
    <m/>
  </r>
  <r>
    <x v="1"/>
    <x v="61"/>
    <x v="61"/>
    <x v="26"/>
    <s v="Haridus"/>
    <s v="Laekvere õppehoone"/>
    <s v="Muuga-Laekvere koolile eraldatud katuseraha  Inventari soetamine"/>
    <n v="5000"/>
    <m/>
    <x v="30"/>
    <s v="Õppevahendid"/>
    <n v="55"/>
    <x v="0"/>
    <x v="0"/>
    <x v="0"/>
    <x v="0"/>
    <m/>
  </r>
  <r>
    <x v="9"/>
    <x v="89"/>
    <x v="80"/>
    <x v="36"/>
    <s v="Sotsiaalne kaitse"/>
    <s v="Sotsiaalosakond"/>
    <s v="Maria ja Lapsed MTÜ"/>
    <n v="2500"/>
    <m/>
    <x v="37"/>
    <s v="Sotsiaalteenused"/>
    <n v="55"/>
    <x v="0"/>
    <x v="0"/>
    <x v="0"/>
    <x v="0"/>
    <m/>
  </r>
  <r>
    <x v="9"/>
    <x v="98"/>
    <x v="93"/>
    <x v="40"/>
    <s v="Sotsiaalne kaitse"/>
    <s v="Sotsiaalosakond"/>
    <s v="Toimetulekutoetuse 2019.a jääk"/>
    <n v="6971"/>
    <m/>
    <x v="45"/>
    <s v="Toimetulekutoetus ja täiendavad sotsiaaltoetused"/>
    <n v="413"/>
    <x v="10"/>
    <x v="1"/>
    <x v="14"/>
    <x v="0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15">
  <r>
    <x v="0"/>
    <x v="0"/>
    <x v="0"/>
    <x v="0"/>
    <x v="0"/>
    <s v="Roela Raamatukogu"/>
    <s v="juhataja"/>
    <n v="1"/>
    <s v="in"/>
    <n v="762"/>
    <n v="762"/>
    <n v="12"/>
    <m/>
    <n v="9144"/>
    <n v="3090.672"/>
    <m/>
  </r>
  <r>
    <x v="1"/>
    <x v="1"/>
    <x v="1"/>
    <x v="1"/>
    <x v="1"/>
    <s v=" Roela kool"/>
    <s v="psüholoog"/>
    <n v="0.5"/>
    <m/>
    <n v="1250"/>
    <n v="625"/>
    <n v="5"/>
    <m/>
    <n v="3125"/>
    <n v="1056.25"/>
    <m/>
  </r>
  <r>
    <x v="1"/>
    <x v="1"/>
    <x v="1"/>
    <x v="1"/>
    <x v="1"/>
    <s v=" Roela kool"/>
    <s v="eripedagoog/logopeed"/>
    <n v="0.32"/>
    <m/>
    <n v="1250"/>
    <n v="400"/>
    <n v="12"/>
    <m/>
    <n v="4800"/>
    <n v="1622.4"/>
    <m/>
  </r>
  <r>
    <x v="1"/>
    <x v="1"/>
    <x v="1"/>
    <x v="1"/>
    <x v="1"/>
    <s v=" Roela kool"/>
    <s v="huvijuht"/>
    <n v="0.5"/>
    <m/>
    <n v="998"/>
    <n v="499"/>
    <n v="12"/>
    <m/>
    <n v="5988"/>
    <n v="2023.9440000000002"/>
    <m/>
  </r>
  <r>
    <x v="1"/>
    <x v="1"/>
    <x v="1"/>
    <x v="1"/>
    <x v="1"/>
    <s v=" Roela kool"/>
    <s v="juhiabi/majandusjuht"/>
    <n v="1"/>
    <m/>
    <n v="951"/>
    <n v="951"/>
    <n v="12"/>
    <m/>
    <n v="11412"/>
    <n v="3857.2560000000003"/>
    <m/>
  </r>
  <r>
    <x v="1"/>
    <x v="1"/>
    <x v="1"/>
    <x v="1"/>
    <x v="1"/>
    <s v=" Roela kool"/>
    <s v="ringijuhid "/>
    <n v="1.2"/>
    <m/>
    <n v="704"/>
    <n v="844.8"/>
    <n v="10"/>
    <m/>
    <n v="8448"/>
    <n v="2855.424"/>
    <m/>
  </r>
  <r>
    <x v="1"/>
    <x v="1"/>
    <x v="1"/>
    <x v="1"/>
    <x v="1"/>
    <s v=" Roela kool"/>
    <s v="pikapäevarühma kasvatajad "/>
    <n v="0.45"/>
    <m/>
    <n v="704"/>
    <n v="316.8"/>
    <n v="10"/>
    <m/>
    <n v="3168"/>
    <n v="1070.7840000000001"/>
    <m/>
  </r>
  <r>
    <x v="1"/>
    <x v="2"/>
    <x v="2"/>
    <x v="2"/>
    <x v="1"/>
    <s v=" Roela kool"/>
    <s v="lasteaia abiõpetajad"/>
    <n v="1"/>
    <m/>
    <n v="660"/>
    <n v="660"/>
    <n v="12"/>
    <m/>
    <n v="7920"/>
    <n v="2676.96"/>
    <m/>
  </r>
  <r>
    <x v="1"/>
    <x v="2"/>
    <x v="2"/>
    <x v="2"/>
    <x v="1"/>
    <s v=" Roela kool"/>
    <s v="lasteaia abiõpetajad"/>
    <n v="1"/>
    <m/>
    <n v="758"/>
    <n v="758"/>
    <n v="12"/>
    <m/>
    <n v="9096"/>
    <n v="3074.4480000000003"/>
    <m/>
  </r>
  <r>
    <x v="1"/>
    <x v="2"/>
    <x v="2"/>
    <x v="2"/>
    <x v="1"/>
    <s v=" Roela kool"/>
    <s v="lasteaia õpetajad"/>
    <n v="3.39"/>
    <m/>
    <n v="1315"/>
    <n v="4457.8500000000004"/>
    <n v="12"/>
    <m/>
    <n v="53494.200000000004"/>
    <n v="18081.039600000004"/>
    <m/>
  </r>
  <r>
    <x v="1"/>
    <x v="2"/>
    <x v="2"/>
    <x v="2"/>
    <x v="1"/>
    <s v=" Roela kool"/>
    <s v="LA logopeed"/>
    <n v="0.15"/>
    <m/>
    <n v="1315"/>
    <n v="197.25"/>
    <n v="12"/>
    <m/>
    <n v="2367"/>
    <n v="800.04600000000005"/>
    <m/>
  </r>
  <r>
    <x v="1"/>
    <x v="2"/>
    <x v="2"/>
    <x v="2"/>
    <x v="1"/>
    <s v=" Roela kool"/>
    <s v="LA muusikaõpetaja"/>
    <n v="0.25"/>
    <m/>
    <n v="1315"/>
    <n v="328.75"/>
    <n v="12"/>
    <m/>
    <n v="3945"/>
    <n v="1333.41"/>
    <m/>
  </r>
  <r>
    <x v="1"/>
    <x v="2"/>
    <x v="2"/>
    <x v="2"/>
    <x v="1"/>
    <s v=" Roela kool"/>
    <s v="LA liikumisõpetaja"/>
    <n v="0.15"/>
    <m/>
    <n v="1315"/>
    <n v="197.25"/>
    <n v="12"/>
    <m/>
    <n v="2367"/>
    <n v="800.04600000000005"/>
    <m/>
  </r>
  <r>
    <x v="1"/>
    <x v="2"/>
    <x v="2"/>
    <x v="2"/>
    <x v="1"/>
    <s v=" Roela kool"/>
    <s v="lasteaia abitööline"/>
    <n v="0.5"/>
    <m/>
    <n v="584"/>
    <n v="292"/>
    <n v="12"/>
    <m/>
    <n v="3504"/>
    <n v="1184.3520000000001"/>
    <m/>
  </r>
  <r>
    <x v="1"/>
    <x v="1"/>
    <x v="1"/>
    <x v="1"/>
    <x v="1"/>
    <s v=" Roela kool"/>
    <s v="majahoidja"/>
    <n v="0.6"/>
    <m/>
    <n v="584"/>
    <n v="350.4"/>
    <n v="12"/>
    <m/>
    <n v="4204.7999999999993"/>
    <n v="1421.2223999999999"/>
    <m/>
  </r>
  <r>
    <x v="1"/>
    <x v="1"/>
    <x v="1"/>
    <x v="1"/>
    <x v="1"/>
    <s v=" Roela kool"/>
    <s v="abitööline"/>
    <n v="0.5"/>
    <m/>
    <n v="584"/>
    <n v="292"/>
    <n v="12"/>
    <m/>
    <n v="3504"/>
    <n v="1184.3520000000001"/>
    <m/>
  </r>
  <r>
    <x v="1"/>
    <x v="1"/>
    <x v="1"/>
    <x v="1"/>
    <x v="1"/>
    <s v=" Roela kool"/>
    <s v="remonditööline"/>
    <n v="1"/>
    <m/>
    <n v="584"/>
    <n v="584"/>
    <n v="12"/>
    <m/>
    <n v="7008"/>
    <n v="2368.7040000000002"/>
    <m/>
  </r>
  <r>
    <x v="1"/>
    <x v="1"/>
    <x v="1"/>
    <x v="1"/>
    <x v="1"/>
    <s v=" Roela kool"/>
    <s v="koristajad"/>
    <n v="4.4000000000000004"/>
    <m/>
    <n v="584"/>
    <n v="2569.6000000000004"/>
    <n v="12"/>
    <m/>
    <n v="30835.200000000004"/>
    <n v="10422.297600000002"/>
    <m/>
  </r>
  <r>
    <x v="1"/>
    <x v="1"/>
    <x v="1"/>
    <x v="1"/>
    <x v="1"/>
    <s v=" Roela kool"/>
    <s v="bussijuht"/>
    <n v="0.5"/>
    <m/>
    <n v="735"/>
    <n v="367.5"/>
    <n v="12"/>
    <n v="1800"/>
    <n v="6210"/>
    <n v="2098.98"/>
    <m/>
  </r>
  <r>
    <x v="1"/>
    <x v="1"/>
    <x v="1"/>
    <x v="1"/>
    <x v="1"/>
    <s v=" Roela kool"/>
    <s v="kokk"/>
    <n v="1"/>
    <m/>
    <n v="760"/>
    <n v="760"/>
    <n v="12"/>
    <m/>
    <n v="9120"/>
    <n v="3082.5600000000004"/>
    <m/>
  </r>
  <r>
    <x v="1"/>
    <x v="1"/>
    <x v="1"/>
    <x v="1"/>
    <x v="1"/>
    <s v=" Roela kool"/>
    <s v="ÕK toitlustamine (9 kuud)"/>
    <m/>
    <m/>
    <m/>
    <n v="0"/>
    <n v="12"/>
    <n v="576"/>
    <n v="576"/>
    <n v="194.68800000000002"/>
    <m/>
  </r>
  <r>
    <x v="1"/>
    <x v="1"/>
    <x v="1"/>
    <x v="1"/>
    <x v="1"/>
    <s v=" Roela kool"/>
    <s v="köögi abitööline"/>
    <n v="1"/>
    <m/>
    <n v="584"/>
    <n v="584"/>
    <n v="12"/>
    <m/>
    <n v="7008"/>
    <n v="2368.7040000000002"/>
    <m/>
  </r>
  <r>
    <x v="1"/>
    <x v="1"/>
    <x v="1"/>
    <x v="1"/>
    <x v="1"/>
    <s v=" Roela kool"/>
    <s v="ÕK toitlustamine (9 kuud)"/>
    <m/>
    <m/>
    <m/>
    <n v="0"/>
    <n v="12"/>
    <n v="117"/>
    <n v="117"/>
    <n v="39.545999999999999"/>
    <m/>
  </r>
  <r>
    <x v="2"/>
    <x v="3"/>
    <x v="3"/>
    <x v="3"/>
    <x v="2"/>
    <s v="Vinni Päevakeskus"/>
    <s v="perenaine"/>
    <n v="1"/>
    <m/>
    <n v="584"/>
    <n v="584"/>
    <n v="12"/>
    <m/>
    <n v="7008"/>
    <n v="2368.7040000000002"/>
    <m/>
  </r>
  <r>
    <x v="3"/>
    <x v="4"/>
    <x v="4"/>
    <x v="4"/>
    <x v="3"/>
    <s v="Finantsosakond"/>
    <s v="finantsjuht"/>
    <n v="1"/>
    <m/>
    <n v="2000"/>
    <n v="2000"/>
    <n v="12"/>
    <m/>
    <n v="24000"/>
    <n v="8112.0000000000009"/>
    <m/>
  </r>
  <r>
    <x v="3"/>
    <x v="4"/>
    <x v="4"/>
    <x v="4"/>
    <x v="3"/>
    <s v="Finantsosakond"/>
    <s v="pearaamatupidaja"/>
    <n v="1"/>
    <m/>
    <n v="1750"/>
    <n v="1750"/>
    <n v="12"/>
    <m/>
    <n v="21000"/>
    <n v="7098.0000000000009"/>
    <m/>
  </r>
  <r>
    <x v="3"/>
    <x v="4"/>
    <x v="4"/>
    <x v="4"/>
    <x v="3"/>
    <s v="Finantsosakond"/>
    <s v="raamatupidaja"/>
    <n v="2"/>
    <m/>
    <n v="1250"/>
    <n v="2500"/>
    <n v="12"/>
    <m/>
    <n v="30000"/>
    <n v="10140"/>
    <m/>
  </r>
  <r>
    <x v="0"/>
    <x v="5"/>
    <x v="5"/>
    <x v="5"/>
    <x v="0"/>
    <s v="Muuga Spordihoone"/>
    <s v="juhataja"/>
    <n v="1"/>
    <m/>
    <n v="700"/>
    <n v="700"/>
    <n v="12"/>
    <m/>
    <n v="8400"/>
    <n v="2839.2000000000003"/>
    <m/>
  </r>
  <r>
    <x v="0"/>
    <x v="5"/>
    <x v="5"/>
    <x v="5"/>
    <x v="0"/>
    <s v="Muuga Spordihoone"/>
    <s v="majahoidja"/>
    <n v="1"/>
    <m/>
    <n v="584"/>
    <n v="584"/>
    <n v="12"/>
    <m/>
    <n v="7008"/>
    <n v="2368.7040000000002"/>
    <m/>
  </r>
  <r>
    <x v="0"/>
    <x v="5"/>
    <x v="5"/>
    <x v="5"/>
    <x v="0"/>
    <s v="Muuga Spordihoone"/>
    <s v="Puhkuse asendamine juhatajal"/>
    <m/>
    <m/>
    <m/>
    <n v="0"/>
    <n v="1"/>
    <n v="360"/>
    <n v="360"/>
    <n v="121.68"/>
    <m/>
  </r>
  <r>
    <x v="0"/>
    <x v="5"/>
    <x v="5"/>
    <x v="5"/>
    <x v="0"/>
    <s v="Muuga Spordihoone"/>
    <s v="Puhkuse asendamine majahoidjal"/>
    <m/>
    <m/>
    <m/>
    <n v="0"/>
    <n v="1"/>
    <n v="215"/>
    <n v="215"/>
    <n v="72.67"/>
    <m/>
  </r>
  <r>
    <x v="0"/>
    <x v="6"/>
    <x v="6"/>
    <x v="0"/>
    <x v="0"/>
    <s v="Laekvere raamatukogu"/>
    <s v="direktor"/>
    <n v="1"/>
    <m/>
    <n v="966"/>
    <n v="966"/>
    <n v="12"/>
    <m/>
    <n v="11592"/>
    <n v="3918.0960000000005"/>
    <m/>
  </r>
  <r>
    <x v="0"/>
    <x v="6"/>
    <x v="6"/>
    <x v="0"/>
    <x v="0"/>
    <s v="Laekvere raamatukogu"/>
    <s v="raamatukoguhoidja"/>
    <n v="1"/>
    <m/>
    <n v="736"/>
    <n v="736"/>
    <n v="12"/>
    <m/>
    <n v="8832"/>
    <n v="2985.2160000000003"/>
    <m/>
  </r>
  <r>
    <x v="0"/>
    <x v="7"/>
    <x v="7"/>
    <x v="5"/>
    <x v="0"/>
    <s v="Arendusnõunik"/>
    <s v="Vinni staadioni hooldus 5 kuud a`6 €/h x 168 tundi"/>
    <n v="1"/>
    <m/>
    <n v="1008"/>
    <n v="1008"/>
    <n v="5"/>
    <m/>
    <n v="5040"/>
    <n v="1703.5200000000002"/>
    <m/>
  </r>
  <r>
    <x v="2"/>
    <x v="8"/>
    <x v="8"/>
    <x v="6"/>
    <x v="2"/>
    <s v="Sotsiaalosakond"/>
    <s v="Hooldustöötaja (Maalman) eakad"/>
    <n v="1"/>
    <m/>
    <n v="584"/>
    <n v="584"/>
    <n v="12"/>
    <m/>
    <n v="7008"/>
    <n v="2368.7040000000002"/>
    <m/>
  </r>
  <r>
    <x v="2"/>
    <x v="8"/>
    <x v="8"/>
    <x v="6"/>
    <x v="2"/>
    <s v="Sotsiaalosakond"/>
    <s v="Hooldustöötaja (asendus)"/>
    <n v="1"/>
    <m/>
    <n v="723"/>
    <n v="723"/>
    <n v="1"/>
    <m/>
    <n v="723"/>
    <n v="244.37400000000002"/>
    <m/>
  </r>
  <r>
    <x v="2"/>
    <x v="8"/>
    <x v="8"/>
    <x v="6"/>
    <x v="2"/>
    <s v="Sotsiaalosakond"/>
    <s v="Hooldustöötaja (Muldma)"/>
    <n v="1"/>
    <m/>
    <n v="600"/>
    <n v="600"/>
    <n v="12"/>
    <m/>
    <n v="7200"/>
    <n v="2433.6000000000004"/>
    <m/>
  </r>
  <r>
    <x v="2"/>
    <x v="8"/>
    <x v="8"/>
    <x v="6"/>
    <x v="2"/>
    <s v="Sotsiaalosakond"/>
    <s v="Hooldustöötaja (asendus)"/>
    <n v="1"/>
    <m/>
    <n v="803"/>
    <n v="803"/>
    <n v="1"/>
    <m/>
    <n v="803"/>
    <n v="271.41400000000004"/>
    <m/>
  </r>
  <r>
    <x v="2"/>
    <x v="8"/>
    <x v="8"/>
    <x v="6"/>
    <x v="2"/>
    <s v="Sotsiaalosakond"/>
    <s v="Hooldustöötaja (Anier)"/>
    <n v="1"/>
    <m/>
    <n v="630"/>
    <n v="630"/>
    <n v="12"/>
    <m/>
    <n v="7560"/>
    <n v="2555.2800000000002"/>
    <m/>
  </r>
  <r>
    <x v="2"/>
    <x v="8"/>
    <x v="8"/>
    <x v="6"/>
    <x v="2"/>
    <s v="Sotsiaalosakond"/>
    <s v="Hooldustöötaja (asendus)"/>
    <n v="1"/>
    <m/>
    <n v="977"/>
    <n v="977"/>
    <n v="1"/>
    <m/>
    <n v="977"/>
    <n v="330.226"/>
    <m/>
  </r>
  <r>
    <x v="2"/>
    <x v="9"/>
    <x v="9"/>
    <x v="7"/>
    <x v="2"/>
    <s v="Sotsiaalosakond"/>
    <s v="Sotsiaalteenistuse juhataja (palk)"/>
    <n v="1"/>
    <m/>
    <n v="2000"/>
    <n v="2000"/>
    <n v="12"/>
    <m/>
    <n v="24000"/>
    <n v="8112.0000000000009"/>
    <m/>
  </r>
  <r>
    <x v="2"/>
    <x v="9"/>
    <x v="9"/>
    <x v="7"/>
    <x v="2"/>
    <s v="Sotsiaalosakond"/>
    <s v="Sotsiaaltööspetsialist"/>
    <n v="2"/>
    <m/>
    <n v="1200"/>
    <n v="2400"/>
    <n v="12"/>
    <m/>
    <n v="28800"/>
    <n v="9734.4000000000015"/>
    <m/>
  </r>
  <r>
    <x v="2"/>
    <x v="9"/>
    <x v="9"/>
    <x v="7"/>
    <x v="2"/>
    <s v="Sotsiaalosakond"/>
    <s v="Sotsiaaltööspetsialist"/>
    <n v="1"/>
    <m/>
    <n v="1560"/>
    <n v="1560"/>
    <n v="12"/>
    <m/>
    <n v="18720"/>
    <n v="6327.3600000000006"/>
    <m/>
  </r>
  <r>
    <x v="2"/>
    <x v="9"/>
    <x v="9"/>
    <x v="7"/>
    <x v="2"/>
    <s v="Sotsiaalosakond"/>
    <s v="Lasteheaoluspetsialist "/>
    <n v="1"/>
    <m/>
    <n v="1560"/>
    <n v="1560"/>
    <n v="12"/>
    <m/>
    <n v="18720"/>
    <n v="6327.3600000000006"/>
    <m/>
  </r>
  <r>
    <x v="0"/>
    <x v="10"/>
    <x v="10"/>
    <x v="8"/>
    <x v="0"/>
    <s v="Noorsoo- ja spordinõunik"/>
    <s v="Laste töö- ja puhkelaagri töötasud"/>
    <n v="1"/>
    <m/>
    <n v="10687.59"/>
    <n v="10687.59"/>
    <n v="1"/>
    <m/>
    <n v="10687.59"/>
    <n v="3612.4054200000005"/>
    <m/>
  </r>
  <r>
    <x v="0"/>
    <x v="11"/>
    <x v="11"/>
    <x v="8"/>
    <x v="0"/>
    <s v="Noorsoo- ja spordinõunik"/>
    <s v="Noorsoo- ja spordinõunik"/>
    <n v="1"/>
    <m/>
    <n v="1560"/>
    <n v="1560"/>
    <n v="12"/>
    <m/>
    <n v="18720"/>
    <n v="6327.3600000000006"/>
    <m/>
  </r>
  <r>
    <x v="3"/>
    <x v="12"/>
    <x v="12"/>
    <x v="9"/>
    <x v="3"/>
    <s v="Vinni valla valimiskomisjon"/>
    <s v="komisjon 5-liikmeline, 30 h "/>
    <n v="1"/>
    <s v="in"/>
    <n v="255"/>
    <n v="255"/>
    <n v="1"/>
    <m/>
    <n v="255"/>
    <n v="86.190000000000012"/>
    <m/>
  </r>
  <r>
    <x v="1"/>
    <x v="13"/>
    <x v="13"/>
    <x v="10"/>
    <x v="1"/>
    <s v="Teede- ja ühistranspordinõunik"/>
    <s v="Bussijuht"/>
    <n v="1"/>
    <m/>
    <n v="1050"/>
    <n v="1050"/>
    <n v="12"/>
    <m/>
    <n v="12600"/>
    <n v="4258.8"/>
    <m/>
  </r>
  <r>
    <x v="3"/>
    <x v="4"/>
    <x v="4"/>
    <x v="4"/>
    <x v="3"/>
    <s v="Vallavanem"/>
    <s v="Vallavanem"/>
    <n v="1"/>
    <m/>
    <n v="2800"/>
    <n v="2800"/>
    <n v="12"/>
    <m/>
    <n v="33600"/>
    <n v="11356.800000000001"/>
    <m/>
  </r>
  <r>
    <x v="3"/>
    <x v="4"/>
    <x v="4"/>
    <x v="4"/>
    <x v="3"/>
    <s v="Vallavanem"/>
    <s v="Abivallavanem"/>
    <n v="1"/>
    <m/>
    <n v="2200"/>
    <n v="2200"/>
    <n v="12"/>
    <m/>
    <n v="26400"/>
    <n v="8923.2000000000007"/>
    <m/>
  </r>
  <r>
    <x v="3"/>
    <x v="4"/>
    <x v="4"/>
    <x v="4"/>
    <x v="3"/>
    <s v="Vallavanem"/>
    <s v="Vallasekretär"/>
    <n v="1"/>
    <m/>
    <n v="2000"/>
    <n v="2000"/>
    <n v="12"/>
    <m/>
    <n v="24000"/>
    <n v="8112.0000000000009"/>
    <m/>
  </r>
  <r>
    <x v="3"/>
    <x v="4"/>
    <x v="4"/>
    <x v="4"/>
    <x v="3"/>
    <s v="Vallavanem"/>
    <s v="Juhiabi"/>
    <n v="1"/>
    <m/>
    <n v="1250"/>
    <n v="1250"/>
    <n v="12"/>
    <m/>
    <n v="15000"/>
    <n v="5070"/>
    <m/>
  </r>
  <r>
    <x v="3"/>
    <x v="4"/>
    <x v="4"/>
    <x v="4"/>
    <x v="3"/>
    <s v="Vallavanem"/>
    <s v="Jurist"/>
    <n v="1"/>
    <m/>
    <n v="1750"/>
    <n v="1750"/>
    <n v="12"/>
    <m/>
    <n v="21000"/>
    <n v="7098.0000000000009"/>
    <m/>
  </r>
  <r>
    <x v="3"/>
    <x v="4"/>
    <x v="4"/>
    <x v="4"/>
    <x v="3"/>
    <s v="Vallavanem"/>
    <s v="Kantseleispetsialist"/>
    <n v="2"/>
    <m/>
    <n v="1250"/>
    <n v="2500"/>
    <n v="12"/>
    <m/>
    <n v="30000"/>
    <n v="10140"/>
    <m/>
  </r>
  <r>
    <x v="3"/>
    <x v="14"/>
    <x v="14"/>
    <x v="11"/>
    <x v="3"/>
    <s v="Volikogu esimees"/>
    <s v="Volikogu esimees"/>
    <n v="1"/>
    <m/>
    <n v="1000"/>
    <n v="1000"/>
    <n v="12"/>
    <m/>
    <n v="12000"/>
    <n v="4056.0000000000005"/>
    <m/>
  </r>
  <r>
    <x v="3"/>
    <x v="14"/>
    <x v="14"/>
    <x v="11"/>
    <x v="3"/>
    <s v="Volikogu esimees"/>
    <s v="Komisjonide esimehed"/>
    <n v="4"/>
    <s v="in"/>
    <n v="90"/>
    <n v="360"/>
    <n v="11"/>
    <m/>
    <n v="3960"/>
    <n v="1338.48"/>
    <m/>
  </r>
  <r>
    <x v="3"/>
    <x v="14"/>
    <x v="14"/>
    <x v="11"/>
    <x v="3"/>
    <s v="Volikogu esimees"/>
    <s v="Volikogu liikmed"/>
    <n v="16"/>
    <s v="in"/>
    <n v="40"/>
    <n v="640"/>
    <n v="5"/>
    <m/>
    <n v="3200"/>
    <n v="1081.6000000000001"/>
    <m/>
  </r>
  <r>
    <x v="3"/>
    <x v="14"/>
    <x v="14"/>
    <x v="11"/>
    <x v="3"/>
    <s v="Volikogu esimees"/>
    <s v="Komisjonide liikmed"/>
    <n v="39"/>
    <s v="in"/>
    <n v="40"/>
    <n v="1560"/>
    <n v="4.5"/>
    <m/>
    <n v="7020"/>
    <n v="2372.7600000000002"/>
    <m/>
  </r>
  <r>
    <x v="3"/>
    <x v="14"/>
    <x v="14"/>
    <x v="11"/>
    <x v="3"/>
    <s v="Volikogu esimees"/>
    <s v="Protokollija"/>
    <n v="1"/>
    <m/>
    <m/>
    <n v="0"/>
    <m/>
    <n v="900"/>
    <n v="900"/>
    <n v="304.20000000000005"/>
    <m/>
  </r>
  <r>
    <x v="4"/>
    <x v="15"/>
    <x v="15"/>
    <x v="12"/>
    <x v="4"/>
    <s v="Vallavanem"/>
    <s v="Ehitusnõunik"/>
    <n v="1"/>
    <m/>
    <n v="1750"/>
    <n v="1750"/>
    <n v="12"/>
    <m/>
    <n v="21000"/>
    <n v="7098.0000000000009"/>
    <m/>
  </r>
  <r>
    <x v="4"/>
    <x v="15"/>
    <x v="15"/>
    <x v="12"/>
    <x v="4"/>
    <s v="Vallavanem"/>
    <s v="Maanõunik"/>
    <n v="1"/>
    <m/>
    <n v="1560"/>
    <n v="1560"/>
    <n v="12"/>
    <m/>
    <n v="18720"/>
    <n v="6327.3600000000006"/>
    <m/>
  </r>
  <r>
    <x v="4"/>
    <x v="15"/>
    <x v="15"/>
    <x v="12"/>
    <x v="4"/>
    <s v="Vallavanem"/>
    <s v="Arendusnõunik"/>
    <n v="1"/>
    <m/>
    <n v="1560"/>
    <n v="1560"/>
    <n v="12"/>
    <m/>
    <n v="18720"/>
    <n v="6327.3600000000006"/>
    <m/>
  </r>
  <r>
    <x v="4"/>
    <x v="15"/>
    <x v="15"/>
    <x v="12"/>
    <x v="4"/>
    <s v="Vallavanem"/>
    <s v="Keskkonna- ja kommunaalnõunik"/>
    <n v="0.75"/>
    <m/>
    <n v="1650"/>
    <n v="1237.5"/>
    <n v="12"/>
    <m/>
    <n v="14850"/>
    <n v="5019.3"/>
    <m/>
  </r>
  <r>
    <x v="5"/>
    <x v="16"/>
    <x v="16"/>
    <x v="13"/>
    <x v="5"/>
    <s v="Laekvere piirkond"/>
    <s v="Haldusjuht"/>
    <n v="1"/>
    <m/>
    <n v="1560"/>
    <n v="1560"/>
    <n v="12"/>
    <m/>
    <n v="18720"/>
    <n v="6327.3600000000006"/>
    <m/>
  </r>
  <r>
    <x v="5"/>
    <x v="16"/>
    <x v="16"/>
    <x v="13"/>
    <x v="5"/>
    <s v="Laekvere piirkond"/>
    <s v="Traktorist-majandustööline "/>
    <n v="1"/>
    <m/>
    <n v="900"/>
    <n v="900"/>
    <n v="12"/>
    <m/>
    <n v="10800"/>
    <n v="3650.4"/>
    <m/>
  </r>
  <r>
    <x v="5"/>
    <x v="16"/>
    <x v="16"/>
    <x v="13"/>
    <x v="5"/>
    <s v="Laekvere piirkond"/>
    <s v="Heakorra-ja remonditööline"/>
    <n v="1"/>
    <m/>
    <n v="900"/>
    <n v="900"/>
    <n v="12"/>
    <m/>
    <n v="10800"/>
    <n v="3650.4"/>
    <m/>
  </r>
  <r>
    <x v="5"/>
    <x v="16"/>
    <x v="16"/>
    <x v="13"/>
    <x v="5"/>
    <s v="Laekvere piirkond"/>
    <s v="Majahoidja"/>
    <n v="1"/>
    <m/>
    <n v="584"/>
    <n v="584"/>
    <n v="12"/>
    <m/>
    <n v="7008"/>
    <n v="2368.7040000000002"/>
    <m/>
  </r>
  <r>
    <x v="5"/>
    <x v="16"/>
    <x v="16"/>
    <x v="13"/>
    <x v="5"/>
    <s v="Laekvere piirkond"/>
    <s v="Koristaja -majahoidja"/>
    <n v="1"/>
    <m/>
    <n v="584"/>
    <n v="584"/>
    <n v="12"/>
    <m/>
    <n v="7008"/>
    <n v="2368.7040000000002"/>
    <m/>
  </r>
  <r>
    <x v="5"/>
    <x v="16"/>
    <x v="16"/>
    <x v="13"/>
    <x v="5"/>
    <s v="Laekvere piirkond"/>
    <s v="Trimmerdaja (suvel)"/>
    <n v="1"/>
    <m/>
    <m/>
    <n v="0"/>
    <m/>
    <n v="2100"/>
    <n v="2100"/>
    <n v="709.80000000000007"/>
    <m/>
  </r>
  <r>
    <x v="5"/>
    <x v="17"/>
    <x v="17"/>
    <x v="13"/>
    <x v="5"/>
    <s v="Rägavere piirkond"/>
    <s v="Haldusjuht"/>
    <n v="1"/>
    <m/>
    <n v="1560"/>
    <n v="1560"/>
    <n v="12"/>
    <m/>
    <n v="18720"/>
    <n v="6327.3600000000006"/>
    <m/>
  </r>
  <r>
    <x v="5"/>
    <x v="17"/>
    <x v="17"/>
    <x v="13"/>
    <x v="5"/>
    <s v="Rägavere piirkond"/>
    <s v="Majahoidja"/>
    <n v="0.5"/>
    <m/>
    <n v="584"/>
    <n v="292"/>
    <n v="12"/>
    <m/>
    <n v="3504"/>
    <n v="1184.3520000000001"/>
    <m/>
  </r>
  <r>
    <x v="5"/>
    <x v="17"/>
    <x v="17"/>
    <x v="13"/>
    <x v="5"/>
    <s v="Rägavere piirkond"/>
    <s v="Lepinguliste töötajate töötasu"/>
    <n v="90"/>
    <s v="tundi"/>
    <n v="5"/>
    <n v="450"/>
    <n v="10"/>
    <m/>
    <n v="4500"/>
    <n v="1521"/>
    <m/>
  </r>
  <r>
    <x v="5"/>
    <x v="18"/>
    <x v="18"/>
    <x v="13"/>
    <x v="5"/>
    <s v="Roela piirkond"/>
    <s v="heakorratööline"/>
    <n v="15"/>
    <s v="tundi"/>
    <n v="6"/>
    <n v="90"/>
    <n v="12"/>
    <m/>
    <n v="1080"/>
    <n v="365.04"/>
    <m/>
  </r>
  <r>
    <x v="5"/>
    <x v="18"/>
    <x v="18"/>
    <x v="13"/>
    <x v="5"/>
    <s v="Roela piirkond"/>
    <s v="heakorratööline"/>
    <n v="80"/>
    <s v="tundi"/>
    <n v="3.21"/>
    <n v="256.8"/>
    <n v="12"/>
    <m/>
    <n v="3081.6000000000004"/>
    <n v="1041.5808000000002"/>
    <m/>
  </r>
  <r>
    <x v="5"/>
    <x v="18"/>
    <x v="18"/>
    <x v="13"/>
    <x v="5"/>
    <s v="Roela piirkond"/>
    <s v="trimmerdaja"/>
    <n v="120"/>
    <s v="tundi"/>
    <n v="5"/>
    <n v="600"/>
    <n v="3"/>
    <m/>
    <n v="1800"/>
    <n v="608.40000000000009"/>
    <m/>
  </r>
  <r>
    <x v="5"/>
    <x v="18"/>
    <x v="18"/>
    <x v="13"/>
    <x v="5"/>
    <s v="Tudu piirkond"/>
    <s v="kütja"/>
    <n v="2"/>
    <s v="in"/>
    <n v="270"/>
    <n v="540"/>
    <n v="12"/>
    <m/>
    <n v="6480"/>
    <n v="2190.2400000000002"/>
    <m/>
  </r>
  <r>
    <x v="5"/>
    <x v="18"/>
    <x v="18"/>
    <x v="13"/>
    <x v="5"/>
    <s v="Viru-Jaagupi piirkond"/>
    <s v="Haldusjuht"/>
    <n v="1"/>
    <m/>
    <n v="1560"/>
    <n v="1560"/>
    <n v="12"/>
    <m/>
    <n v="18720"/>
    <n v="6327.3600000000006"/>
    <m/>
  </r>
  <r>
    <x v="5"/>
    <x v="18"/>
    <x v="18"/>
    <x v="13"/>
    <x v="5"/>
    <s v="Viru-Jaagupi piirkond"/>
    <s v="koolimaja koristaja/saunakütja"/>
    <n v="1"/>
    <m/>
    <n v="584"/>
    <n v="584"/>
    <n v="12"/>
    <m/>
    <n v="7008"/>
    <n v="2368.7040000000002"/>
    <m/>
  </r>
  <r>
    <x v="5"/>
    <x v="18"/>
    <x v="18"/>
    <x v="13"/>
    <x v="5"/>
    <s v="Viru-Jaagupi piirkond"/>
    <s v="heakorratööline"/>
    <n v="160"/>
    <s v="tundi"/>
    <n v="3.21"/>
    <n v="513.6"/>
    <n v="12"/>
    <m/>
    <n v="6163.2000000000007"/>
    <n v="2083.1616000000004"/>
    <m/>
  </r>
  <r>
    <x v="5"/>
    <x v="18"/>
    <x v="18"/>
    <x v="13"/>
    <x v="5"/>
    <s v="Viru-Jaagupi piirkond"/>
    <s v="trimmerdaja"/>
    <n v="120"/>
    <s v="tundi"/>
    <n v="5"/>
    <n v="600"/>
    <n v="3"/>
    <m/>
    <n v="1800"/>
    <n v="608.40000000000009"/>
    <m/>
  </r>
  <r>
    <x v="5"/>
    <x v="18"/>
    <x v="18"/>
    <x v="13"/>
    <x v="5"/>
    <s v="Viru-Jaagupi piirkond"/>
    <s v="koolimaja kütja"/>
    <n v="990"/>
    <s v="tundi"/>
    <n v="3.5"/>
    <n v="3465"/>
    <n v="1"/>
    <m/>
    <n v="3465"/>
    <n v="1171.17"/>
    <s v="aasta tundide maht"/>
  </r>
  <r>
    <x v="5"/>
    <x v="19"/>
    <x v="19"/>
    <x v="13"/>
    <x v="5"/>
    <s v="Viru-Jaagupi piirkonna juht"/>
    <s v="Tudu saun koristaja"/>
    <n v="0.5"/>
    <m/>
    <n v="584"/>
    <n v="292"/>
    <n v="12"/>
    <m/>
    <n v="3504"/>
    <n v="1184.3520000000001"/>
    <m/>
  </r>
  <r>
    <x v="5"/>
    <x v="19"/>
    <x v="19"/>
    <x v="13"/>
    <x v="5"/>
    <s v="Viru-Jaagupi piirkonna juht"/>
    <s v="Tudu sauna kütja"/>
    <n v="1"/>
    <m/>
    <n v="584"/>
    <n v="584"/>
    <n v="12"/>
    <m/>
    <n v="7008"/>
    <n v="2368.7040000000002"/>
    <m/>
  </r>
  <r>
    <x v="5"/>
    <x v="19"/>
    <x v="19"/>
    <x v="13"/>
    <x v="5"/>
    <s v="Viru-Jaagupi piirkonna juht"/>
    <s v="Küti saun"/>
    <n v="0.25"/>
    <m/>
    <n v="584"/>
    <n v="146"/>
    <n v="12"/>
    <m/>
    <n v="1752"/>
    <n v="592.17600000000004"/>
    <m/>
  </r>
  <r>
    <x v="5"/>
    <x v="20"/>
    <x v="20"/>
    <x v="13"/>
    <x v="5"/>
    <s v="Viru-Jaagupi piirkonna juht"/>
    <s v="Tudu kalmistuvaht"/>
    <n v="2"/>
    <m/>
    <n v="292"/>
    <n v="584"/>
    <n v="12"/>
    <m/>
    <n v="7008"/>
    <n v="2368.7040000000002"/>
    <m/>
  </r>
  <r>
    <x v="5"/>
    <x v="20"/>
    <x v="20"/>
    <x v="13"/>
    <x v="5"/>
    <s v="Viru-Jaagupi piirkonna juht"/>
    <s v="Viru-Jaagupi kalmistuvaht"/>
    <n v="0.25"/>
    <m/>
    <n v="584"/>
    <n v="146"/>
    <n v="12"/>
    <m/>
    <n v="1752"/>
    <n v="592.17600000000004"/>
    <m/>
  </r>
  <r>
    <x v="0"/>
    <x v="21"/>
    <x v="21"/>
    <x v="0"/>
    <x v="0"/>
    <s v="Vinni-Pajusti raamatukogu"/>
    <s v="Juhataja"/>
    <n v="1"/>
    <m/>
    <n v="1128"/>
    <n v="1128"/>
    <n v="12"/>
    <m/>
    <n v="13536"/>
    <n v="4575.1680000000006"/>
    <m/>
  </r>
  <r>
    <x v="0"/>
    <x v="21"/>
    <x v="21"/>
    <x v="0"/>
    <x v="0"/>
    <s v="Vinni-Pajusti raamatukogu"/>
    <s v="Raamatukoguhoidja"/>
    <n v="1"/>
    <m/>
    <n v="790"/>
    <n v="790"/>
    <n v="12"/>
    <m/>
    <n v="9480"/>
    <n v="3204.2400000000002"/>
    <m/>
  </r>
  <r>
    <x v="0"/>
    <x v="21"/>
    <x v="21"/>
    <x v="0"/>
    <x v="0"/>
    <s v="Vinni-Pajusti raamatukogu"/>
    <s v="Koristaja"/>
    <n v="0.75"/>
    <m/>
    <n v="584"/>
    <n v="438"/>
    <n v="12"/>
    <m/>
    <n v="5256"/>
    <n v="1776.528"/>
    <m/>
  </r>
  <r>
    <x v="0"/>
    <x v="22"/>
    <x v="22"/>
    <x v="0"/>
    <x v="0"/>
    <s v="Viru-Jaagupi raamatukogu"/>
    <s v="Viru-Jaagupi raamatukogu juhataja"/>
    <n v="1"/>
    <m/>
    <n v="762"/>
    <n v="762"/>
    <n v="12"/>
    <n v="2220"/>
    <n v="11364"/>
    <n v="3841.0320000000002"/>
    <s v="Lisatasu kuus 185€; lisatasu töölepingu järgi muuseumi hooldamine"/>
  </r>
  <r>
    <x v="0"/>
    <x v="23"/>
    <x v="23"/>
    <x v="0"/>
    <x v="0"/>
    <s v="Tudu raamatukogu"/>
    <s v="raamatukogu juhataja"/>
    <n v="1"/>
    <m/>
    <n v="845"/>
    <n v="845"/>
    <n v="12"/>
    <n v="1524"/>
    <n v="11664"/>
    <n v="3942.4320000000002"/>
    <s v="Planeeringus 168€ lisatasu märgitud"/>
  </r>
  <r>
    <x v="0"/>
    <x v="24"/>
    <x v="24"/>
    <x v="14"/>
    <x v="0"/>
    <s v="Laekvere Rahva Maja"/>
    <s v="Juhataja"/>
    <n v="1"/>
    <m/>
    <n v="1100"/>
    <n v="1100"/>
    <n v="12"/>
    <m/>
    <n v="13200"/>
    <n v="4461.6000000000004"/>
    <m/>
  </r>
  <r>
    <x v="0"/>
    <x v="24"/>
    <x v="24"/>
    <x v="14"/>
    <x v="0"/>
    <s v="Laekvere Rahva Maja"/>
    <s v="Koristaja"/>
    <n v="1"/>
    <m/>
    <n v="584"/>
    <n v="584"/>
    <n v="12"/>
    <m/>
    <n v="7008"/>
    <n v="2368.7040000000002"/>
    <m/>
  </r>
  <r>
    <x v="0"/>
    <x v="24"/>
    <x v="24"/>
    <x v="14"/>
    <x v="0"/>
    <s v="Laekvere Rahva Maja"/>
    <s v="Tehnik"/>
    <n v="1"/>
    <m/>
    <n v="584"/>
    <n v="584"/>
    <n v="12"/>
    <m/>
    <n v="7008"/>
    <n v="2368.7040000000002"/>
    <m/>
  </r>
  <r>
    <x v="0"/>
    <x v="25"/>
    <x v="25"/>
    <x v="14"/>
    <x v="0"/>
    <s v="Ulvi klubi"/>
    <s v="Juhataja "/>
    <n v="1"/>
    <m/>
    <n v="920"/>
    <n v="920"/>
    <n v="12"/>
    <n v="3600"/>
    <n v="14640"/>
    <n v="4948.3200000000006"/>
    <s v="Lisatasu kuu 300€"/>
  </r>
  <r>
    <x v="0"/>
    <x v="25"/>
    <x v="25"/>
    <x v="14"/>
    <x v="0"/>
    <s v="Ulvi klubi"/>
    <s v="Ringijuht"/>
    <n v="1"/>
    <s v="in"/>
    <n v="150"/>
    <n v="150"/>
    <n v="9"/>
    <m/>
    <n v="1350"/>
    <n v="456.3"/>
    <m/>
  </r>
  <r>
    <x v="0"/>
    <x v="25"/>
    <x v="25"/>
    <x v="14"/>
    <x v="0"/>
    <s v="Ulvi klubi"/>
    <s v="Ringijuht"/>
    <n v="1"/>
    <s v="in"/>
    <n v="60"/>
    <n v="60"/>
    <n v="9"/>
    <m/>
    <n v="540"/>
    <n v="182.52"/>
    <m/>
  </r>
  <r>
    <x v="0"/>
    <x v="25"/>
    <x v="25"/>
    <x v="14"/>
    <x v="0"/>
    <s v="Ulvi klubi"/>
    <s v="Ringijuht"/>
    <n v="1"/>
    <s v="in"/>
    <n v="40"/>
    <n v="40"/>
    <n v="9"/>
    <m/>
    <n v="360"/>
    <n v="121.68"/>
    <m/>
  </r>
  <r>
    <x v="0"/>
    <x v="25"/>
    <x v="25"/>
    <x v="14"/>
    <x v="0"/>
    <s v="Ulvi klubi"/>
    <s v="Ringijuht"/>
    <n v="1"/>
    <s v="in"/>
    <n v="60"/>
    <n v="60"/>
    <n v="9"/>
    <m/>
    <n v="540"/>
    <n v="182.52"/>
    <m/>
  </r>
  <r>
    <x v="0"/>
    <x v="25"/>
    <x v="25"/>
    <x v="14"/>
    <x v="0"/>
    <s v="Ulvi klubi"/>
    <s v="Lepinguliste töötajate töötasu"/>
    <n v="2"/>
    <s v="in"/>
    <n v="60"/>
    <n v="120"/>
    <n v="9"/>
    <m/>
    <n v="1080"/>
    <n v="365.04"/>
    <m/>
  </r>
  <r>
    <x v="0"/>
    <x v="25"/>
    <x v="25"/>
    <x v="14"/>
    <x v="0"/>
    <s v="Ulvi klubi"/>
    <s v="Lepinguliste töötajate töötasu"/>
    <n v="1"/>
    <s v="in"/>
    <n v="40"/>
    <n v="40"/>
    <n v="9"/>
    <m/>
    <n v="360"/>
    <n v="121.68"/>
    <m/>
  </r>
  <r>
    <x v="1"/>
    <x v="26"/>
    <x v="26"/>
    <x v="2"/>
    <x v="1"/>
    <s v="Vinni lasteaed"/>
    <s v="Direktor"/>
    <n v="1"/>
    <m/>
    <n v="1700"/>
    <n v="1700"/>
    <n v="12"/>
    <m/>
    <n v="20400"/>
    <n v="6895.2000000000007"/>
    <m/>
  </r>
  <r>
    <x v="1"/>
    <x v="26"/>
    <x v="26"/>
    <x v="2"/>
    <x v="1"/>
    <s v="Vinni lasteaed"/>
    <s v="Lasteaiaõpetaja-kõrgem"/>
    <n v="7"/>
    <m/>
    <n v="1315"/>
    <n v="9205"/>
    <n v="12"/>
    <m/>
    <n v="110460"/>
    <n v="37335.480000000003"/>
    <m/>
  </r>
  <r>
    <x v="1"/>
    <x v="26"/>
    <x v="26"/>
    <x v="2"/>
    <x v="1"/>
    <s v="Vinni lasteaed"/>
    <s v="Lasteaiaõpetaja"/>
    <n v="5"/>
    <m/>
    <n v="1183.5"/>
    <n v="5917.5"/>
    <n v="12"/>
    <m/>
    <n v="71010"/>
    <n v="24001.38"/>
    <m/>
  </r>
  <r>
    <x v="1"/>
    <x v="26"/>
    <x v="26"/>
    <x v="2"/>
    <x v="1"/>
    <s v="Vinni lasteaed"/>
    <s v="Liikumisõpetaja"/>
    <n v="0.75"/>
    <m/>
    <n v="1183.5"/>
    <n v="887.625"/>
    <n v="12"/>
    <m/>
    <n v="10651.5"/>
    <n v="3600.2070000000003"/>
    <m/>
  </r>
  <r>
    <x v="1"/>
    <x v="26"/>
    <x v="26"/>
    <x v="2"/>
    <x v="1"/>
    <s v="Vinni lasteaed"/>
    <s v="Muusikaõpetaja"/>
    <n v="0.75"/>
    <m/>
    <n v="1183.5"/>
    <n v="887.625"/>
    <n v="12"/>
    <m/>
    <n v="10651.5"/>
    <n v="3600.2070000000003"/>
    <m/>
  </r>
  <r>
    <x v="1"/>
    <x v="26"/>
    <x v="26"/>
    <x v="2"/>
    <x v="1"/>
    <s v="Vinni lasteaed"/>
    <s v="Logopeed"/>
    <n v="1"/>
    <m/>
    <n v="1315"/>
    <n v="1315"/>
    <n v="12"/>
    <m/>
    <n v="15780"/>
    <n v="5333.64"/>
    <m/>
  </r>
  <r>
    <x v="1"/>
    <x v="26"/>
    <x v="26"/>
    <x v="2"/>
    <x v="1"/>
    <s v="Vinni lasteaed"/>
    <s v="Õpetajaabi"/>
    <n v="6"/>
    <m/>
    <n v="702"/>
    <n v="4212"/>
    <n v="12"/>
    <m/>
    <n v="50544"/>
    <n v="17083.871999999999"/>
    <m/>
  </r>
  <r>
    <x v="1"/>
    <x v="26"/>
    <x v="26"/>
    <x v="2"/>
    <x v="1"/>
    <s v="Vinni lasteaed"/>
    <s v="Majandusjuhataja-laohoidja"/>
    <n v="1"/>
    <m/>
    <n v="702"/>
    <n v="702"/>
    <n v="12"/>
    <m/>
    <n v="8424"/>
    <n v="2847.3120000000004"/>
    <m/>
  </r>
  <r>
    <x v="1"/>
    <x v="26"/>
    <x v="26"/>
    <x v="2"/>
    <x v="1"/>
    <s v="Vinni lasteaed"/>
    <s v="Kokk"/>
    <n v="1"/>
    <m/>
    <n v="600"/>
    <n v="600"/>
    <n v="12"/>
    <m/>
    <n v="7200"/>
    <n v="2433.6000000000004"/>
    <m/>
  </r>
  <r>
    <x v="1"/>
    <x v="26"/>
    <x v="26"/>
    <x v="2"/>
    <x v="1"/>
    <s v="Vinni lasteaed"/>
    <s v="Kokk"/>
    <n v="1"/>
    <m/>
    <n v="664"/>
    <n v="664"/>
    <n v="12"/>
    <m/>
    <n v="7968"/>
    <n v="2693.1840000000002"/>
    <m/>
  </r>
  <r>
    <x v="1"/>
    <x v="26"/>
    <x v="26"/>
    <x v="2"/>
    <x v="1"/>
    <s v="Vinni lasteaed"/>
    <s v="Koristaja"/>
    <n v="0.75"/>
    <m/>
    <n v="584"/>
    <n v="438"/>
    <n v="12"/>
    <m/>
    <n v="5256"/>
    <n v="1776.528"/>
    <m/>
  </r>
  <r>
    <x v="1"/>
    <x v="26"/>
    <x v="26"/>
    <x v="2"/>
    <x v="1"/>
    <s v="Vinni lasteaed"/>
    <s v="Majahoidja"/>
    <n v="1"/>
    <m/>
    <n v="584"/>
    <n v="584"/>
    <n v="12"/>
    <m/>
    <n v="7008"/>
    <n v="2368.7040000000002"/>
    <m/>
  </r>
  <r>
    <x v="1"/>
    <x v="26"/>
    <x v="26"/>
    <x v="2"/>
    <x v="1"/>
    <s v="Vinni lasteaed"/>
    <s v="Valvur"/>
    <n v="2.21"/>
    <m/>
    <n v="584"/>
    <n v="1290.6399999999999"/>
    <n v="12"/>
    <m/>
    <n v="15487.679999999998"/>
    <n v="5234.8358399999997"/>
    <m/>
  </r>
  <r>
    <x v="1"/>
    <x v="27"/>
    <x v="27"/>
    <x v="2"/>
    <x v="1"/>
    <s v="Pajusti lasteaed"/>
    <s v="õpetaja (magister)"/>
    <n v="2"/>
    <m/>
    <n v="1250"/>
    <n v="2500"/>
    <n v="12"/>
    <m/>
    <n v="30000"/>
    <n v="10140"/>
    <m/>
  </r>
  <r>
    <x v="1"/>
    <x v="27"/>
    <x v="27"/>
    <x v="2"/>
    <x v="1"/>
    <s v="Pajusti lasteaed"/>
    <s v="õpetaja (bakalaureus)"/>
    <n v="4"/>
    <m/>
    <n v="1183.5"/>
    <n v="4734"/>
    <n v="12"/>
    <m/>
    <n v="56808"/>
    <n v="19201.104000000003"/>
    <m/>
  </r>
  <r>
    <x v="1"/>
    <x v="27"/>
    <x v="27"/>
    <x v="2"/>
    <x v="1"/>
    <s v="Pajusti lasteaed"/>
    <s v="muusikaõpetaja"/>
    <n v="0.38"/>
    <m/>
    <n v="1315"/>
    <n v="499.7"/>
    <n v="12"/>
    <m/>
    <n v="5996.4"/>
    <n v="2026.7832000000001"/>
    <m/>
  </r>
  <r>
    <x v="1"/>
    <x v="27"/>
    <x v="27"/>
    <x v="2"/>
    <x v="1"/>
    <s v="Pajusti lasteaed"/>
    <s v="liikumisõpetaja"/>
    <n v="0.25"/>
    <m/>
    <n v="1252"/>
    <n v="313"/>
    <n v="12"/>
    <m/>
    <n v="3756"/>
    <n v="1269.528"/>
    <m/>
  </r>
  <r>
    <x v="1"/>
    <x v="27"/>
    <x v="27"/>
    <x v="2"/>
    <x v="1"/>
    <s v="Pajusti lasteaed"/>
    <s v="liikumisõpetaja 7 kuud"/>
    <n v="0.13"/>
    <m/>
    <n v="1183.5"/>
    <n v="153.85500000000002"/>
    <n v="7"/>
    <m/>
    <n v="1076.9850000000001"/>
    <n v="364.02093000000008"/>
    <m/>
  </r>
  <r>
    <x v="1"/>
    <x v="27"/>
    <x v="27"/>
    <x v="2"/>
    <x v="1"/>
    <s v="Pajusti lasteaed"/>
    <s v="õpetaja abi"/>
    <n v="3"/>
    <m/>
    <n v="702"/>
    <n v="2106"/>
    <n v="12"/>
    <m/>
    <n v="25272"/>
    <n v="8541.9359999999997"/>
    <m/>
  </r>
  <r>
    <x v="1"/>
    <x v="27"/>
    <x v="27"/>
    <x v="2"/>
    <x v="1"/>
    <s v="Pajusti lasteaed"/>
    <s v="kokk"/>
    <n v="1"/>
    <m/>
    <n v="696"/>
    <n v="696"/>
    <n v="12"/>
    <m/>
    <n v="8352"/>
    <n v="2822.9760000000001"/>
    <m/>
  </r>
  <r>
    <x v="1"/>
    <x v="27"/>
    <x v="27"/>
    <x v="2"/>
    <x v="1"/>
    <s v="Pajusti lasteaed"/>
    <s v="logopeed 8 kuud"/>
    <n v="0.3"/>
    <m/>
    <n v="1315"/>
    <n v="394.5"/>
    <n v="8"/>
    <m/>
    <n v="3156"/>
    <n v="1066.7280000000001"/>
    <m/>
  </r>
  <r>
    <x v="1"/>
    <x v="27"/>
    <x v="27"/>
    <x v="2"/>
    <x v="1"/>
    <s v="Pajusti lasteaed"/>
    <s v="perenaine"/>
    <n v="0.5"/>
    <m/>
    <n v="584"/>
    <n v="292"/>
    <n v="12"/>
    <m/>
    <n v="3504"/>
    <n v="1184.3520000000001"/>
    <m/>
  </r>
  <r>
    <x v="1"/>
    <x v="27"/>
    <x v="27"/>
    <x v="2"/>
    <x v="1"/>
    <s v="Pajusti lasteaed"/>
    <s v="majahoidja"/>
    <n v="1"/>
    <m/>
    <n v="584"/>
    <n v="584"/>
    <n v="12"/>
    <m/>
    <n v="7008"/>
    <n v="2368.7040000000002"/>
    <m/>
  </r>
  <r>
    <x v="1"/>
    <x v="27"/>
    <x v="27"/>
    <x v="2"/>
    <x v="1"/>
    <s v="Pajusti lasteaed"/>
    <s v="direktor"/>
    <n v="1"/>
    <m/>
    <n v="1383"/>
    <n v="1383"/>
    <n v="12"/>
    <m/>
    <n v="16596"/>
    <n v="5609.4480000000003"/>
    <m/>
  </r>
  <r>
    <x v="1"/>
    <x v="27"/>
    <x v="27"/>
    <x v="2"/>
    <x v="1"/>
    <s v="Pajusti lasteaed"/>
    <s v="Preemiad"/>
    <n v="1"/>
    <m/>
    <m/>
    <n v="0"/>
    <m/>
    <n v="1700"/>
    <n v="1700"/>
    <n v="574.6"/>
    <m/>
  </r>
  <r>
    <x v="1"/>
    <x v="28"/>
    <x v="28"/>
    <x v="2"/>
    <x v="1"/>
    <s v="Kulina lasteaed"/>
    <s v="direktor"/>
    <n v="1"/>
    <m/>
    <n v="1315"/>
    <n v="1315"/>
    <n v="12"/>
    <n v="3120"/>
    <n v="18900"/>
    <n v="6388.2000000000007"/>
    <s v="Lisatasu kuus 260"/>
  </r>
  <r>
    <x v="1"/>
    <x v="28"/>
    <x v="28"/>
    <x v="2"/>
    <x v="1"/>
    <s v="Kulina lasteaed"/>
    <s v="õpetaja"/>
    <n v="1"/>
    <m/>
    <n v="1183.5"/>
    <n v="1183.5"/>
    <n v="12"/>
    <m/>
    <n v="14202"/>
    <n v="4800.2760000000007"/>
    <m/>
  </r>
  <r>
    <x v="1"/>
    <x v="28"/>
    <x v="28"/>
    <x v="2"/>
    <x v="1"/>
    <s v="Kulina lasteaed"/>
    <s v="õpetaja"/>
    <n v="1"/>
    <m/>
    <n v="1183.5"/>
    <n v="1183.5"/>
    <n v="12"/>
    <m/>
    <n v="14202"/>
    <n v="4800.2760000000007"/>
    <m/>
  </r>
  <r>
    <x v="1"/>
    <x v="28"/>
    <x v="28"/>
    <x v="2"/>
    <x v="1"/>
    <s v="Kulina lasteaed"/>
    <s v="õpetaja"/>
    <n v="0.75"/>
    <m/>
    <n v="1183.5"/>
    <n v="887.625"/>
    <n v="12"/>
    <m/>
    <n v="10651.5"/>
    <n v="3600.2070000000003"/>
    <m/>
  </r>
  <r>
    <x v="1"/>
    <x v="28"/>
    <x v="28"/>
    <x v="2"/>
    <x v="1"/>
    <s v="Kulina lasteaed"/>
    <s v="õpetaja"/>
    <n v="0.75"/>
    <m/>
    <n v="1183.5"/>
    <n v="887.625"/>
    <n v="12"/>
    <m/>
    <n v="10651.5"/>
    <n v="3600.2070000000003"/>
    <m/>
  </r>
  <r>
    <x v="1"/>
    <x v="28"/>
    <x v="28"/>
    <x v="2"/>
    <x v="1"/>
    <s v="Kulina lasteaed"/>
    <s v="liikumisõpetaja"/>
    <n v="0.25"/>
    <m/>
    <n v="1183.5"/>
    <n v="295.875"/>
    <n v="12"/>
    <m/>
    <n v="3550.5"/>
    <n v="1200.0690000000002"/>
    <m/>
  </r>
  <r>
    <x v="1"/>
    <x v="28"/>
    <x v="28"/>
    <x v="2"/>
    <x v="1"/>
    <s v="Kulina lasteaed"/>
    <s v="muusikaõpetaja"/>
    <n v="0.25"/>
    <m/>
    <n v="1183.5"/>
    <n v="295.875"/>
    <n v="12"/>
    <m/>
    <n v="3550.5"/>
    <n v="1200.0690000000002"/>
    <m/>
  </r>
  <r>
    <x v="1"/>
    <x v="28"/>
    <x v="28"/>
    <x v="2"/>
    <x v="1"/>
    <s v="Kulina lasteaed"/>
    <s v="õpetaja abi"/>
    <n v="1"/>
    <m/>
    <n v="652"/>
    <n v="652"/>
    <n v="12"/>
    <m/>
    <n v="7824"/>
    <n v="2644.5120000000002"/>
    <m/>
  </r>
  <r>
    <x v="1"/>
    <x v="28"/>
    <x v="28"/>
    <x v="2"/>
    <x v="1"/>
    <s v="Kulina lasteaed"/>
    <s v="õpetaja abi"/>
    <n v="0.8"/>
    <m/>
    <n v="652.5"/>
    <n v="522"/>
    <n v="12"/>
    <m/>
    <n v="6264"/>
    <n v="2117.232"/>
    <m/>
  </r>
  <r>
    <x v="1"/>
    <x v="28"/>
    <x v="28"/>
    <x v="2"/>
    <x v="1"/>
    <s v="Kulina lasteaed"/>
    <s v="õpetaja abi"/>
    <n v="0.2"/>
    <m/>
    <n v="650"/>
    <n v="130"/>
    <n v="12"/>
    <m/>
    <n v="1560"/>
    <n v="527.28000000000009"/>
    <m/>
  </r>
  <r>
    <x v="1"/>
    <x v="28"/>
    <x v="28"/>
    <x v="2"/>
    <x v="1"/>
    <s v="Kulina lasteaed"/>
    <s v="pesumasinist"/>
    <n v="0.5"/>
    <m/>
    <n v="584"/>
    <n v="292"/>
    <n v="12"/>
    <m/>
    <n v="3504"/>
    <n v="1184.3520000000001"/>
    <m/>
  </r>
  <r>
    <x v="1"/>
    <x v="28"/>
    <x v="28"/>
    <x v="2"/>
    <x v="1"/>
    <s v="Kulina lasteaed"/>
    <s v="kokk"/>
    <n v="1"/>
    <m/>
    <n v="652"/>
    <n v="652"/>
    <n v="12"/>
    <m/>
    <n v="7824"/>
    <n v="2644.5120000000002"/>
    <m/>
  </r>
  <r>
    <x v="1"/>
    <x v="28"/>
    <x v="28"/>
    <x v="2"/>
    <x v="1"/>
    <s v="Kulina lasteaed"/>
    <s v="aednik"/>
    <n v="1"/>
    <m/>
    <n v="584"/>
    <n v="584"/>
    <n v="12"/>
    <m/>
    <n v="7008"/>
    <n v="2368.7040000000002"/>
    <m/>
  </r>
  <r>
    <x v="1"/>
    <x v="28"/>
    <x v="28"/>
    <x v="2"/>
    <x v="1"/>
    <s v="Kulina lasteaed"/>
    <s v="logopeed"/>
    <n v="0.2"/>
    <m/>
    <n v="1315"/>
    <n v="263"/>
    <n v="12"/>
    <m/>
    <n v="3156"/>
    <n v="1066.7280000000001"/>
    <m/>
  </r>
  <r>
    <x v="1"/>
    <x v="28"/>
    <x v="28"/>
    <x v="2"/>
    <x v="1"/>
    <s v="Kulina lasteaed"/>
    <s v="Lepinguliste töötajate töötasu"/>
    <n v="1"/>
    <s v="in"/>
    <n v="80"/>
    <n v="80"/>
    <n v="7"/>
    <m/>
    <n v="560"/>
    <n v="189.28"/>
    <m/>
  </r>
  <r>
    <x v="1"/>
    <x v="28"/>
    <x v="28"/>
    <x v="2"/>
    <x v="1"/>
    <s v="Kulina lasteaed"/>
    <s v="Asendamised"/>
    <n v="1"/>
    <m/>
    <m/>
    <n v="0"/>
    <n v="1"/>
    <n v="1700"/>
    <n v="1700"/>
    <n v="574.6"/>
    <m/>
  </r>
  <r>
    <x v="1"/>
    <x v="29"/>
    <x v="29"/>
    <x v="2"/>
    <x v="1"/>
    <s v="Ulvi lasteaed"/>
    <s v="lasteaia õpetaja"/>
    <n v="4"/>
    <m/>
    <n v="1183.5"/>
    <n v="4734"/>
    <n v="12"/>
    <m/>
    <n v="56808"/>
    <n v="19201.104000000003"/>
    <m/>
  </r>
  <r>
    <x v="1"/>
    <x v="29"/>
    <x v="29"/>
    <x v="2"/>
    <x v="1"/>
    <s v="Ulvi lasteaed"/>
    <s v="abiõpetaja"/>
    <n v="2"/>
    <m/>
    <n v="630"/>
    <n v="1260"/>
    <n v="12"/>
    <m/>
    <n v="15120"/>
    <n v="5110.5600000000004"/>
    <m/>
  </r>
  <r>
    <x v="1"/>
    <x v="29"/>
    <x v="29"/>
    <x v="2"/>
    <x v="1"/>
    <s v="Ulvi lasteaed"/>
    <s v="muusikaõpetaja"/>
    <n v="0.15"/>
    <m/>
    <n v="973.5"/>
    <n v="146.02500000000001"/>
    <n v="12"/>
    <m/>
    <n v="1752.3000000000002"/>
    <n v="592.27740000000006"/>
    <m/>
  </r>
  <r>
    <x v="1"/>
    <x v="29"/>
    <x v="29"/>
    <x v="2"/>
    <x v="1"/>
    <s v="Ulvi lasteaed"/>
    <s v="kokk"/>
    <n v="1"/>
    <m/>
    <n v="648"/>
    <n v="648"/>
    <n v="12"/>
    <m/>
    <n v="7776"/>
    <n v="2628.288"/>
    <m/>
  </r>
  <r>
    <x v="1"/>
    <x v="29"/>
    <x v="29"/>
    <x v="2"/>
    <x v="1"/>
    <s v="Ulvi lasteaed"/>
    <s v="majandusjuhataja"/>
    <n v="0.5"/>
    <m/>
    <n v="324"/>
    <n v="162"/>
    <n v="12"/>
    <m/>
    <n v="1944"/>
    <n v="657.072"/>
    <m/>
  </r>
  <r>
    <x v="1"/>
    <x v="29"/>
    <x v="29"/>
    <x v="2"/>
    <x v="1"/>
    <s v="Ulvi lasteaed"/>
    <s v="majahoidja"/>
    <n v="0.25"/>
    <m/>
    <n v="584"/>
    <n v="146"/>
    <n v="12"/>
    <n v="1620"/>
    <n v="3372"/>
    <n v="1139.7360000000001"/>
    <s v="Lisatasu kuus 135€"/>
  </r>
  <r>
    <x v="1"/>
    <x v="30"/>
    <x v="30"/>
    <x v="1"/>
    <x v="1"/>
    <s v="Vinni-Pajusti Gümnaasium"/>
    <s v="e-kool"/>
    <n v="0.25"/>
    <m/>
    <n v="584"/>
    <n v="146"/>
    <n v="12"/>
    <m/>
    <n v="1752"/>
    <n v="592.17600000000004"/>
    <m/>
  </r>
  <r>
    <x v="1"/>
    <x v="30"/>
    <x v="30"/>
    <x v="1"/>
    <x v="1"/>
    <s v="Vinni-Pajusti Gümnaasium"/>
    <s v="huvijuht"/>
    <n v="1"/>
    <m/>
    <n v="1315"/>
    <n v="1315"/>
    <n v="12"/>
    <m/>
    <n v="15780"/>
    <n v="5333.64"/>
    <m/>
  </r>
  <r>
    <x v="1"/>
    <x v="30"/>
    <x v="30"/>
    <x v="1"/>
    <x v="1"/>
    <s v="Vinni-Pajusti Gümnaasium"/>
    <s v="haridustehnoloog"/>
    <n v="1"/>
    <m/>
    <n v="1450"/>
    <n v="1450"/>
    <n v="12"/>
    <m/>
    <n v="17400"/>
    <n v="5881.2000000000007"/>
    <m/>
  </r>
  <r>
    <x v="1"/>
    <x v="30"/>
    <x v="30"/>
    <x v="1"/>
    <x v="1"/>
    <s v="Vinni-Pajusti Gümnaasium"/>
    <s v="IT-spetsialist"/>
    <n v="1"/>
    <m/>
    <n v="1315"/>
    <n v="1315"/>
    <n v="12"/>
    <m/>
    <n v="15780"/>
    <n v="5333.64"/>
    <m/>
  </r>
  <r>
    <x v="1"/>
    <x v="30"/>
    <x v="30"/>
    <x v="1"/>
    <x v="1"/>
    <s v="Vinni-Pajusti Gümnaasium"/>
    <s v="klaveriõpetus"/>
    <n v="0.5"/>
    <m/>
    <n v="700"/>
    <n v="350"/>
    <n v="4"/>
    <m/>
    <n v="1400"/>
    <n v="473.20000000000005"/>
    <s v="hetkel täitmata "/>
  </r>
  <r>
    <x v="1"/>
    <x v="30"/>
    <x v="30"/>
    <x v="1"/>
    <x v="1"/>
    <s v="Vinni-Pajusti Gümnaasium"/>
    <s v="kokk"/>
    <n v="1"/>
    <m/>
    <n v="770"/>
    <n v="770"/>
    <n v="12"/>
    <m/>
    <n v="9240"/>
    <n v="3123.1200000000003"/>
    <m/>
  </r>
  <r>
    <x v="1"/>
    <x v="30"/>
    <x v="30"/>
    <x v="1"/>
    <x v="1"/>
    <s v="Vinni-Pajusti Gümnaasium"/>
    <s v="kondiiter"/>
    <n v="0.5"/>
    <m/>
    <n v="650"/>
    <n v="325"/>
    <n v="12"/>
    <m/>
    <n v="3900"/>
    <n v="1318.2"/>
    <m/>
  </r>
  <r>
    <x v="1"/>
    <x v="30"/>
    <x v="30"/>
    <x v="1"/>
    <x v="1"/>
    <s v="Vinni-Pajusti Gümnaasium"/>
    <s v="koristaja"/>
    <n v="6"/>
    <m/>
    <n v="584"/>
    <n v="3504"/>
    <n v="12"/>
    <m/>
    <n v="42048"/>
    <n v="14212.224"/>
    <m/>
  </r>
  <r>
    <x v="1"/>
    <x v="30"/>
    <x v="30"/>
    <x v="1"/>
    <x v="1"/>
    <s v="Vinni-Pajusti Gümnaasium"/>
    <s v="köögi abitööline"/>
    <n v="2"/>
    <m/>
    <n v="590"/>
    <n v="1180"/>
    <n v="12"/>
    <m/>
    <n v="14160"/>
    <n v="4786.08"/>
    <m/>
  </r>
  <r>
    <x v="1"/>
    <x v="30"/>
    <x v="30"/>
    <x v="1"/>
    <x v="1"/>
    <s v="Vinni-Pajusti Gümnaasium"/>
    <s v="laborant"/>
    <n v="0.12"/>
    <m/>
    <n v="584"/>
    <n v="70.08"/>
    <n v="12"/>
    <m/>
    <n v="840.96"/>
    <n v="284.24448000000001"/>
    <m/>
  </r>
  <r>
    <x v="1"/>
    <x v="30"/>
    <x v="30"/>
    <x v="1"/>
    <x v="1"/>
    <s v="Vinni-Pajusti Gümnaasium"/>
    <s v="laborant"/>
    <n v="0.13"/>
    <m/>
    <n v="584"/>
    <n v="75.92"/>
    <n v="12"/>
    <m/>
    <n v="911.04"/>
    <n v="307.93152000000003"/>
    <m/>
  </r>
  <r>
    <x v="1"/>
    <x v="30"/>
    <x v="30"/>
    <x v="1"/>
    <x v="1"/>
    <s v="Vinni-Pajusti Gümnaasium"/>
    <s v="laborant"/>
    <n v="0.25"/>
    <m/>
    <n v="584"/>
    <n v="146"/>
    <n v="12"/>
    <m/>
    <n v="1752"/>
    <n v="592.17600000000004"/>
    <m/>
  </r>
  <r>
    <x v="1"/>
    <x v="30"/>
    <x v="30"/>
    <x v="1"/>
    <x v="1"/>
    <s v="Vinni-Pajusti Gümnaasium"/>
    <s v="laborant"/>
    <n v="0.25"/>
    <m/>
    <n v="584"/>
    <n v="146"/>
    <n v="12"/>
    <m/>
    <n v="1752"/>
    <n v="592.17600000000004"/>
    <m/>
  </r>
  <r>
    <x v="1"/>
    <x v="30"/>
    <x v="30"/>
    <x v="1"/>
    <x v="1"/>
    <s v="Vinni-Pajusti Gümnaasium"/>
    <s v="laborant"/>
    <n v="1"/>
    <m/>
    <n v="584"/>
    <n v="584"/>
    <n v="12"/>
    <m/>
    <n v="7008"/>
    <n v="2368.7040000000002"/>
    <m/>
  </r>
  <r>
    <x v="1"/>
    <x v="30"/>
    <x v="30"/>
    <x v="1"/>
    <x v="1"/>
    <s v="Vinni-Pajusti Gümnaasium"/>
    <s v="lasketiiru meister"/>
    <n v="1"/>
    <m/>
    <n v="584"/>
    <n v="584"/>
    <n v="12"/>
    <m/>
    <n v="7008"/>
    <n v="2368.7040000000002"/>
    <m/>
  </r>
  <r>
    <x v="1"/>
    <x v="30"/>
    <x v="30"/>
    <x v="1"/>
    <x v="1"/>
    <s v="Vinni-Pajusti Gümnaasium"/>
    <s v="logopeed"/>
    <n v="0.3"/>
    <m/>
    <n v="1315"/>
    <n v="394.5"/>
    <n v="12"/>
    <m/>
    <n v="4734"/>
    <n v="1600.0920000000001"/>
    <m/>
  </r>
  <r>
    <x v="1"/>
    <x v="30"/>
    <x v="30"/>
    <x v="1"/>
    <x v="1"/>
    <s v="Vinni-Pajusti Gümnaasium"/>
    <s v="logopeed"/>
    <n v="1"/>
    <m/>
    <n v="1450"/>
    <n v="1450"/>
    <n v="12"/>
    <m/>
    <n v="17400"/>
    <n v="5881.2000000000007"/>
    <m/>
  </r>
  <r>
    <x v="1"/>
    <x v="30"/>
    <x v="30"/>
    <x v="1"/>
    <x v="1"/>
    <s v="Vinni-Pajusti Gümnaasium"/>
    <s v="majahoidja"/>
    <n v="0.5"/>
    <m/>
    <n v="584"/>
    <n v="292"/>
    <n v="12"/>
    <m/>
    <n v="3504"/>
    <n v="1184.3520000000001"/>
    <m/>
  </r>
  <r>
    <x v="1"/>
    <x v="30"/>
    <x v="30"/>
    <x v="1"/>
    <x v="1"/>
    <s v="Vinni-Pajusti Gümnaasium"/>
    <s v="majahoidja"/>
    <n v="0.5"/>
    <m/>
    <n v="584"/>
    <n v="292"/>
    <n v="12"/>
    <m/>
    <n v="3504"/>
    <n v="1184.3520000000001"/>
    <m/>
  </r>
  <r>
    <x v="1"/>
    <x v="30"/>
    <x v="30"/>
    <x v="1"/>
    <x v="1"/>
    <s v="Vinni-Pajusti Gümnaasium"/>
    <s v="majandusjuhataja"/>
    <n v="1"/>
    <m/>
    <n v="1100"/>
    <n v="1100"/>
    <n v="12"/>
    <m/>
    <n v="13200"/>
    <n v="4461.6000000000004"/>
    <m/>
  </r>
  <r>
    <x v="1"/>
    <x v="30"/>
    <x v="30"/>
    <x v="1"/>
    <x v="1"/>
    <s v="Vinni-Pajusti Gümnaasium"/>
    <s v="med.õde"/>
    <n v="0.5"/>
    <m/>
    <n v="700"/>
    <n v="350"/>
    <n v="12"/>
    <m/>
    <n v="4200"/>
    <n v="1419.6000000000001"/>
    <m/>
  </r>
  <r>
    <x v="1"/>
    <x v="30"/>
    <x v="30"/>
    <x v="1"/>
    <x v="1"/>
    <s v="Vinni-Pajusti Gümnaasium"/>
    <s v="nõustamine"/>
    <n v="0.05"/>
    <m/>
    <n v="1315"/>
    <n v="65.75"/>
    <n v="12"/>
    <m/>
    <n v="789"/>
    <n v="266.68200000000002"/>
    <m/>
  </r>
  <r>
    <x v="1"/>
    <x v="30"/>
    <x v="30"/>
    <x v="1"/>
    <x v="1"/>
    <s v="Vinni-Pajusti Gümnaasium"/>
    <s v="ppr kasvataja"/>
    <n v="0.05"/>
    <m/>
    <n v="700"/>
    <n v="35"/>
    <n v="10"/>
    <m/>
    <n v="350"/>
    <n v="118.30000000000001"/>
    <m/>
  </r>
  <r>
    <x v="1"/>
    <x v="30"/>
    <x v="30"/>
    <x v="1"/>
    <x v="1"/>
    <s v="Vinni-Pajusti Gümnaasium"/>
    <s v="ppr kasvataja"/>
    <n v="0.05"/>
    <m/>
    <n v="700"/>
    <n v="35"/>
    <n v="10"/>
    <m/>
    <n v="350"/>
    <n v="118.30000000000001"/>
    <m/>
  </r>
  <r>
    <x v="1"/>
    <x v="30"/>
    <x v="30"/>
    <x v="1"/>
    <x v="1"/>
    <s v="Vinni-Pajusti Gümnaasium"/>
    <s v="ppr kasvataja"/>
    <n v="7.0000000000000007E-2"/>
    <m/>
    <n v="700"/>
    <n v="49.000000000000007"/>
    <n v="10"/>
    <m/>
    <n v="490.00000000000006"/>
    <n v="165.62000000000003"/>
    <m/>
  </r>
  <r>
    <x v="1"/>
    <x v="30"/>
    <x v="30"/>
    <x v="1"/>
    <x v="1"/>
    <s v="Vinni-Pajusti Gümnaasium"/>
    <s v="ppr kasvataja"/>
    <n v="0.09"/>
    <m/>
    <n v="700"/>
    <n v="63"/>
    <n v="10"/>
    <m/>
    <n v="630"/>
    <n v="212.94000000000003"/>
    <m/>
  </r>
  <r>
    <x v="1"/>
    <x v="30"/>
    <x v="30"/>
    <x v="1"/>
    <x v="1"/>
    <s v="Vinni-Pajusti Gümnaasium"/>
    <s v="ppr kasvataja"/>
    <n v="0.09"/>
    <m/>
    <n v="700"/>
    <n v="63"/>
    <n v="10"/>
    <m/>
    <n v="630"/>
    <n v="212.94000000000003"/>
    <m/>
  </r>
  <r>
    <x v="1"/>
    <x v="30"/>
    <x v="30"/>
    <x v="1"/>
    <x v="1"/>
    <s v="Vinni-Pajusti Gümnaasium"/>
    <s v="ppr kasvataja"/>
    <n v="0.09"/>
    <m/>
    <n v="700"/>
    <n v="63"/>
    <n v="10"/>
    <m/>
    <n v="630"/>
    <n v="212.94000000000003"/>
    <m/>
  </r>
  <r>
    <x v="1"/>
    <x v="30"/>
    <x v="30"/>
    <x v="1"/>
    <x v="1"/>
    <s v="Vinni-Pajusti Gümnaasium"/>
    <s v="ppr kasvataja"/>
    <n v="0.11"/>
    <m/>
    <n v="700"/>
    <n v="77"/>
    <n v="10"/>
    <m/>
    <n v="770"/>
    <n v="260.26"/>
    <m/>
  </r>
  <r>
    <x v="1"/>
    <x v="30"/>
    <x v="30"/>
    <x v="1"/>
    <x v="1"/>
    <s v="Vinni-Pajusti Gümnaasium"/>
    <s v="ppr kasvataja"/>
    <n v="0.14000000000000001"/>
    <m/>
    <n v="700"/>
    <n v="98.000000000000014"/>
    <n v="10"/>
    <m/>
    <n v="980.00000000000011"/>
    <n v="331.24000000000007"/>
    <m/>
  </r>
  <r>
    <x v="1"/>
    <x v="30"/>
    <x v="30"/>
    <x v="1"/>
    <x v="1"/>
    <s v="Vinni-Pajusti Gümnaasium"/>
    <s v="ppr kasvataja"/>
    <n v="0.14000000000000001"/>
    <m/>
    <n v="700"/>
    <n v="98.000000000000014"/>
    <n v="10"/>
    <m/>
    <n v="980.00000000000011"/>
    <n v="331.24000000000007"/>
    <m/>
  </r>
  <r>
    <x v="1"/>
    <x v="30"/>
    <x v="30"/>
    <x v="1"/>
    <x v="1"/>
    <s v="Vinni-Pajusti Gümnaasium"/>
    <s v="ppr kasvataja"/>
    <n v="0.14000000000000001"/>
    <m/>
    <n v="700"/>
    <n v="98.000000000000014"/>
    <n v="10"/>
    <m/>
    <n v="980.00000000000011"/>
    <n v="331.24000000000007"/>
    <m/>
  </r>
  <r>
    <x v="1"/>
    <x v="30"/>
    <x v="30"/>
    <x v="1"/>
    <x v="1"/>
    <s v="Vinni-Pajusti Gümnaasium"/>
    <s v="ppr kasvataja"/>
    <n v="0.14000000000000001"/>
    <m/>
    <n v="700"/>
    <n v="98.000000000000014"/>
    <n v="10"/>
    <m/>
    <n v="980.00000000000011"/>
    <n v="331.24000000000007"/>
    <m/>
  </r>
  <r>
    <x v="1"/>
    <x v="30"/>
    <x v="30"/>
    <x v="1"/>
    <x v="1"/>
    <s v="Vinni-Pajusti Gümnaasium"/>
    <s v="ppr kasvataja"/>
    <n v="0.23"/>
    <m/>
    <n v="700"/>
    <n v="161"/>
    <n v="10"/>
    <m/>
    <n v="1610"/>
    <n v="544.18000000000006"/>
    <m/>
  </r>
  <r>
    <x v="1"/>
    <x v="30"/>
    <x v="30"/>
    <x v="1"/>
    <x v="1"/>
    <s v="Vinni-Pajusti Gümnaasium"/>
    <s v="ppr kasvataja"/>
    <n v="0.27"/>
    <m/>
    <n v="700"/>
    <n v="189"/>
    <n v="10"/>
    <m/>
    <n v="1890"/>
    <n v="638.82000000000005"/>
    <m/>
  </r>
  <r>
    <x v="1"/>
    <x v="30"/>
    <x v="30"/>
    <x v="1"/>
    <x v="1"/>
    <s v="Vinni-Pajusti Gümnaasium"/>
    <s v="psühholoog"/>
    <n v="1"/>
    <m/>
    <n v="1315"/>
    <n v="1315"/>
    <n v="12"/>
    <m/>
    <n v="15780"/>
    <n v="5333.64"/>
    <m/>
  </r>
  <r>
    <x v="1"/>
    <x v="30"/>
    <x v="30"/>
    <x v="1"/>
    <x v="1"/>
    <s v="Vinni-Pajusti Gümnaasium"/>
    <s v="raamatukoguhoidja"/>
    <n v="1"/>
    <m/>
    <n v="700"/>
    <n v="700"/>
    <n v="12"/>
    <m/>
    <n v="8400"/>
    <n v="2839.2000000000003"/>
    <m/>
  </r>
  <r>
    <x v="1"/>
    <x v="30"/>
    <x v="30"/>
    <x v="1"/>
    <x v="1"/>
    <s v="Vinni-Pajusti Gümnaasium"/>
    <s v="remonditööline"/>
    <n v="1"/>
    <m/>
    <n v="584"/>
    <n v="584"/>
    <n v="12"/>
    <m/>
    <n v="7008"/>
    <n v="2368.7040000000002"/>
    <m/>
  </r>
  <r>
    <x v="1"/>
    <x v="30"/>
    <x v="30"/>
    <x v="1"/>
    <x v="1"/>
    <s v="Vinni-Pajusti Gümnaasium"/>
    <s v="ringijuht (huvitav keemia)"/>
    <n v="0.09"/>
    <m/>
    <n v="700"/>
    <n v="63"/>
    <n v="10"/>
    <m/>
    <n v="630"/>
    <n v="212.94000000000003"/>
    <m/>
  </r>
  <r>
    <x v="1"/>
    <x v="30"/>
    <x v="30"/>
    <x v="1"/>
    <x v="1"/>
    <s v="Vinni-Pajusti Gümnaasium"/>
    <s v="ringijuht (jalgpall, sulgpall, korvpall)"/>
    <n v="0.27"/>
    <m/>
    <n v="700"/>
    <n v="189"/>
    <n v="10"/>
    <m/>
    <n v="1890"/>
    <n v="638.82000000000005"/>
    <m/>
  </r>
  <r>
    <x v="1"/>
    <x v="30"/>
    <x v="30"/>
    <x v="1"/>
    <x v="1"/>
    <s v="Vinni-Pajusti Gümnaasium"/>
    <s v="ringijuht (judo, sumo)"/>
    <n v="0.27"/>
    <m/>
    <n v="700"/>
    <n v="189"/>
    <n v="10"/>
    <m/>
    <n v="1890"/>
    <n v="638.82000000000005"/>
    <m/>
  </r>
  <r>
    <x v="1"/>
    <x v="30"/>
    <x v="30"/>
    <x v="1"/>
    <x v="1"/>
    <s v="Vinni-Pajusti Gümnaasium"/>
    <s v="ringijuht (keelesõber)"/>
    <n v="0.09"/>
    <m/>
    <n v="700"/>
    <n v="63"/>
    <n v="10"/>
    <m/>
    <n v="630"/>
    <n v="212.94000000000003"/>
    <m/>
  </r>
  <r>
    <x v="1"/>
    <x v="30"/>
    <x v="30"/>
    <x v="1"/>
    <x v="1"/>
    <s v="Vinni-Pajusti Gümnaasium"/>
    <s v="ringijuht (kergejõustik)"/>
    <n v="1"/>
    <m/>
    <n v="700"/>
    <n v="700"/>
    <n v="10"/>
    <m/>
    <n v="7000"/>
    <n v="2366"/>
    <m/>
  </r>
  <r>
    <x v="1"/>
    <x v="30"/>
    <x v="30"/>
    <x v="1"/>
    <x v="1"/>
    <s v="Vinni-Pajusti Gümnaasium"/>
    <s v="ringijuht (kergejõustik)"/>
    <n v="0.45"/>
    <m/>
    <n v="700"/>
    <n v="315"/>
    <n v="10"/>
    <m/>
    <n v="3150"/>
    <n v="1064.7"/>
    <m/>
  </r>
  <r>
    <x v="1"/>
    <x v="30"/>
    <x v="30"/>
    <x v="1"/>
    <x v="1"/>
    <s v="Vinni-Pajusti Gümnaasium"/>
    <s v="ringijuht (klaverisaade)"/>
    <n v="0.5"/>
    <m/>
    <n v="700"/>
    <n v="350"/>
    <n v="10"/>
    <m/>
    <n v="3500"/>
    <n v="1183"/>
    <s v="lisatasu klaveriõpetajale"/>
  </r>
  <r>
    <x v="1"/>
    <x v="30"/>
    <x v="30"/>
    <x v="1"/>
    <x v="1"/>
    <s v="Vinni-Pajusti Gümnaasium"/>
    <s v="ringijuht (kodundus)"/>
    <n v="0.09"/>
    <m/>
    <n v="700"/>
    <n v="63"/>
    <n v="10"/>
    <m/>
    <n v="630"/>
    <n v="212.94000000000003"/>
    <m/>
  </r>
  <r>
    <x v="1"/>
    <x v="30"/>
    <x v="30"/>
    <x v="1"/>
    <x v="1"/>
    <s v="Vinni-Pajusti Gümnaasium"/>
    <s v="ringijuht (kodu-uurimine)"/>
    <n v="0.05"/>
    <m/>
    <n v="700"/>
    <n v="35"/>
    <n v="10"/>
    <m/>
    <n v="350"/>
    <n v="118.30000000000001"/>
    <m/>
  </r>
  <r>
    <x v="1"/>
    <x v="30"/>
    <x v="30"/>
    <x v="1"/>
    <x v="1"/>
    <s v="Vinni-Pajusti Gümnaasium"/>
    <s v="ringijuht (koolikujundus)"/>
    <n v="0.09"/>
    <m/>
    <n v="700"/>
    <n v="63"/>
    <n v="10"/>
    <m/>
    <n v="630"/>
    <n v="212.94000000000003"/>
    <m/>
  </r>
  <r>
    <x v="1"/>
    <x v="30"/>
    <x v="30"/>
    <x v="1"/>
    <x v="1"/>
    <s v="Vinni-Pajusti Gümnaasium"/>
    <s v="ringijuht (kooliraadio)"/>
    <n v="0.09"/>
    <m/>
    <n v="700"/>
    <n v="63"/>
    <n v="4"/>
    <m/>
    <n v="252"/>
    <n v="85.176000000000002"/>
    <s v="hetkel täitmata "/>
  </r>
  <r>
    <x v="1"/>
    <x v="30"/>
    <x v="30"/>
    <x v="1"/>
    <x v="1"/>
    <s v="Vinni-Pajusti Gümnaasium"/>
    <s v="ringijuht (Kooli-TV)"/>
    <n v="0.14000000000000001"/>
    <m/>
    <n v="700"/>
    <n v="98.000000000000014"/>
    <n v="4"/>
    <m/>
    <n v="392.00000000000006"/>
    <n v="132.49600000000004"/>
    <s v="hetkel täitmata "/>
  </r>
  <r>
    <x v="1"/>
    <x v="30"/>
    <x v="30"/>
    <x v="1"/>
    <x v="1"/>
    <s v="Vinni-Pajusti Gümnaasium"/>
    <s v="ringijuht (Kooli-TV)"/>
    <n v="0.32"/>
    <m/>
    <n v="700"/>
    <n v="224"/>
    <n v="4"/>
    <m/>
    <n v="896"/>
    <n v="302.84800000000001"/>
    <s v="hetkel täitmata "/>
  </r>
  <r>
    <x v="1"/>
    <x v="30"/>
    <x v="30"/>
    <x v="1"/>
    <x v="1"/>
    <s v="Vinni-Pajusti Gümnaasium"/>
    <s v="ringijuht (koorid(mudilas, laste)"/>
    <n v="0.36"/>
    <m/>
    <n v="700"/>
    <n v="252"/>
    <n v="10"/>
    <m/>
    <n v="2520"/>
    <n v="851.7600000000001"/>
    <m/>
  </r>
  <r>
    <x v="1"/>
    <x v="30"/>
    <x v="30"/>
    <x v="1"/>
    <x v="1"/>
    <s v="Vinni-Pajusti Gümnaasium"/>
    <s v="ringijuht (käsitöö)"/>
    <n v="0.09"/>
    <m/>
    <n v="700"/>
    <n v="63"/>
    <n v="10"/>
    <m/>
    <n v="630"/>
    <n v="212.94000000000003"/>
    <s v="lisatasu õpetajale"/>
  </r>
  <r>
    <x v="1"/>
    <x v="30"/>
    <x v="30"/>
    <x v="1"/>
    <x v="1"/>
    <s v="Vinni-Pajusti Gümnaasium"/>
    <s v="ringijuht (male)"/>
    <n v="0.36"/>
    <m/>
    <n v="700"/>
    <n v="252"/>
    <n v="10"/>
    <m/>
    <n v="2520"/>
    <n v="851.7600000000001"/>
    <m/>
  </r>
  <r>
    <x v="1"/>
    <x v="30"/>
    <x v="30"/>
    <x v="1"/>
    <x v="1"/>
    <s v="Vinni-Pajusti Gümnaasium"/>
    <s v="ringijuht (matkaring)"/>
    <n v="0.09"/>
    <m/>
    <n v="700"/>
    <n v="63"/>
    <n v="10"/>
    <m/>
    <n v="630"/>
    <n v="212.94000000000003"/>
    <s v="alustavad jaanuarist"/>
  </r>
  <r>
    <x v="1"/>
    <x v="30"/>
    <x v="30"/>
    <x v="1"/>
    <x v="1"/>
    <s v="Vinni-Pajusti Gümnaasium"/>
    <s v="ringijuht (matkaring)"/>
    <n v="0.09"/>
    <m/>
    <n v="700"/>
    <n v="63"/>
    <n v="10"/>
    <m/>
    <n v="630"/>
    <n v="212.94000000000003"/>
    <s v="alustavad jaanuarist"/>
  </r>
  <r>
    <x v="1"/>
    <x v="30"/>
    <x v="30"/>
    <x v="1"/>
    <x v="1"/>
    <s v="Vinni-Pajusti Gümnaasium"/>
    <s v="ringijuht (meedia)"/>
    <n v="0.09"/>
    <m/>
    <n v="700"/>
    <n v="63"/>
    <n v="4"/>
    <m/>
    <n v="252"/>
    <n v="85.176000000000002"/>
    <s v="hetkel täitmata "/>
  </r>
  <r>
    <x v="1"/>
    <x v="30"/>
    <x v="30"/>
    <x v="1"/>
    <x v="1"/>
    <s v="Vinni-Pajusti Gümnaasium"/>
    <s v="ringijuht (meisterdamine)"/>
    <n v="0.18"/>
    <m/>
    <n v="700"/>
    <n v="126"/>
    <n v="10"/>
    <m/>
    <n v="1260"/>
    <n v="425.88000000000005"/>
    <m/>
  </r>
  <r>
    <x v="1"/>
    <x v="30"/>
    <x v="30"/>
    <x v="1"/>
    <x v="1"/>
    <s v="Vinni-Pajusti Gümnaasium"/>
    <s v="ringijuht (mini RC/automudelism)"/>
    <n v="0.09"/>
    <m/>
    <n v="700"/>
    <n v="63"/>
    <n v="4"/>
    <m/>
    <n v="252"/>
    <n v="85.176000000000002"/>
    <s v="hetkel täitmata "/>
  </r>
  <r>
    <x v="1"/>
    <x v="30"/>
    <x v="30"/>
    <x v="1"/>
    <x v="1"/>
    <s v="Vinni-Pajusti Gümnaasium"/>
    <s v="ringijuht (mini RC/automudelism)"/>
    <n v="0.45"/>
    <m/>
    <n v="700"/>
    <n v="315"/>
    <n v="10"/>
    <m/>
    <n v="3150"/>
    <n v="1064.7"/>
    <m/>
  </r>
  <r>
    <x v="1"/>
    <x v="30"/>
    <x v="30"/>
    <x v="1"/>
    <x v="1"/>
    <s v="Vinni-Pajusti Gümnaasium"/>
    <s v="ringijuht (mudil. k, ans, solistid)"/>
    <n v="0.18"/>
    <m/>
    <n v="700"/>
    <n v="126"/>
    <n v="10"/>
    <m/>
    <n v="1260"/>
    <n v="425.88000000000005"/>
    <m/>
  </r>
  <r>
    <x v="1"/>
    <x v="30"/>
    <x v="30"/>
    <x v="1"/>
    <x v="1"/>
    <s v="Vinni-Pajusti Gümnaasium"/>
    <s v="ringijuht (muuseum)"/>
    <n v="0.05"/>
    <m/>
    <n v="700"/>
    <n v="35"/>
    <n v="10"/>
    <m/>
    <n v="350"/>
    <n v="118.30000000000001"/>
    <s v="lisatasu õpetajale"/>
  </r>
  <r>
    <x v="1"/>
    <x v="30"/>
    <x v="30"/>
    <x v="1"/>
    <x v="1"/>
    <s v="Vinni-Pajusti Gümnaasium"/>
    <s v="ringijuht (mälumängud)"/>
    <n v="0.05"/>
    <m/>
    <n v="700"/>
    <n v="35"/>
    <n v="10"/>
    <m/>
    <n v="350"/>
    <n v="118.30000000000001"/>
    <m/>
  </r>
  <r>
    <x v="1"/>
    <x v="30"/>
    <x v="30"/>
    <x v="1"/>
    <x v="1"/>
    <s v="Vinni-Pajusti Gümnaasium"/>
    <s v="ringijuht (mälumängud)"/>
    <n v="0.09"/>
    <m/>
    <n v="700"/>
    <n v="63"/>
    <n v="10"/>
    <m/>
    <n v="630"/>
    <n v="212.94000000000003"/>
    <m/>
  </r>
  <r>
    <x v="1"/>
    <x v="30"/>
    <x v="30"/>
    <x v="1"/>
    <x v="1"/>
    <s v="Vinni-Pajusti Gümnaasium"/>
    <s v="ringijuht (näitering)"/>
    <n v="0.09"/>
    <m/>
    <n v="700"/>
    <n v="63"/>
    <n v="10"/>
    <m/>
    <n v="630"/>
    <n v="212.94000000000003"/>
    <m/>
  </r>
  <r>
    <x v="1"/>
    <x v="30"/>
    <x v="30"/>
    <x v="1"/>
    <x v="1"/>
    <s v="Vinni-Pajusti Gümnaasium"/>
    <s v="ringijuht (orienteerumine)"/>
    <n v="0.18"/>
    <m/>
    <n v="700"/>
    <n v="126"/>
    <n v="4"/>
    <m/>
    <n v="504"/>
    <n v="170.352"/>
    <s v="hetkel täitmata "/>
  </r>
  <r>
    <x v="1"/>
    <x v="30"/>
    <x v="30"/>
    <x v="1"/>
    <x v="1"/>
    <s v="Vinni-Pajusti Gümnaasium"/>
    <s v="ringijuht (pilliõpetus)"/>
    <n v="0.36"/>
    <m/>
    <n v="700"/>
    <n v="252"/>
    <n v="10"/>
    <m/>
    <n v="2520"/>
    <n v="851.7600000000001"/>
    <m/>
  </r>
  <r>
    <x v="1"/>
    <x v="30"/>
    <x v="30"/>
    <x v="1"/>
    <x v="1"/>
    <s v="Vinni-Pajusti Gümnaasium"/>
    <s v="ringijuht (rahvatants)"/>
    <n v="0.09"/>
    <m/>
    <n v="700"/>
    <n v="63"/>
    <n v="10"/>
    <m/>
    <n v="630"/>
    <n v="212.94000000000003"/>
    <s v="lisatasu õpetajale"/>
  </r>
  <r>
    <x v="1"/>
    <x v="30"/>
    <x v="30"/>
    <x v="1"/>
    <x v="1"/>
    <s v="Vinni-Pajusti Gümnaasium"/>
    <s v="ringijuht (robootika)"/>
    <n v="0.45"/>
    <m/>
    <n v="700"/>
    <n v="315"/>
    <n v="10"/>
    <m/>
    <n v="3150"/>
    <n v="1064.7"/>
    <m/>
  </r>
  <r>
    <x v="1"/>
    <x v="30"/>
    <x v="30"/>
    <x v="1"/>
    <x v="1"/>
    <s v="Vinni-Pajusti Gümnaasium"/>
    <s v="ringijuht (rütmiring)"/>
    <n v="0.09"/>
    <m/>
    <n v="700"/>
    <n v="63"/>
    <n v="10"/>
    <m/>
    <n v="630"/>
    <n v="212.94000000000003"/>
    <s v="lisatasu õpetajale"/>
  </r>
  <r>
    <x v="1"/>
    <x v="30"/>
    <x v="30"/>
    <x v="1"/>
    <x v="1"/>
    <s v="Vinni-Pajusti Gümnaasium"/>
    <s v="ringijuht (sõutants)"/>
    <n v="0.18"/>
    <m/>
    <n v="700"/>
    <n v="126"/>
    <n v="4"/>
    <m/>
    <n v="504"/>
    <n v="170.352"/>
    <s v="hetkel täitmata "/>
  </r>
  <r>
    <x v="1"/>
    <x v="30"/>
    <x v="30"/>
    <x v="1"/>
    <x v="1"/>
    <s v="Vinni-Pajusti Gümnaasium"/>
    <s v="ringijuht (tantsuring)"/>
    <n v="0.25"/>
    <m/>
    <n v="700"/>
    <n v="175"/>
    <n v="10"/>
    <m/>
    <n v="1750"/>
    <n v="591.5"/>
    <s v="lisatasu õpetajale"/>
  </r>
  <r>
    <x v="1"/>
    <x v="30"/>
    <x v="30"/>
    <x v="1"/>
    <x v="1"/>
    <s v="Vinni-Pajusti Gümnaasium"/>
    <s v="ringijuht (teadmiste jahil)"/>
    <n v="0.09"/>
    <m/>
    <n v="700"/>
    <n v="63"/>
    <n v="10"/>
    <m/>
    <n v="630"/>
    <n v="212.94000000000003"/>
    <m/>
  </r>
  <r>
    <x v="1"/>
    <x v="30"/>
    <x v="30"/>
    <x v="1"/>
    <x v="1"/>
    <s v="Vinni-Pajusti Gümnaasium"/>
    <s v="ringijuht (teatriring)"/>
    <n v="0.09"/>
    <m/>
    <n v="700"/>
    <n v="63"/>
    <n v="10"/>
    <m/>
    <n v="630"/>
    <n v="212.94000000000003"/>
    <s v="lisatasu õpetajale"/>
  </r>
  <r>
    <x v="1"/>
    <x v="30"/>
    <x v="30"/>
    <x v="1"/>
    <x v="1"/>
    <s v="Vinni-Pajusti Gümnaasium"/>
    <s v="ringijuht (terve VPG)"/>
    <n v="0.14000000000000001"/>
    <m/>
    <n v="700"/>
    <n v="98.000000000000014"/>
    <n v="10"/>
    <m/>
    <n v="980.00000000000011"/>
    <n v="331.24000000000007"/>
    <s v="lisatasu õpetajale"/>
  </r>
  <r>
    <x v="1"/>
    <x v="30"/>
    <x v="30"/>
    <x v="1"/>
    <x v="1"/>
    <s v="Vinni-Pajusti Gümnaasium"/>
    <s v="ringijuht (TORE)"/>
    <n v="0.09"/>
    <m/>
    <n v="700"/>
    <n v="63"/>
    <n v="10"/>
    <m/>
    <n v="630"/>
    <n v="212.94000000000003"/>
    <m/>
  </r>
  <r>
    <x v="1"/>
    <x v="30"/>
    <x v="30"/>
    <x v="1"/>
    <x v="1"/>
    <s v="Vinni-Pajusti Gümnaasium"/>
    <s v="ringijuht (töö- ja tehnoloogia)"/>
    <n v="0.27"/>
    <m/>
    <n v="700"/>
    <n v="189"/>
    <n v="10"/>
    <m/>
    <n v="1890"/>
    <n v="638.82000000000005"/>
    <m/>
  </r>
  <r>
    <x v="1"/>
    <x v="30"/>
    <x v="30"/>
    <x v="1"/>
    <x v="1"/>
    <s v="Vinni-Pajusti Gümnaasium"/>
    <s v="sekretär"/>
    <n v="1"/>
    <m/>
    <n v="700"/>
    <n v="700"/>
    <n v="12"/>
    <m/>
    <n v="8400"/>
    <n v="2839.2000000000003"/>
    <s v="PALK 970"/>
  </r>
  <r>
    <x v="1"/>
    <x v="30"/>
    <x v="30"/>
    <x v="1"/>
    <x v="1"/>
    <s v="Vinni-Pajusti Gümnaasium"/>
    <s v="sots.pedagoog"/>
    <n v="1"/>
    <m/>
    <n v="1315"/>
    <n v="1315"/>
    <n v="12"/>
    <m/>
    <n v="15780"/>
    <n v="5333.64"/>
    <m/>
  </r>
  <r>
    <x v="1"/>
    <x v="30"/>
    <x v="30"/>
    <x v="1"/>
    <x v="1"/>
    <s v="Vinni-Pajusti Gümnaasium"/>
    <s v="söökla juhataja-kokk"/>
    <n v="1"/>
    <m/>
    <n v="940"/>
    <n v="940"/>
    <n v="12"/>
    <m/>
    <n v="11280"/>
    <n v="3812.6400000000003"/>
    <m/>
  </r>
  <r>
    <x v="1"/>
    <x v="30"/>
    <x v="30"/>
    <x v="1"/>
    <x v="1"/>
    <s v="Vinni-Pajusti Gümnaasium"/>
    <s v="valvur"/>
    <n v="1"/>
    <m/>
    <n v="584"/>
    <n v="584"/>
    <n v="12"/>
    <m/>
    <n v="7008"/>
    <n v="2368.7040000000002"/>
    <m/>
  </r>
  <r>
    <x v="1"/>
    <x v="30"/>
    <x v="30"/>
    <x v="1"/>
    <x v="1"/>
    <s v="Vinni-Pajusti Gümnaasium"/>
    <s v="õpetaja abi"/>
    <n v="1"/>
    <m/>
    <n v="700"/>
    <n v="700"/>
    <n v="12"/>
    <m/>
    <n v="8400"/>
    <n v="2839.2000000000003"/>
    <m/>
  </r>
  <r>
    <x v="1"/>
    <x v="30"/>
    <x v="30"/>
    <x v="1"/>
    <x v="1"/>
    <s v="Vinni-Pajusti Gümnaasium"/>
    <s v="HEV õppe koordinaator"/>
    <n v="1"/>
    <m/>
    <n v="1315"/>
    <n v="1315"/>
    <n v="12"/>
    <m/>
    <n v="15780"/>
    <n v="5333.64"/>
    <m/>
  </r>
  <r>
    <x v="1"/>
    <x v="30"/>
    <x v="30"/>
    <x v="1"/>
    <x v="1"/>
    <s v="Vinni-Pajusti Gümnaasium"/>
    <s v="Abiõpetaja"/>
    <n v="1"/>
    <m/>
    <n v="1200"/>
    <n v="1200"/>
    <n v="4"/>
    <m/>
    <n v="4800"/>
    <n v="1622.4"/>
    <s v="hetkel täitmata "/>
  </r>
  <r>
    <x v="1"/>
    <x v="31"/>
    <x v="31"/>
    <x v="1"/>
    <x v="1"/>
    <s v="Põlula kool"/>
    <s v="Pk õpetajate tööjõukulu"/>
    <n v="1"/>
    <s v="aasta"/>
    <n v="57469.357000000004"/>
    <n v="57469.357000000004"/>
    <n v="1"/>
    <m/>
    <n v="57469.357000000004"/>
    <n v="19424.642666000003"/>
    <m/>
  </r>
  <r>
    <x v="1"/>
    <x v="31"/>
    <x v="31"/>
    <x v="1"/>
    <x v="1"/>
    <s v="Põlula kool"/>
    <s v="Juhtide tööjõukulu"/>
    <n v="1"/>
    <m/>
    <n v="5399.85"/>
    <n v="5399.85"/>
    <n v="1"/>
    <m/>
    <n v="5399.85"/>
    <n v="1825.1493000000003"/>
    <m/>
  </r>
  <r>
    <x v="1"/>
    <x v="31"/>
    <x v="31"/>
    <x v="1"/>
    <x v="1"/>
    <s v="Põlula kool"/>
    <s v="sekretär"/>
    <n v="0.3"/>
    <m/>
    <n v="666.7"/>
    <n v="200.01000000000002"/>
    <n v="12"/>
    <m/>
    <n v="2400.1200000000003"/>
    <n v="811.24056000000019"/>
    <m/>
  </r>
  <r>
    <x v="1"/>
    <x v="31"/>
    <x v="31"/>
    <x v="1"/>
    <x v="1"/>
    <s v="Põlula kool"/>
    <s v="raamatukoguhoidja"/>
    <n v="0.25"/>
    <m/>
    <n v="616"/>
    <n v="154"/>
    <n v="12"/>
    <m/>
    <n v="1848"/>
    <n v="624.62400000000002"/>
    <m/>
  </r>
  <r>
    <x v="1"/>
    <x v="31"/>
    <x v="31"/>
    <x v="1"/>
    <x v="1"/>
    <s v="Põlula kool"/>
    <s v="pikapäeva rühma kasvataja"/>
    <n v="0.56999999999999995"/>
    <m/>
    <n v="991.23"/>
    <n v="565.00109999999995"/>
    <n v="12"/>
    <m/>
    <n v="6780.0131999999994"/>
    <n v="2291.6444615999999"/>
    <m/>
  </r>
  <r>
    <x v="1"/>
    <x v="31"/>
    <x v="31"/>
    <x v="1"/>
    <x v="1"/>
    <s v="Põlula kool"/>
    <s v="koristaja"/>
    <n v="1"/>
    <m/>
    <n v="584"/>
    <n v="584"/>
    <n v="12"/>
    <m/>
    <n v="7008"/>
    <n v="2368.7040000000002"/>
    <m/>
  </r>
  <r>
    <x v="1"/>
    <x v="31"/>
    <x v="31"/>
    <x v="1"/>
    <x v="1"/>
    <s v="Põlula kool"/>
    <s v="majahoidja"/>
    <n v="1"/>
    <m/>
    <n v="584"/>
    <n v="584"/>
    <n v="12"/>
    <m/>
    <n v="7008"/>
    <n v="2368.7040000000002"/>
    <m/>
  </r>
  <r>
    <x v="1"/>
    <x v="31"/>
    <x v="31"/>
    <x v="1"/>
    <x v="1"/>
    <s v="Põlula kool"/>
    <s v="kokk"/>
    <n v="1"/>
    <m/>
    <n v="750"/>
    <n v="750"/>
    <n v="12"/>
    <m/>
    <n v="9000"/>
    <n v="3042"/>
    <m/>
  </r>
  <r>
    <x v="1"/>
    <x v="31"/>
    <x v="31"/>
    <x v="1"/>
    <x v="1"/>
    <s v="Põlula kool"/>
    <s v="logopeed"/>
    <n v="0.6"/>
    <m/>
    <n v="983.35"/>
    <n v="590.01"/>
    <n v="12"/>
    <m/>
    <n v="7080.12"/>
    <n v="2393.0805600000003"/>
    <m/>
  </r>
  <r>
    <x v="1"/>
    <x v="31"/>
    <x v="31"/>
    <x v="1"/>
    <x v="1"/>
    <s v="Põlula kool"/>
    <s v="Lisatasud ja preemiad"/>
    <n v="1"/>
    <s v="aasta"/>
    <n v="100"/>
    <n v="100"/>
    <n v="12"/>
    <m/>
    <n v="1200"/>
    <n v="405.6"/>
    <m/>
  </r>
  <r>
    <x v="1"/>
    <x v="32"/>
    <x v="32"/>
    <x v="15"/>
    <x v="1"/>
    <s v="Haridusenõunik"/>
    <s v="Haridusenõunik"/>
    <n v="1"/>
    <m/>
    <n v="1560"/>
    <n v="1560"/>
    <n v="12"/>
    <m/>
    <n v="18720"/>
    <n v="6327.3600000000006"/>
    <m/>
  </r>
  <r>
    <x v="1"/>
    <x v="32"/>
    <x v="32"/>
    <x v="15"/>
    <x v="1"/>
    <s v="Haridusenõunik"/>
    <s v="Metoodik"/>
    <n v="1"/>
    <m/>
    <n v="1450"/>
    <n v="1450"/>
    <n v="12"/>
    <m/>
    <n v="17400"/>
    <n v="5881.2000000000007"/>
    <m/>
  </r>
  <r>
    <x v="1"/>
    <x v="32"/>
    <x v="32"/>
    <x v="15"/>
    <x v="1"/>
    <s v="Haridusenõunik"/>
    <s v="Eripedagoog "/>
    <n v="1"/>
    <m/>
    <n v="1450"/>
    <n v="1450"/>
    <n v="12"/>
    <m/>
    <n v="17400"/>
    <n v="5881.2000000000007"/>
    <m/>
  </r>
  <r>
    <x v="1"/>
    <x v="33"/>
    <x v="33"/>
    <x v="16"/>
    <x v="1"/>
    <s v="Haridusenõunik"/>
    <s v="ringijuhtide tasud valla koolides 145 000"/>
    <n v="1"/>
    <m/>
    <n v="108370.7"/>
    <n v="108370.7"/>
    <n v="1"/>
    <m/>
    <n v="108370.7"/>
    <n v="36629.296600000001"/>
    <m/>
  </r>
  <r>
    <x v="0"/>
    <x v="34"/>
    <x v="34"/>
    <x v="14"/>
    <x v="0"/>
    <s v="Venevere seltsimaja"/>
    <s v="juhataja"/>
    <n v="1"/>
    <m/>
    <n v="690"/>
    <n v="690"/>
    <n v="12"/>
    <m/>
    <n v="8280"/>
    <n v="2798.6400000000003"/>
    <m/>
  </r>
  <r>
    <x v="0"/>
    <x v="34"/>
    <x v="34"/>
    <x v="14"/>
    <x v="0"/>
    <s v="Venevere seltsimaja"/>
    <s v="Lepinguliste töötajate töötasu"/>
    <n v="1"/>
    <m/>
    <m/>
    <n v="0"/>
    <m/>
    <n v="650"/>
    <n v="650"/>
    <n v="219.70000000000002"/>
    <m/>
  </r>
  <r>
    <x v="2"/>
    <x v="35"/>
    <x v="35"/>
    <x v="3"/>
    <x v="2"/>
    <s v="Tammiku kodu"/>
    <s v="hooldaja"/>
    <n v="6"/>
    <m/>
    <n v="748"/>
    <n v="4488"/>
    <n v="12"/>
    <m/>
    <n v="53856"/>
    <n v="18203.328000000001"/>
    <s v="sisaldab palgatõusu"/>
  </r>
  <r>
    <x v="2"/>
    <x v="35"/>
    <x v="35"/>
    <x v="3"/>
    <x v="2"/>
    <s v="Tammiku kodu"/>
    <s v="kokk"/>
    <n v="1"/>
    <m/>
    <n v="660"/>
    <n v="660"/>
    <n v="12"/>
    <m/>
    <n v="7920"/>
    <n v="2676.96"/>
    <s v="sisaldab palgatõusu"/>
  </r>
  <r>
    <x v="2"/>
    <x v="35"/>
    <x v="35"/>
    <x v="3"/>
    <x v="2"/>
    <s v="Tammiku kodu"/>
    <s v="kokk"/>
    <n v="1"/>
    <m/>
    <n v="584"/>
    <n v="584"/>
    <n v="12"/>
    <m/>
    <n v="7008"/>
    <n v="2368.7040000000002"/>
    <s v="sisaldab palgatõusu"/>
  </r>
  <r>
    <x v="2"/>
    <x v="35"/>
    <x v="35"/>
    <x v="3"/>
    <x v="2"/>
    <s v="Tammiku kodu"/>
    <s v="majahoidja"/>
    <n v="0.5"/>
    <m/>
    <n v="584"/>
    <n v="292"/>
    <n v="12"/>
    <m/>
    <n v="3504"/>
    <n v="1184.3520000000001"/>
    <s v="sisaldab palgatõusu"/>
  </r>
  <r>
    <x v="2"/>
    <x v="35"/>
    <x v="35"/>
    <x v="3"/>
    <x v="2"/>
    <s v="Tammiku kodu"/>
    <s v="juhataja"/>
    <n v="1"/>
    <m/>
    <n v="1060"/>
    <n v="1060"/>
    <n v="12"/>
    <m/>
    <n v="12720"/>
    <n v="4299.3600000000006"/>
    <s v="sisaldab palgatõusu"/>
  </r>
  <r>
    <x v="2"/>
    <x v="35"/>
    <x v="35"/>
    <x v="3"/>
    <x v="2"/>
    <s v="Tammiku kodu"/>
    <s v="Lisatasud ja preemiad"/>
    <n v="1"/>
    <m/>
    <m/>
    <n v="0"/>
    <m/>
    <n v="7842"/>
    <n v="7842"/>
    <n v="2650.596"/>
    <m/>
  </r>
  <r>
    <x v="2"/>
    <x v="36"/>
    <x v="36"/>
    <x v="3"/>
    <x v="2"/>
    <s v="Ulvi kodu"/>
    <s v="juhataja"/>
    <n v="1"/>
    <m/>
    <n v="1435"/>
    <n v="1435"/>
    <n v="12"/>
    <m/>
    <n v="17220"/>
    <n v="5820.3600000000006"/>
    <m/>
  </r>
  <r>
    <x v="2"/>
    <x v="36"/>
    <x v="36"/>
    <x v="3"/>
    <x v="2"/>
    <s v="Ulvi kodu"/>
    <s v="Kokk"/>
    <n v="2"/>
    <m/>
    <n v="891"/>
    <n v="1782"/>
    <n v="12"/>
    <m/>
    <n v="21384"/>
    <n v="7227.7920000000004"/>
    <m/>
  </r>
  <r>
    <x v="2"/>
    <x v="36"/>
    <x v="36"/>
    <x v="3"/>
    <x v="2"/>
    <s v="Ulvi kodu"/>
    <s v="majandusjuhataja"/>
    <n v="1"/>
    <m/>
    <n v="880"/>
    <n v="880"/>
    <n v="12"/>
    <m/>
    <n v="10560"/>
    <n v="3569.28"/>
    <m/>
  </r>
  <r>
    <x v="2"/>
    <x v="36"/>
    <x v="36"/>
    <x v="3"/>
    <x v="2"/>
    <s v="Ulvi kodu"/>
    <s v="koristaja"/>
    <n v="1"/>
    <m/>
    <n v="770"/>
    <n v="770"/>
    <n v="12"/>
    <m/>
    <n v="9240"/>
    <n v="3123.1200000000003"/>
    <m/>
  </r>
  <r>
    <x v="2"/>
    <x v="36"/>
    <x v="36"/>
    <x v="3"/>
    <x v="2"/>
    <s v="Ulvi kodu"/>
    <s v="majahoidja"/>
    <n v="1"/>
    <m/>
    <n v="292"/>
    <n v="292"/>
    <n v="12"/>
    <m/>
    <n v="3504"/>
    <n v="1184.3520000000001"/>
    <m/>
  </r>
  <r>
    <x v="2"/>
    <x v="36"/>
    <x v="36"/>
    <x v="3"/>
    <x v="2"/>
    <s v="Ulvi kodu"/>
    <s v="hooldajad"/>
    <n v="6.5"/>
    <m/>
    <n v="948.61540000000002"/>
    <n v="6166.0001000000002"/>
    <n v="12"/>
    <m/>
    <n v="73992.001199999999"/>
    <n v="25009.296405600002"/>
    <m/>
  </r>
  <r>
    <x v="2"/>
    <x v="36"/>
    <x v="36"/>
    <x v="3"/>
    <x v="2"/>
    <s v="Ulvi kodu"/>
    <s v="Lepinguliste töötajate töötasu"/>
    <n v="1"/>
    <m/>
    <m/>
    <n v="0"/>
    <m/>
    <n v="1600"/>
    <n v="1600"/>
    <n v="540.80000000000007"/>
    <m/>
  </r>
  <r>
    <x v="0"/>
    <x v="37"/>
    <x v="37"/>
    <x v="0"/>
    <x v="0"/>
    <s v="Tudu raamatukogu"/>
    <s v="juhataja"/>
    <n v="1"/>
    <m/>
    <n v="591"/>
    <n v="591"/>
    <n v="12"/>
    <m/>
    <n v="7092"/>
    <n v="2397.096"/>
    <m/>
  </r>
  <r>
    <x v="2"/>
    <x v="38"/>
    <x v="38"/>
    <x v="17"/>
    <x v="2"/>
    <s v="Vinni Perekodu"/>
    <s v="juhataja"/>
    <n v="1"/>
    <m/>
    <n v="1800"/>
    <n v="1800"/>
    <n v="12"/>
    <n v="1800"/>
    <n v="23400"/>
    <n v="7909.2000000000007"/>
    <m/>
  </r>
  <r>
    <x v="2"/>
    <x v="38"/>
    <x v="38"/>
    <x v="17"/>
    <x v="2"/>
    <s v="Vinni Perekodu"/>
    <s v="juhiabi"/>
    <n v="1"/>
    <m/>
    <n v="1350"/>
    <n v="1350"/>
    <n v="12"/>
    <n v="1350"/>
    <n v="17550"/>
    <n v="5931.9000000000005"/>
    <m/>
  </r>
  <r>
    <x v="2"/>
    <x v="38"/>
    <x v="38"/>
    <x v="17"/>
    <x v="2"/>
    <s v="Vinni Perekodu"/>
    <s v="majandusjuhataja"/>
    <n v="1"/>
    <m/>
    <n v="1350"/>
    <n v="1350"/>
    <n v="12"/>
    <n v="1350"/>
    <n v="17550"/>
    <n v="5931.9000000000005"/>
    <m/>
  </r>
  <r>
    <x v="2"/>
    <x v="38"/>
    <x v="38"/>
    <x v="17"/>
    <x v="2"/>
    <s v="Vinni Perekodu"/>
    <s v="perevanem Päikese 8"/>
    <n v="1"/>
    <m/>
    <n v="1250"/>
    <n v="1250"/>
    <n v="12"/>
    <n v="1250"/>
    <n v="16250"/>
    <n v="5492.5"/>
    <m/>
  </r>
  <r>
    <x v="2"/>
    <x v="38"/>
    <x v="38"/>
    <x v="17"/>
    <x v="2"/>
    <s v="Vinni Perekodu"/>
    <s v="perevanem Päikese 8"/>
    <n v="1"/>
    <m/>
    <n v="1250"/>
    <n v="1250"/>
    <n v="12"/>
    <n v="1250"/>
    <n v="16250"/>
    <n v="5492.5"/>
    <m/>
  </r>
  <r>
    <x v="2"/>
    <x v="38"/>
    <x v="38"/>
    <x v="17"/>
    <x v="2"/>
    <s v="Vinni Perekodu"/>
    <s v="perevanem Päikese 8"/>
    <n v="1"/>
    <m/>
    <n v="1250"/>
    <n v="1250"/>
    <n v="12"/>
    <n v="1250"/>
    <n v="16250"/>
    <n v="5492.5"/>
    <m/>
  </r>
  <r>
    <x v="2"/>
    <x v="38"/>
    <x v="38"/>
    <x v="17"/>
    <x v="2"/>
    <s v="Vinni Perekodu"/>
    <s v="perevanem Päikese 12"/>
    <n v="1"/>
    <m/>
    <n v="1250"/>
    <n v="1250"/>
    <n v="12"/>
    <n v="1250"/>
    <n v="16250"/>
    <n v="5492.5"/>
    <m/>
  </r>
  <r>
    <x v="2"/>
    <x v="38"/>
    <x v="38"/>
    <x v="17"/>
    <x v="2"/>
    <s v="Vinni Perekodu"/>
    <s v="perevanem Päikese 12"/>
    <n v="1"/>
    <m/>
    <n v="1250"/>
    <n v="1250"/>
    <n v="12"/>
    <n v="1250"/>
    <n v="16250"/>
    <n v="5492.5"/>
    <m/>
  </r>
  <r>
    <x v="2"/>
    <x v="38"/>
    <x v="38"/>
    <x v="17"/>
    <x v="2"/>
    <s v="Vinni Perekodu"/>
    <s v="perevanem Päikese 12"/>
    <n v="1"/>
    <m/>
    <n v="1250"/>
    <n v="1250"/>
    <n v="12"/>
    <n v="1250"/>
    <n v="16250"/>
    <n v="5492.5"/>
    <m/>
  </r>
  <r>
    <x v="2"/>
    <x v="38"/>
    <x v="38"/>
    <x v="17"/>
    <x v="2"/>
    <s v="Vinni Perekodu"/>
    <s v="perevanem Päikese 14"/>
    <n v="1"/>
    <m/>
    <n v="1250"/>
    <n v="1250"/>
    <n v="12"/>
    <n v="1250"/>
    <n v="16250"/>
    <n v="5492.5"/>
    <m/>
  </r>
  <r>
    <x v="2"/>
    <x v="38"/>
    <x v="38"/>
    <x v="17"/>
    <x v="2"/>
    <s v="Vinni Perekodu"/>
    <s v="perevanem Päikese 14"/>
    <n v="1"/>
    <m/>
    <n v="1250"/>
    <n v="1250"/>
    <n v="12"/>
    <n v="1250"/>
    <n v="16250"/>
    <n v="5492.5"/>
    <m/>
  </r>
  <r>
    <x v="2"/>
    <x v="38"/>
    <x v="38"/>
    <x v="17"/>
    <x v="2"/>
    <s v="Vinni Perekodu"/>
    <s v="perevanem Päikese 14"/>
    <n v="1"/>
    <m/>
    <n v="1250"/>
    <n v="1250"/>
    <n v="12"/>
    <n v="1250"/>
    <n v="16250"/>
    <n v="5492.5"/>
    <m/>
  </r>
  <r>
    <x v="2"/>
    <x v="38"/>
    <x v="38"/>
    <x v="17"/>
    <x v="2"/>
    <s v="Vinni Perekodu"/>
    <s v="perevanem Päikese 4"/>
    <n v="1"/>
    <m/>
    <n v="1250"/>
    <n v="1250"/>
    <n v="12"/>
    <n v="1250"/>
    <n v="16250"/>
    <n v="5492.5"/>
    <m/>
  </r>
  <r>
    <x v="2"/>
    <x v="38"/>
    <x v="38"/>
    <x v="17"/>
    <x v="2"/>
    <s v="Vinni Perekodu"/>
    <s v="perevanem Päikese 4"/>
    <n v="1"/>
    <m/>
    <n v="1250"/>
    <n v="1250"/>
    <n v="12"/>
    <n v="1250"/>
    <n v="16250"/>
    <n v="5492.5"/>
    <m/>
  </r>
  <r>
    <x v="2"/>
    <x v="38"/>
    <x v="38"/>
    <x v="17"/>
    <x v="2"/>
    <s v="Vinni Perekodu"/>
    <s v="perevanem Päikese 4"/>
    <n v="1"/>
    <m/>
    <n v="1250"/>
    <n v="1250"/>
    <n v="12"/>
    <n v="1250"/>
    <n v="16250"/>
    <n v="5492.5"/>
    <m/>
  </r>
  <r>
    <x v="2"/>
    <x v="38"/>
    <x v="38"/>
    <x v="17"/>
    <x v="2"/>
    <s v="Vinni Perekodu"/>
    <s v="perevanem Päikese 2"/>
    <n v="1"/>
    <m/>
    <n v="1250"/>
    <n v="1250"/>
    <n v="12"/>
    <n v="1250"/>
    <n v="16250"/>
    <n v="5492.5"/>
    <m/>
  </r>
  <r>
    <x v="2"/>
    <x v="38"/>
    <x v="38"/>
    <x v="17"/>
    <x v="2"/>
    <s v="Vinni Perekodu"/>
    <s v="perevanem Päikese 2"/>
    <n v="1"/>
    <m/>
    <n v="1250"/>
    <n v="1250"/>
    <n v="12"/>
    <n v="1250"/>
    <n v="16250"/>
    <n v="5492.5"/>
    <m/>
  </r>
  <r>
    <x v="2"/>
    <x v="38"/>
    <x v="38"/>
    <x v="17"/>
    <x v="2"/>
    <s v="Vinni Perekodu"/>
    <s v="perevanem Päikese 2"/>
    <n v="1"/>
    <m/>
    <n v="1250"/>
    <n v="1250"/>
    <n v="12"/>
    <n v="1250"/>
    <n v="16250"/>
    <n v="5492.5"/>
    <m/>
  </r>
  <r>
    <x v="2"/>
    <x v="38"/>
    <x v="38"/>
    <x v="17"/>
    <x v="2"/>
    <s v="Vinni Perekodu"/>
    <s v="abi"/>
    <n v="1"/>
    <m/>
    <n v="900"/>
    <n v="900"/>
    <n v="12"/>
    <n v="900"/>
    <n v="11700"/>
    <n v="3954.6000000000004"/>
    <m/>
  </r>
  <r>
    <x v="2"/>
    <x v="38"/>
    <x v="38"/>
    <x v="17"/>
    <x v="2"/>
    <s v="Vinni Perekodu"/>
    <s v="puhkusteasendaja"/>
    <n v="1"/>
    <m/>
    <n v="1250"/>
    <n v="1250"/>
    <n v="12"/>
    <n v="1250"/>
    <n v="16250"/>
    <n v="5492.5"/>
    <m/>
  </r>
  <r>
    <x v="2"/>
    <x v="38"/>
    <x v="38"/>
    <x v="17"/>
    <x v="2"/>
    <s v="Vinni Perekodu"/>
    <s v="õuealahool, remont 0,5"/>
    <n v="1"/>
    <m/>
    <n v="670"/>
    <n v="670"/>
    <n v="12"/>
    <n v="670"/>
    <n v="8710"/>
    <n v="2943.98"/>
    <m/>
  </r>
  <r>
    <x v="2"/>
    <x v="38"/>
    <x v="38"/>
    <x v="17"/>
    <x v="2"/>
    <s v="Vinni Perekodu"/>
    <s v="autojuht 0,5"/>
    <n v="1"/>
    <m/>
    <n v="670"/>
    <n v="670"/>
    <n v="12"/>
    <n v="670"/>
    <n v="8710"/>
    <n v="2943.98"/>
    <m/>
  </r>
  <r>
    <x v="2"/>
    <x v="38"/>
    <x v="38"/>
    <x v="17"/>
    <x v="2"/>
    <s v="Vinni Perekodu"/>
    <s v="koristaja 0.2"/>
    <n v="1"/>
    <s v="in"/>
    <n v="120"/>
    <n v="120"/>
    <n v="12"/>
    <n v="120"/>
    <n v="1560"/>
    <n v="527.28000000000009"/>
    <m/>
  </r>
  <r>
    <x v="1"/>
    <x v="39"/>
    <x v="39"/>
    <x v="1"/>
    <x v="1"/>
    <s v="Tudu Põhikool"/>
    <s v="infojuht"/>
    <n v="0.30063699999999999"/>
    <m/>
    <n v="785"/>
    <n v="236.000045"/>
    <n v="12"/>
    <m/>
    <n v="2832.00054"/>
    <n v="957.21618252000007"/>
    <m/>
  </r>
  <r>
    <x v="1"/>
    <x v="39"/>
    <x v="39"/>
    <x v="1"/>
    <x v="1"/>
    <s v="Tudu Põhikool"/>
    <s v="ringijuht"/>
    <n v="1"/>
    <s v="in"/>
    <n v="580"/>
    <n v="580"/>
    <n v="12"/>
    <m/>
    <n v="6960"/>
    <n v="2352.48"/>
    <m/>
  </r>
  <r>
    <x v="1"/>
    <x v="39"/>
    <x v="39"/>
    <x v="1"/>
    <x v="1"/>
    <s v="Tudu Põhikool"/>
    <s v="kõneravi koolis"/>
    <n v="0.100034"/>
    <m/>
    <n v="978"/>
    <n v="97.833252000000002"/>
    <n v="12"/>
    <m/>
    <n v="1173.999024"/>
    <n v="396.811670112"/>
    <m/>
  </r>
  <r>
    <x v="1"/>
    <x v="40"/>
    <x v="40"/>
    <x v="2"/>
    <x v="1"/>
    <s v="Tudu Lasteaed"/>
    <s v="kõneravi lasteaias"/>
    <n v="0.100034"/>
    <m/>
    <n v="978"/>
    <n v="97.833252000000002"/>
    <n v="12"/>
    <m/>
    <n v="1173.999024"/>
    <n v="396.811670112"/>
    <m/>
  </r>
  <r>
    <x v="1"/>
    <x v="40"/>
    <x v="40"/>
    <x v="2"/>
    <x v="1"/>
    <s v="Tudu Lasteaed"/>
    <s v="abiõpetaja lasteaias"/>
    <n v="1"/>
    <m/>
    <n v="760"/>
    <n v="760"/>
    <n v="12"/>
    <m/>
    <n v="9120"/>
    <n v="3082.5600000000004"/>
    <m/>
  </r>
  <r>
    <x v="1"/>
    <x v="40"/>
    <x v="40"/>
    <x v="2"/>
    <x v="1"/>
    <s v="Tudu Lasteaed"/>
    <s v="lasteaiaõpetaja"/>
    <n v="1.83"/>
    <m/>
    <n v="1183.5"/>
    <n v="2165.8050000000003"/>
    <n v="12"/>
    <m/>
    <n v="25989.660000000003"/>
    <n v="8784.5050800000026"/>
    <m/>
  </r>
  <r>
    <x v="1"/>
    <x v="40"/>
    <x v="40"/>
    <x v="2"/>
    <x v="1"/>
    <s v="Tudu Lasteaed"/>
    <s v="lasteaia muusikaõpetaja"/>
    <n v="0.12978000000000001"/>
    <m/>
    <n v="1183.5"/>
    <n v="153.59463"/>
    <n v="12"/>
    <m/>
    <n v="1843.1355599999999"/>
    <n v="622.97981928000002"/>
    <m/>
  </r>
  <r>
    <x v="1"/>
    <x v="40"/>
    <x v="40"/>
    <x v="2"/>
    <x v="1"/>
    <s v="Tudu Lasteaed"/>
    <s v="lasteaia liikumisõpetaja"/>
    <n v="0.12978000000000001"/>
    <m/>
    <n v="1183.5"/>
    <n v="153.59463"/>
    <n v="12"/>
    <m/>
    <n v="1843.1355599999999"/>
    <n v="622.97981928000002"/>
    <m/>
  </r>
  <r>
    <x v="1"/>
    <x v="39"/>
    <x v="39"/>
    <x v="1"/>
    <x v="1"/>
    <s v="Tudu Põhikool"/>
    <s v="aednik-majahoidja"/>
    <n v="0.5"/>
    <m/>
    <n v="584"/>
    <n v="292"/>
    <n v="12"/>
    <m/>
    <n v="3504"/>
    <n v="1184.3520000000001"/>
    <m/>
  </r>
  <r>
    <x v="1"/>
    <x v="39"/>
    <x v="39"/>
    <x v="1"/>
    <x v="1"/>
    <s v="Tudu Põhikool"/>
    <s v="katlakütja"/>
    <n v="2"/>
    <m/>
    <n v="584"/>
    <n v="1168"/>
    <n v="12"/>
    <m/>
    <n v="14016"/>
    <n v="4737.4080000000004"/>
    <m/>
  </r>
  <r>
    <x v="1"/>
    <x v="39"/>
    <x v="39"/>
    <x v="1"/>
    <x v="1"/>
    <s v="Tudu Põhikool"/>
    <s v="bussijuht"/>
    <n v="0.5"/>
    <m/>
    <n v="901"/>
    <n v="450.5"/>
    <n v="12"/>
    <m/>
    <n v="5406"/>
    <n v="1827.2280000000001"/>
    <m/>
  </r>
  <r>
    <x v="1"/>
    <x v="39"/>
    <x v="39"/>
    <x v="1"/>
    <x v="1"/>
    <s v="Tudu Põhikool"/>
    <s v="koristaja"/>
    <n v="2"/>
    <m/>
    <n v="584"/>
    <n v="1168"/>
    <n v="12"/>
    <m/>
    <n v="14016"/>
    <n v="4737.4080000000004"/>
    <m/>
  </r>
  <r>
    <x v="1"/>
    <x v="39"/>
    <x v="39"/>
    <x v="1"/>
    <x v="1"/>
    <s v="Tudu Põhikool"/>
    <s v="remondimees"/>
    <n v="0.5"/>
    <m/>
    <n v="584"/>
    <n v="292"/>
    <n v="12"/>
    <m/>
    <n v="3504"/>
    <n v="1184.3520000000001"/>
    <m/>
  </r>
  <r>
    <x v="1"/>
    <x v="39"/>
    <x v="39"/>
    <x v="1"/>
    <x v="1"/>
    <s v="Tudu Põhikool"/>
    <s v="pesumasinist"/>
    <n v="0.25"/>
    <m/>
    <n v="584"/>
    <n v="146"/>
    <n v="12"/>
    <m/>
    <n v="1752"/>
    <n v="592.17600000000004"/>
    <m/>
  </r>
  <r>
    <x v="1"/>
    <x v="39"/>
    <x v="39"/>
    <x v="1"/>
    <x v="1"/>
    <s v="Tudu Põhikool"/>
    <s v="kokk+abitööline"/>
    <n v="1"/>
    <m/>
    <n v="703"/>
    <n v="703"/>
    <n v="12"/>
    <m/>
    <n v="8436"/>
    <n v="2851.3680000000004"/>
    <m/>
  </r>
  <r>
    <x v="1"/>
    <x v="39"/>
    <x v="39"/>
    <x v="1"/>
    <x v="1"/>
    <s v="Tudu Põhikool"/>
    <s v="Lisatasud ja preemiad"/>
    <m/>
    <m/>
    <m/>
    <n v="0"/>
    <n v="1"/>
    <n v="300"/>
    <n v="300"/>
    <n v="101.4"/>
    <m/>
  </r>
  <r>
    <x v="0"/>
    <x v="41"/>
    <x v="41"/>
    <x v="14"/>
    <x v="0"/>
    <s v="Roela Rahvamaja"/>
    <s v="Juhataja"/>
    <n v="1"/>
    <m/>
    <n v="966"/>
    <n v="966"/>
    <n v="12"/>
    <m/>
    <n v="11592"/>
    <n v="3918.0960000000005"/>
    <m/>
  </r>
  <r>
    <x v="0"/>
    <x v="41"/>
    <x v="41"/>
    <x v="14"/>
    <x v="0"/>
    <s v="Roela Rahvamaja"/>
    <s v="Perenaine"/>
    <n v="1"/>
    <m/>
    <n v="584"/>
    <n v="584"/>
    <n v="12"/>
    <m/>
    <n v="7008"/>
    <n v="2368.7040000000002"/>
    <m/>
  </r>
  <r>
    <x v="0"/>
    <x v="41"/>
    <x v="41"/>
    <x v="14"/>
    <x v="0"/>
    <s v="Roela Rahvamaja"/>
    <s v="Naistantsurühma juhendaja"/>
    <n v="1"/>
    <m/>
    <m/>
    <n v="0"/>
    <m/>
    <n v="795"/>
    <n v="795"/>
    <n v="268.71000000000004"/>
    <m/>
  </r>
  <r>
    <x v="0"/>
    <x v="41"/>
    <x v="41"/>
    <x v="14"/>
    <x v="0"/>
    <s v="Roela Rahvamaja"/>
    <s v="Memmede tantsurühma juhendaja"/>
    <n v="1"/>
    <m/>
    <m/>
    <n v="0"/>
    <m/>
    <n v="530"/>
    <n v="530"/>
    <n v="179.14000000000001"/>
    <m/>
  </r>
  <r>
    <x v="0"/>
    <x v="41"/>
    <x v="41"/>
    <x v="14"/>
    <x v="0"/>
    <s v="Roela Rahvamaja"/>
    <s v="Segakoori dirigent"/>
    <n v="1"/>
    <m/>
    <m/>
    <n v="0"/>
    <m/>
    <n v="795"/>
    <n v="795"/>
    <n v="268.71000000000004"/>
    <m/>
  </r>
  <r>
    <x v="0"/>
    <x v="41"/>
    <x v="41"/>
    <x v="14"/>
    <x v="0"/>
    <s v="Roela Rahvamaja"/>
    <s v="Naisansambli juhendaja"/>
    <n v="1"/>
    <m/>
    <m/>
    <n v="0"/>
    <m/>
    <n v="530"/>
    <n v="530"/>
    <n v="179.14000000000001"/>
    <m/>
  </r>
  <r>
    <x v="0"/>
    <x v="41"/>
    <x v="41"/>
    <x v="14"/>
    <x v="0"/>
    <s v="Roela Rahvamaja"/>
    <s v="Meesansambli juhendaja"/>
    <n v="1"/>
    <m/>
    <m/>
    <n v="0"/>
    <m/>
    <n v="530"/>
    <n v="530"/>
    <n v="179.14000000000001"/>
    <m/>
  </r>
  <r>
    <x v="0"/>
    <x v="41"/>
    <x v="41"/>
    <x v="14"/>
    <x v="0"/>
    <s v="Roela Rahvamaja"/>
    <s v="Kvartett ,,Sära´´ juhendaja"/>
    <n v="1"/>
    <m/>
    <m/>
    <n v="0"/>
    <m/>
    <n v="530"/>
    <n v="530"/>
    <n v="179.14000000000001"/>
    <m/>
  </r>
  <r>
    <x v="0"/>
    <x v="41"/>
    <x v="41"/>
    <x v="14"/>
    <x v="0"/>
    <s v="Roela Rahvamaja"/>
    <s v="ZUMBA tantsutrenni juhendaja"/>
    <n v="1"/>
    <m/>
    <m/>
    <n v="0"/>
    <m/>
    <n v="530"/>
    <n v="530"/>
    <n v="179.14000000000001"/>
    <m/>
  </r>
  <r>
    <x v="0"/>
    <x v="41"/>
    <x v="41"/>
    <x v="14"/>
    <x v="0"/>
    <s v="Roela Rahvamaja"/>
    <s v="Näiteringi ,,Kartoffel´´ juhendaja"/>
    <n v="1"/>
    <m/>
    <m/>
    <n v="0"/>
    <m/>
    <n v="795"/>
    <n v="795"/>
    <n v="268.71000000000004"/>
    <m/>
  </r>
  <r>
    <x v="0"/>
    <x v="41"/>
    <x v="41"/>
    <x v="14"/>
    <x v="0"/>
    <s v="Roela Rahvamaja"/>
    <s v="Laste pilliõpe"/>
    <n v="1"/>
    <m/>
    <m/>
    <n v="0"/>
    <m/>
    <m/>
    <n v="0"/>
    <n v="0"/>
    <s v="juhendaja tasustamine kuni eelmise aastani kooli eelarvest, vallavanem ei ole veel teinud otsust millisel moel edaspidi jätkata"/>
  </r>
  <r>
    <x v="6"/>
    <x v="42"/>
    <x v="42"/>
    <x v="18"/>
    <x v="6"/>
    <s v="Noorsoo- ja spordinõunik"/>
    <s v="Valmisolekutasud"/>
    <n v="7"/>
    <s v="in"/>
    <n v="30.963000000000001"/>
    <n v="216.74100000000001"/>
    <n v="4"/>
    <m/>
    <n v="866.96400000000006"/>
    <n v="293.03383200000002"/>
    <m/>
  </r>
  <r>
    <x v="4"/>
    <x v="43"/>
    <x v="43"/>
    <x v="19"/>
    <x v="4"/>
    <s v="Vallavanem"/>
    <s v="IT spetsialist"/>
    <n v="1"/>
    <m/>
    <n v="1560"/>
    <n v="1560"/>
    <n v="12"/>
    <m/>
    <n v="18720"/>
    <n v="6327.3600000000006"/>
    <m/>
  </r>
  <r>
    <x v="4"/>
    <x v="15"/>
    <x v="15"/>
    <x v="12"/>
    <x v="4"/>
    <s v="Vallavanem"/>
    <s v="teede- ja ühistranspordinõunik"/>
    <n v="1"/>
    <m/>
    <n v="1675"/>
    <n v="1675"/>
    <n v="12"/>
    <m/>
    <n v="20100"/>
    <n v="6793.8"/>
    <m/>
  </r>
  <r>
    <x v="3"/>
    <x v="4"/>
    <x v="4"/>
    <x v="4"/>
    <x v="3"/>
    <s v="Vallavanem"/>
    <s v="Valitsuse liikme tasud"/>
    <n v="3"/>
    <s v="in"/>
    <n v="45"/>
    <n v="135"/>
    <n v="56"/>
    <m/>
    <n v="7560"/>
    <n v="2555.2800000000002"/>
    <m/>
  </r>
  <r>
    <x v="0"/>
    <x v="44"/>
    <x v="44"/>
    <x v="20"/>
    <x v="0"/>
    <s v="Vallavanem"/>
    <s v="Kultuuri-ja avalike suhete nõunik"/>
    <n v="1"/>
    <m/>
    <n v="1560"/>
    <n v="1560"/>
    <n v="12"/>
    <m/>
    <n v="18720"/>
    <n v="6327.3600000000006"/>
    <m/>
  </r>
  <r>
    <x v="0"/>
    <x v="45"/>
    <x v="45"/>
    <x v="14"/>
    <x v="0"/>
    <s v="Kadila seltsimaja"/>
    <s v="Perenaine"/>
    <n v="1"/>
    <m/>
    <n v="584"/>
    <n v="584"/>
    <n v="12"/>
    <m/>
    <n v="7008"/>
    <n v="2368.7040000000002"/>
    <m/>
  </r>
  <r>
    <x v="0"/>
    <x v="46"/>
    <x v="46"/>
    <x v="14"/>
    <x v="0"/>
    <s v="Tudu Rahvamaja"/>
    <s v="Juhataja"/>
    <n v="1"/>
    <m/>
    <n v="160"/>
    <n v="160"/>
    <n v="12"/>
    <m/>
    <n v="1920"/>
    <n v="648.96"/>
    <m/>
  </r>
  <r>
    <x v="0"/>
    <x v="46"/>
    <x v="46"/>
    <x v="14"/>
    <x v="0"/>
    <s v="Tudu Rahvamaja"/>
    <s v="Lepinguliste töötajate töötasu"/>
    <n v="1"/>
    <s v="in"/>
    <n v="152"/>
    <n v="152"/>
    <n v="12"/>
    <m/>
    <n v="1824"/>
    <n v="616.51200000000006"/>
    <m/>
  </r>
  <r>
    <x v="0"/>
    <x v="47"/>
    <x v="47"/>
    <x v="14"/>
    <x v="0"/>
    <s v="Pajusti klubi"/>
    <s v="Juhataja"/>
    <n v="1"/>
    <m/>
    <n v="1150"/>
    <n v="1150"/>
    <n v="12"/>
    <m/>
    <n v="13800"/>
    <n v="4664.4000000000005"/>
    <m/>
  </r>
  <r>
    <x v="0"/>
    <x v="47"/>
    <x v="47"/>
    <x v="14"/>
    <x v="0"/>
    <s v="Pajusti klubi"/>
    <s v="Koristaja"/>
    <n v="1"/>
    <m/>
    <n v="584"/>
    <n v="584"/>
    <n v="12"/>
    <m/>
    <n v="7008"/>
    <n v="2368.7040000000002"/>
    <m/>
  </r>
  <r>
    <x v="0"/>
    <x v="47"/>
    <x v="47"/>
    <x v="14"/>
    <x v="0"/>
    <s v="Pajusti klubi"/>
    <s v="Lepingulised"/>
    <n v="1"/>
    <m/>
    <n v="897.5"/>
    <n v="897.5"/>
    <n v="12"/>
    <m/>
    <n v="10770"/>
    <n v="3640.26"/>
    <m/>
  </r>
  <r>
    <x v="1"/>
    <x v="48"/>
    <x v="48"/>
    <x v="21"/>
    <x v="1"/>
    <s v="Roela Õpilaskodu"/>
    <s v="ÕK kasvataja"/>
    <n v="1"/>
    <m/>
    <n v="820"/>
    <n v="820"/>
    <n v="12"/>
    <m/>
    <n v="9840"/>
    <n v="3325.92"/>
    <m/>
  </r>
  <r>
    <x v="1"/>
    <x v="48"/>
    <x v="48"/>
    <x v="21"/>
    <x v="1"/>
    <s v="Roela Õpilaskodu"/>
    <s v="ÕK öökasvataja"/>
    <n v="1"/>
    <m/>
    <n v="690"/>
    <n v="690"/>
    <n v="12"/>
    <m/>
    <n v="8280"/>
    <n v="2798.6400000000003"/>
    <m/>
  </r>
  <r>
    <x v="1"/>
    <x v="48"/>
    <x v="48"/>
    <x v="21"/>
    <x v="1"/>
    <s v="Roela Õpilaskodu"/>
    <s v="koristaja"/>
    <n v="1"/>
    <m/>
    <n v="390"/>
    <n v="390"/>
    <n v="12"/>
    <m/>
    <n v="4680"/>
    <n v="1581.8400000000001"/>
    <m/>
  </r>
  <r>
    <x v="1"/>
    <x v="49"/>
    <x v="49"/>
    <x v="2"/>
    <x v="1"/>
    <s v="Muuga-Laekvere kool"/>
    <s v="Õpetaja+ klassijuhatamine"/>
    <n v="0"/>
    <m/>
    <n v="1315"/>
    <n v="0"/>
    <n v="12"/>
    <m/>
    <n v="0"/>
    <n v="0"/>
    <m/>
  </r>
  <r>
    <x v="1"/>
    <x v="49"/>
    <x v="49"/>
    <x v="2"/>
    <x v="1"/>
    <s v="Muuga-Laekvere kool"/>
    <s v="õpiabi"/>
    <n v="0"/>
    <m/>
    <n v="1315"/>
    <n v="0"/>
    <n v="12"/>
    <m/>
    <n v="0"/>
    <n v="0"/>
    <m/>
  </r>
  <r>
    <x v="1"/>
    <x v="49"/>
    <x v="49"/>
    <x v="2"/>
    <x v="1"/>
    <s v="Muuga-Laekvere kool"/>
    <s v="õppejuht "/>
    <n v="0"/>
    <m/>
    <n v="1315"/>
    <n v="0"/>
    <n v="12"/>
    <m/>
    <n v="0"/>
    <n v="0"/>
    <m/>
  </r>
  <r>
    <x v="1"/>
    <x v="49"/>
    <x v="49"/>
    <x v="2"/>
    <x v="1"/>
    <s v="Muuga-Laekvere kool"/>
    <s v="direktor"/>
    <n v="0"/>
    <m/>
    <n v="1414"/>
    <n v="0"/>
    <n v="12"/>
    <m/>
    <n v="0"/>
    <n v="0"/>
    <m/>
  </r>
  <r>
    <x v="1"/>
    <x v="49"/>
    <x v="49"/>
    <x v="2"/>
    <x v="1"/>
    <s v="Muuga-Laekvere kool"/>
    <s v="sotsiaalpedagoog "/>
    <n v="0.25"/>
    <m/>
    <n v="1315"/>
    <n v="328.75"/>
    <n v="12"/>
    <m/>
    <n v="3945"/>
    <n v="1333.41"/>
    <m/>
  </r>
  <r>
    <x v="1"/>
    <x v="49"/>
    <x v="49"/>
    <x v="2"/>
    <x v="1"/>
    <s v="Muuga-Laekvere kool"/>
    <s v="logopeed"/>
    <n v="0.5"/>
    <m/>
    <n v="1315"/>
    <n v="657.5"/>
    <n v="12"/>
    <m/>
    <n v="7890"/>
    <n v="2666.82"/>
    <m/>
  </r>
  <r>
    <x v="1"/>
    <x v="49"/>
    <x v="49"/>
    <x v="2"/>
    <x v="1"/>
    <s v="Muuga-Laekvere kool"/>
    <s v="lasteaia õpetaja"/>
    <n v="3.25"/>
    <m/>
    <n v="1183.5"/>
    <n v="3846.375"/>
    <n v="12"/>
    <m/>
    <n v="46156.5"/>
    <n v="15600.897000000001"/>
    <m/>
  </r>
  <r>
    <x v="1"/>
    <x v="49"/>
    <x v="49"/>
    <x v="2"/>
    <x v="1"/>
    <s v="Muuga-Laekvere kool"/>
    <s v="lasteaia õpetaja"/>
    <n v="0.25"/>
    <m/>
    <n v="1315"/>
    <n v="328.75"/>
    <n v="12"/>
    <m/>
    <n v="3945"/>
    <n v="1333.41"/>
    <m/>
  </r>
  <r>
    <x v="1"/>
    <x v="49"/>
    <x v="49"/>
    <x v="2"/>
    <x v="1"/>
    <s v="Muuga-Laekvere kool"/>
    <s v="õpetaja abi"/>
    <n v="2"/>
    <m/>
    <n v="702"/>
    <n v="1404"/>
    <n v="12"/>
    <m/>
    <n v="16848"/>
    <n v="5694.6240000000007"/>
    <m/>
  </r>
  <r>
    <x v="1"/>
    <x v="49"/>
    <x v="49"/>
    <x v="2"/>
    <x v="1"/>
    <s v="Muuga-Laekvere kool"/>
    <s v="hoidja"/>
    <n v="2"/>
    <m/>
    <n v="702"/>
    <n v="1404"/>
    <n v="12"/>
    <m/>
    <n v="16848"/>
    <n v="5694.6240000000007"/>
    <m/>
  </r>
  <r>
    <x v="1"/>
    <x v="49"/>
    <x v="49"/>
    <x v="2"/>
    <x v="1"/>
    <s v="Muuga-Laekvere kool"/>
    <s v="õpetaja assistent"/>
    <n v="1"/>
    <m/>
    <n v="1183.5"/>
    <n v="1183.5"/>
    <n v="12"/>
    <m/>
    <n v="14202"/>
    <n v="4800.2760000000007"/>
    <m/>
  </r>
  <r>
    <x v="1"/>
    <x v="49"/>
    <x v="49"/>
    <x v="2"/>
    <x v="1"/>
    <s v="Muuga-Laekvere kool"/>
    <s v="pikkpäev "/>
    <n v="0"/>
    <m/>
    <n v="756"/>
    <n v="0"/>
    <n v="12"/>
    <m/>
    <n v="0"/>
    <n v="0"/>
    <m/>
  </r>
  <r>
    <x v="1"/>
    <x v="49"/>
    <x v="49"/>
    <x v="2"/>
    <x v="1"/>
    <s v="Muuga-Laekvere kool"/>
    <s v="koristaja"/>
    <n v="0"/>
    <m/>
    <n v="584"/>
    <n v="0"/>
    <n v="12"/>
    <m/>
    <n v="0"/>
    <n v="0"/>
    <m/>
  </r>
  <r>
    <x v="1"/>
    <x v="49"/>
    <x v="49"/>
    <x v="2"/>
    <x v="1"/>
    <s v="Muuga-Laekvere kool"/>
    <s v="majahoidja"/>
    <n v="1"/>
    <m/>
    <n v="584"/>
    <n v="584"/>
    <n v="12"/>
    <m/>
    <n v="7008"/>
    <n v="2368.7040000000002"/>
    <m/>
  </r>
  <r>
    <x v="1"/>
    <x v="49"/>
    <x v="49"/>
    <x v="2"/>
    <x v="1"/>
    <s v="Muuga-Laekvere kool"/>
    <s v="majandusjuhataja"/>
    <n v="0"/>
    <m/>
    <n v="805"/>
    <n v="0"/>
    <n v="12"/>
    <m/>
    <n v="0"/>
    <n v="0"/>
    <m/>
  </r>
  <r>
    <x v="1"/>
    <x v="49"/>
    <x v="49"/>
    <x v="2"/>
    <x v="1"/>
    <s v="Muuga-Laekvere kool"/>
    <s v="mõisa perenaine"/>
    <n v="0"/>
    <m/>
    <n v="691"/>
    <n v="0"/>
    <n v="12"/>
    <m/>
    <n v="0"/>
    <n v="0"/>
    <m/>
  </r>
  <r>
    <x v="1"/>
    <x v="49"/>
    <x v="49"/>
    <x v="2"/>
    <x v="1"/>
    <s v="Muuga-Laekvere kool"/>
    <s v="kokk"/>
    <n v="0"/>
    <m/>
    <n v="724"/>
    <n v="0"/>
    <n v="12"/>
    <m/>
    <n v="0"/>
    <n v="0"/>
    <m/>
  </r>
  <r>
    <x v="1"/>
    <x v="49"/>
    <x v="49"/>
    <x v="2"/>
    <x v="1"/>
    <s v="Muuga-Laekvere kool"/>
    <s v="kokk"/>
    <n v="0"/>
    <m/>
    <n v="632"/>
    <n v="0"/>
    <n v="12"/>
    <m/>
    <n v="0"/>
    <n v="0"/>
    <m/>
  </r>
  <r>
    <x v="1"/>
    <x v="49"/>
    <x v="49"/>
    <x v="2"/>
    <x v="1"/>
    <s v="Muuga-Laekvere kool"/>
    <s v="koka abi"/>
    <n v="0"/>
    <m/>
    <n v="632"/>
    <n v="0"/>
    <n v="12"/>
    <m/>
    <n v="0"/>
    <n v="0"/>
    <m/>
  </r>
  <r>
    <x v="1"/>
    <x v="49"/>
    <x v="49"/>
    <x v="2"/>
    <x v="1"/>
    <s v="Muuga-Laekvere kool"/>
    <s v="infojuht"/>
    <n v="0"/>
    <m/>
    <n v="853"/>
    <n v="0"/>
    <n v="12"/>
    <m/>
    <n v="0"/>
    <n v="0"/>
    <m/>
  </r>
  <r>
    <x v="1"/>
    <x v="49"/>
    <x v="49"/>
    <x v="2"/>
    <x v="1"/>
    <s v="Muuga-Laekvere kool"/>
    <s v="laborant"/>
    <n v="0"/>
    <m/>
    <n v="584"/>
    <n v="0"/>
    <n v="12"/>
    <m/>
    <n v="0"/>
    <n v="0"/>
    <m/>
  </r>
  <r>
    <x v="1"/>
    <x v="49"/>
    <x v="49"/>
    <x v="2"/>
    <x v="1"/>
    <s v="Muuga-Laekvere kool"/>
    <s v="ringid (1,29+1,31)"/>
    <n v="0"/>
    <m/>
    <n v="664"/>
    <n v="0"/>
    <n v="12"/>
    <m/>
    <n v="0"/>
    <n v="0"/>
    <m/>
  </r>
  <r>
    <x v="1"/>
    <x v="50"/>
    <x v="50"/>
    <x v="1"/>
    <x v="1"/>
    <s v="Muuga-Laekvere kool"/>
    <s v="sotsiaalpedagoog "/>
    <n v="0.5"/>
    <m/>
    <n v="1250"/>
    <n v="625"/>
    <n v="12"/>
    <m/>
    <n v="7500"/>
    <n v="2535"/>
    <m/>
  </r>
  <r>
    <x v="1"/>
    <x v="50"/>
    <x v="50"/>
    <x v="1"/>
    <x v="1"/>
    <s v="Muuga-Laekvere kool"/>
    <s v="logopeed"/>
    <n v="0.25"/>
    <m/>
    <n v="1250"/>
    <n v="312.5"/>
    <n v="12"/>
    <m/>
    <n v="3750"/>
    <n v="1267.5"/>
    <m/>
  </r>
  <r>
    <x v="1"/>
    <x v="50"/>
    <x v="50"/>
    <x v="1"/>
    <x v="1"/>
    <s v="Muuga-Laekvere kool"/>
    <s v="õpetaja abi"/>
    <n v="0"/>
    <m/>
    <n v="702"/>
    <n v="0"/>
    <n v="12"/>
    <m/>
    <n v="0"/>
    <n v="0"/>
    <m/>
  </r>
  <r>
    <x v="1"/>
    <x v="50"/>
    <x v="50"/>
    <x v="1"/>
    <x v="1"/>
    <s v="Muuga-Laekvere kool"/>
    <s v="hoidja"/>
    <n v="0"/>
    <m/>
    <n v="702"/>
    <n v="0"/>
    <n v="12"/>
    <m/>
    <n v="0"/>
    <n v="0"/>
    <m/>
  </r>
  <r>
    <x v="1"/>
    <x v="50"/>
    <x v="50"/>
    <x v="1"/>
    <x v="1"/>
    <s v="Muuga-Laekvere kool"/>
    <s v="õpetaja assistent"/>
    <n v="0"/>
    <m/>
    <n v="1000"/>
    <n v="0"/>
    <n v="12"/>
    <m/>
    <n v="0"/>
    <n v="0"/>
    <m/>
  </r>
  <r>
    <x v="1"/>
    <x v="50"/>
    <x v="50"/>
    <x v="1"/>
    <x v="1"/>
    <s v="Muuga-Laekvere kool"/>
    <s v="pikkpäev "/>
    <n v="0.7"/>
    <m/>
    <n v="756"/>
    <n v="529.19999999999993"/>
    <n v="10"/>
    <m/>
    <n v="5291.9999999999991"/>
    <n v="1788.6959999999999"/>
    <m/>
  </r>
  <r>
    <x v="1"/>
    <x v="50"/>
    <x v="50"/>
    <x v="1"/>
    <x v="1"/>
    <s v="Muuga-Laekvere kool"/>
    <s v="koristaja"/>
    <n v="2"/>
    <m/>
    <n v="584"/>
    <n v="1168"/>
    <n v="12"/>
    <m/>
    <n v="14016"/>
    <n v="4737.4080000000004"/>
    <m/>
  </r>
  <r>
    <x v="1"/>
    <x v="50"/>
    <x v="50"/>
    <x v="1"/>
    <x v="1"/>
    <s v="Muuga-Laekvere kool"/>
    <s v="majahoidja"/>
    <n v="0"/>
    <m/>
    <n v="584"/>
    <n v="0"/>
    <n v="12"/>
    <m/>
    <n v="0"/>
    <n v="0"/>
    <m/>
  </r>
  <r>
    <x v="1"/>
    <x v="50"/>
    <x v="50"/>
    <x v="1"/>
    <x v="1"/>
    <s v="Muuga-Laekvere kool"/>
    <s v="majandusjuhataja"/>
    <n v="1"/>
    <m/>
    <n v="805"/>
    <n v="805"/>
    <n v="12"/>
    <m/>
    <n v="9660"/>
    <n v="3265.0800000000004"/>
    <m/>
  </r>
  <r>
    <x v="1"/>
    <x v="50"/>
    <x v="50"/>
    <x v="1"/>
    <x v="1"/>
    <s v="Muuga-Laekvere kool"/>
    <s v="mõisa perenaine"/>
    <n v="0"/>
    <m/>
    <n v="691"/>
    <n v="0"/>
    <n v="12"/>
    <m/>
    <n v="0"/>
    <n v="0"/>
    <m/>
  </r>
  <r>
    <x v="1"/>
    <x v="50"/>
    <x v="50"/>
    <x v="1"/>
    <x v="1"/>
    <s v="Muuga-Laekvere kool"/>
    <s v="kokk"/>
    <n v="1"/>
    <m/>
    <n v="724"/>
    <n v="724"/>
    <n v="12"/>
    <m/>
    <n v="8688"/>
    <n v="2936.5440000000003"/>
    <m/>
  </r>
  <r>
    <x v="1"/>
    <x v="50"/>
    <x v="50"/>
    <x v="1"/>
    <x v="1"/>
    <s v="Muuga-Laekvere kool"/>
    <s v="kokk"/>
    <n v="0"/>
    <m/>
    <n v="632"/>
    <n v="0"/>
    <n v="12"/>
    <m/>
    <n v="0"/>
    <n v="0"/>
    <m/>
  </r>
  <r>
    <x v="1"/>
    <x v="50"/>
    <x v="50"/>
    <x v="1"/>
    <x v="1"/>
    <s v="Muuga-Laekvere kool"/>
    <s v="koka abi"/>
    <n v="1"/>
    <m/>
    <n v="632"/>
    <n v="632"/>
    <n v="12"/>
    <m/>
    <n v="7584"/>
    <n v="2563.3920000000003"/>
    <m/>
  </r>
  <r>
    <x v="1"/>
    <x v="50"/>
    <x v="50"/>
    <x v="1"/>
    <x v="1"/>
    <s v="Muuga-Laekvere kool"/>
    <s v="infojuht"/>
    <n v="0"/>
    <m/>
    <n v="853"/>
    <n v="0"/>
    <n v="12"/>
    <m/>
    <n v="0"/>
    <n v="0"/>
    <m/>
  </r>
  <r>
    <x v="1"/>
    <x v="50"/>
    <x v="50"/>
    <x v="1"/>
    <x v="1"/>
    <s v="Muuga-Laekvere kool"/>
    <s v="laborant"/>
    <n v="0.3"/>
    <m/>
    <n v="584"/>
    <n v="175.2"/>
    <n v="12"/>
    <m/>
    <n v="2102.3999999999996"/>
    <n v="710.61119999999994"/>
    <m/>
  </r>
  <r>
    <x v="1"/>
    <x v="50"/>
    <x v="50"/>
    <x v="1"/>
    <x v="1"/>
    <s v="Muuga-Laekvere kool"/>
    <s v="ringid (1,29+1,31)"/>
    <n v="1.29"/>
    <m/>
    <n v="664"/>
    <n v="856.56000000000006"/>
    <n v="9"/>
    <m/>
    <n v="7709.0400000000009"/>
    <n v="2605.6555200000003"/>
    <m/>
  </r>
  <r>
    <x v="1"/>
    <x v="50"/>
    <x v="50"/>
    <x v="1"/>
    <x v="1"/>
    <s v="Muuga-Laekvere kool"/>
    <s v="sotsiaalpedagoog "/>
    <n v="0.25"/>
    <m/>
    <n v="1250"/>
    <n v="312.5"/>
    <n v="12"/>
    <m/>
    <n v="3750"/>
    <n v="1267.5"/>
    <m/>
  </r>
  <r>
    <x v="1"/>
    <x v="50"/>
    <x v="50"/>
    <x v="1"/>
    <x v="1"/>
    <s v="Muuga-Laekvere kool"/>
    <s v="logopeed"/>
    <n v="0.25"/>
    <m/>
    <n v="1250"/>
    <n v="312.5"/>
    <n v="12"/>
    <m/>
    <n v="3750"/>
    <n v="1267.5"/>
    <m/>
  </r>
  <r>
    <x v="1"/>
    <x v="50"/>
    <x v="50"/>
    <x v="1"/>
    <x v="1"/>
    <s v="Muuga-Laekvere kool"/>
    <s v="õpetaja abi"/>
    <n v="0"/>
    <m/>
    <n v="702"/>
    <n v="0"/>
    <n v="12"/>
    <m/>
    <n v="0"/>
    <n v="0"/>
    <m/>
  </r>
  <r>
    <x v="1"/>
    <x v="50"/>
    <x v="50"/>
    <x v="1"/>
    <x v="1"/>
    <s v="Muuga-Laekvere kool"/>
    <s v="hoidja"/>
    <n v="0"/>
    <m/>
    <n v="702"/>
    <n v="0"/>
    <n v="12"/>
    <m/>
    <n v="0"/>
    <n v="0"/>
    <m/>
  </r>
  <r>
    <x v="1"/>
    <x v="50"/>
    <x v="50"/>
    <x v="1"/>
    <x v="1"/>
    <s v="Muuga-Laekvere kool"/>
    <s v="õpetaja assistent"/>
    <n v="0"/>
    <m/>
    <n v="1000"/>
    <n v="0"/>
    <n v="12"/>
    <m/>
    <n v="0"/>
    <n v="0"/>
    <m/>
  </r>
  <r>
    <x v="1"/>
    <x v="50"/>
    <x v="50"/>
    <x v="1"/>
    <x v="1"/>
    <s v="Muuga-Laekvere kool"/>
    <s v="pikkpäev "/>
    <n v="0.7"/>
    <m/>
    <n v="756"/>
    <n v="529.19999999999993"/>
    <n v="12"/>
    <m/>
    <n v="6350.4"/>
    <n v="2146.4351999999999"/>
    <m/>
  </r>
  <r>
    <x v="1"/>
    <x v="50"/>
    <x v="50"/>
    <x v="1"/>
    <x v="1"/>
    <s v="Muuga-Laekvere kool"/>
    <s v="koristaja"/>
    <n v="1"/>
    <m/>
    <n v="584"/>
    <n v="584"/>
    <n v="12"/>
    <m/>
    <n v="7008"/>
    <n v="2368.7040000000002"/>
    <m/>
  </r>
  <r>
    <x v="1"/>
    <x v="50"/>
    <x v="50"/>
    <x v="1"/>
    <x v="1"/>
    <s v="Muuga-Laekvere kool"/>
    <s v="majahoidja"/>
    <n v="1"/>
    <m/>
    <n v="584"/>
    <n v="584"/>
    <n v="12"/>
    <m/>
    <n v="7008"/>
    <n v="2368.7040000000002"/>
    <m/>
  </r>
  <r>
    <x v="1"/>
    <x v="50"/>
    <x v="50"/>
    <x v="1"/>
    <x v="1"/>
    <s v="Muuga-Laekvere kool"/>
    <s v="majandusjuhataja"/>
    <n v="0"/>
    <m/>
    <n v="805"/>
    <n v="0"/>
    <n v="12"/>
    <m/>
    <n v="0"/>
    <n v="0"/>
    <m/>
  </r>
  <r>
    <x v="1"/>
    <x v="50"/>
    <x v="50"/>
    <x v="1"/>
    <x v="1"/>
    <s v="Muuga-Laekvere kool"/>
    <s v="mõisa perenaine"/>
    <n v="1"/>
    <m/>
    <n v="691"/>
    <n v="691"/>
    <n v="12"/>
    <m/>
    <n v="8292"/>
    <n v="2802.6960000000004"/>
    <m/>
  </r>
  <r>
    <x v="1"/>
    <x v="50"/>
    <x v="50"/>
    <x v="1"/>
    <x v="1"/>
    <s v="Muuga-Laekvere kool"/>
    <s v="kokk"/>
    <n v="0"/>
    <m/>
    <n v="724"/>
    <n v="0"/>
    <n v="12"/>
    <m/>
    <n v="0"/>
    <n v="0"/>
    <m/>
  </r>
  <r>
    <x v="1"/>
    <x v="50"/>
    <x v="50"/>
    <x v="1"/>
    <x v="1"/>
    <s v="Muuga-Laekvere kool"/>
    <s v="kokk"/>
    <n v="1"/>
    <m/>
    <n v="632"/>
    <n v="632"/>
    <n v="12"/>
    <m/>
    <n v="7584"/>
    <n v="2563.3920000000003"/>
    <m/>
  </r>
  <r>
    <x v="1"/>
    <x v="50"/>
    <x v="50"/>
    <x v="1"/>
    <x v="1"/>
    <s v="Muuga-Laekvere kool"/>
    <s v="koka abi"/>
    <n v="0"/>
    <m/>
    <n v="632"/>
    <n v="0"/>
    <n v="12"/>
    <m/>
    <n v="0"/>
    <n v="0"/>
    <m/>
  </r>
  <r>
    <x v="1"/>
    <x v="50"/>
    <x v="50"/>
    <x v="1"/>
    <x v="1"/>
    <s v="Muuga-Laekvere kool"/>
    <s v="infojuht"/>
    <n v="0.25"/>
    <m/>
    <n v="853"/>
    <n v="213.25"/>
    <n v="12"/>
    <m/>
    <n v="2559"/>
    <n v="864.94200000000001"/>
    <m/>
  </r>
  <r>
    <x v="1"/>
    <x v="50"/>
    <x v="50"/>
    <x v="1"/>
    <x v="1"/>
    <s v="Muuga-Laekvere kool"/>
    <s v="laborant"/>
    <n v="0"/>
    <m/>
    <n v="584"/>
    <n v="0"/>
    <n v="12"/>
    <m/>
    <n v="0"/>
    <n v="0"/>
    <m/>
  </r>
  <r>
    <x v="1"/>
    <x v="50"/>
    <x v="50"/>
    <x v="1"/>
    <x v="1"/>
    <s v="Muuga-Laekvere kool"/>
    <s v="ringid "/>
    <n v="1.31"/>
    <m/>
    <n v="664"/>
    <n v="869.84"/>
    <n v="9"/>
    <m/>
    <n v="7828.56"/>
    <n v="2646.0532800000001"/>
    <m/>
  </r>
  <r>
    <x v="5"/>
    <x v="17"/>
    <x v="17"/>
    <x v="13"/>
    <x v="5"/>
    <s v="Vinni-Pajusti piirkond"/>
    <s v="Heakorratööline"/>
    <n v="1"/>
    <s v="in"/>
    <n v="390"/>
    <n v="390"/>
    <n v="12"/>
    <m/>
    <n v="4680"/>
    <n v="1581.8400000000001"/>
    <m/>
  </r>
  <r>
    <x v="5"/>
    <x v="17"/>
    <x v="17"/>
    <x v="13"/>
    <x v="5"/>
    <s v="Vinni-Pajusti piirkond"/>
    <s v="Ehitus-, remondi ja majandustöötaja"/>
    <n v="170"/>
    <s v="tundi"/>
    <n v="6"/>
    <n v="1020"/>
    <n v="12"/>
    <m/>
    <n v="12240"/>
    <n v="4137.12"/>
    <m/>
  </r>
  <r>
    <x v="5"/>
    <x v="17"/>
    <x v="17"/>
    <x v="13"/>
    <x v="5"/>
    <s v="Vinni-Pajusti piirkond"/>
    <s v="Ehitus-, remondi ja majandustöötaja"/>
    <n v="170"/>
    <s v="tundi"/>
    <n v="6"/>
    <n v="1020"/>
    <n v="12"/>
    <m/>
    <n v="12240"/>
    <n v="97.92"/>
    <s v="töövõimetus, ei maksa sotsiaalmaksu"/>
  </r>
  <r>
    <x v="5"/>
    <x v="17"/>
    <x v="17"/>
    <x v="13"/>
    <x v="5"/>
    <s v="Vinni-Pajusti piirkond"/>
    <s v="remondi- ja elektritööline"/>
    <n v="170"/>
    <s v="tundi"/>
    <n v="6"/>
    <n v="1020"/>
    <n v="12"/>
    <m/>
    <n v="12240"/>
    <n v="4137.12"/>
    <m/>
  </r>
  <r>
    <x v="5"/>
    <x v="17"/>
    <x v="17"/>
    <x v="13"/>
    <x v="5"/>
    <s v="Vinni-Pajusti piirkond"/>
    <s v="remonditööline"/>
    <n v="170"/>
    <s v="tundi"/>
    <n v="6"/>
    <n v="1020"/>
    <n v="12"/>
    <m/>
    <n v="12240"/>
    <n v="4137.12"/>
    <m/>
  </r>
  <r>
    <x v="5"/>
    <x v="17"/>
    <x v="17"/>
    <x v="13"/>
    <x v="5"/>
    <s v="Vinni-Pajusti piirkond"/>
    <s v="Lepinguliste töötajate töötasu"/>
    <n v="90"/>
    <s v="tundi"/>
    <n v="5"/>
    <n v="450"/>
    <n v="12"/>
    <m/>
    <n v="5400"/>
    <n v="1825.2"/>
    <m/>
  </r>
  <r>
    <x v="3"/>
    <x v="4"/>
    <x v="4"/>
    <x v="4"/>
    <x v="3"/>
    <s v="Kantselei"/>
    <s v="Arhiivi korrastamise teenus (töövõtuleping)"/>
    <n v="1"/>
    <m/>
    <m/>
    <n v="0"/>
    <n v="1"/>
    <n v="2000"/>
    <n v="2000"/>
    <n v="676"/>
    <m/>
  </r>
  <r>
    <x v="3"/>
    <x v="4"/>
    <x v="4"/>
    <x v="4"/>
    <x v="3"/>
    <s v="Kantselei"/>
    <s v="Preemia juubilaridele (ametnik+töötaja)"/>
    <n v="1"/>
    <m/>
    <m/>
    <n v="0"/>
    <n v="1"/>
    <n v="6000"/>
    <n v="6000"/>
    <n v="2028.0000000000002"/>
    <m/>
  </r>
  <r>
    <x v="0"/>
    <x v="47"/>
    <x v="47"/>
    <x v="14"/>
    <x v="0"/>
    <s v="Pajusti klubi"/>
    <s v="Lisatasu kultuuriasutuste koordineerimise eest"/>
    <n v="1"/>
    <m/>
    <m/>
    <n v="0"/>
    <m/>
    <n v="6624"/>
    <n v="6624"/>
    <n v="2238.9120000000003"/>
    <m/>
  </r>
  <r>
    <x v="0"/>
    <x v="51"/>
    <x v="51"/>
    <x v="22"/>
    <x v="0"/>
    <s v="Muuseumi juhataja"/>
    <s v="Käsunduslepingud arhivaalide kogumiseks"/>
    <n v="6"/>
    <s v="in"/>
    <n v="747.38400000000001"/>
    <n v="4484.3040000000001"/>
    <n v="3"/>
    <m/>
    <n v="13452.912"/>
    <n v="4547.0842560000001"/>
    <m/>
  </r>
  <r>
    <x v="0"/>
    <x v="51"/>
    <x v="51"/>
    <x v="22"/>
    <x v="0"/>
    <s v="Muuseumi juhataja"/>
    <s v="Juhataja"/>
    <n v="1"/>
    <s v="in"/>
    <n v="1560"/>
    <n v="1560"/>
    <n v="12"/>
    <m/>
    <n v="18720"/>
    <n v="6327.3600000000006"/>
    <m/>
  </r>
  <r>
    <x v="6"/>
    <x v="42"/>
    <x v="42"/>
    <x v="18"/>
    <x v="6"/>
    <s v="Noorsoo- ja spordinõunik"/>
    <s v="Lisatasud tulekahju kustutamiste korral"/>
    <n v="7"/>
    <s v="in"/>
    <n v="30"/>
    <n v="210"/>
    <n v="4"/>
    <m/>
    <n v="840"/>
    <n v="283.92"/>
    <m/>
  </r>
  <r>
    <x v="1"/>
    <x v="33"/>
    <x v="33"/>
    <x v="16"/>
    <x v="1"/>
    <s v="Noorsoo- ja spordinõunik"/>
    <s v="Ujumise juhendamine"/>
    <n v="1"/>
    <s v="aasta"/>
    <n v="1440"/>
    <n v="1440"/>
    <n v="1"/>
    <m/>
    <n v="1440"/>
    <n v="486.72"/>
    <s v="Tudu, Roela, V-Jaagupi, Pajusti, Vinni lapsed 7-26 a."/>
  </r>
  <r>
    <x v="1"/>
    <x v="33"/>
    <x v="33"/>
    <x v="16"/>
    <x v="1"/>
    <s v="Noorsoo- ja spordinõunik"/>
    <s v="Ujumise juhendamine"/>
    <n v="1"/>
    <s v="aasta"/>
    <n v="1440"/>
    <n v="1440"/>
    <n v="1"/>
    <m/>
    <n v="1440"/>
    <n v="486.72"/>
    <s v="Laekvere, Muuga lapsed 7-26a."/>
  </r>
  <r>
    <x v="1"/>
    <x v="1"/>
    <x v="1"/>
    <x v="1"/>
    <x v="1"/>
    <s v=" Roela kool"/>
    <s v="Juhtide tööjõukulu"/>
    <n v="1"/>
    <s v="aasta"/>
    <n v="5399.85"/>
    <n v="5399.85"/>
    <n v="1"/>
    <m/>
    <n v="5399.85"/>
    <n v="1825.1493000000003"/>
    <m/>
  </r>
  <r>
    <x v="1"/>
    <x v="1"/>
    <x v="1"/>
    <x v="1"/>
    <x v="1"/>
    <s v=" Roela kool"/>
    <s v="noorsootöötaja"/>
    <n v="1"/>
    <m/>
    <n v="1250"/>
    <n v="1250"/>
    <n v="12"/>
    <m/>
    <n v="15000"/>
    <n v="5070"/>
    <m/>
  </r>
  <r>
    <x v="1"/>
    <x v="39"/>
    <x v="39"/>
    <x v="1"/>
    <x v="1"/>
    <s v="Tudu Põhikool"/>
    <s v="Juhtide tööjõukulu"/>
    <n v="1"/>
    <s v="aasta"/>
    <n v="5399.85"/>
    <n v="5399.85"/>
    <n v="1"/>
    <m/>
    <n v="5399.85"/>
    <n v="1825.1493000000003"/>
    <m/>
  </r>
  <r>
    <x v="1"/>
    <x v="30"/>
    <x v="30"/>
    <x v="1"/>
    <x v="1"/>
    <s v="Vinni-Pajusti Gümnaasium"/>
    <s v="Juhtide tööjõukulu"/>
    <n v="1"/>
    <s v="aasta"/>
    <n v="50458.146000000001"/>
    <n v="50458.146000000001"/>
    <n v="1"/>
    <m/>
    <n v="50458.146000000001"/>
    <n v="17054.853348000001"/>
    <m/>
  </r>
  <r>
    <x v="5"/>
    <x v="16"/>
    <x v="16"/>
    <x v="13"/>
    <x v="5"/>
    <s v="Laekvere piirkond"/>
    <s v="Lepingule"/>
    <n v="1"/>
    <s v="in"/>
    <n v="250"/>
    <n v="250"/>
    <n v="12"/>
    <m/>
    <n v="3000"/>
    <n v="1014.0000000000001"/>
    <m/>
  </r>
  <r>
    <x v="0"/>
    <x v="24"/>
    <x v="24"/>
    <x v="14"/>
    <x v="0"/>
    <s v="Laekvere Rahva Maja"/>
    <s v="MTÜ Eha kapelli juhendaja tasu"/>
    <n v="1"/>
    <s v="aasta"/>
    <n v="825.11"/>
    <n v="825.11"/>
    <n v="1"/>
    <m/>
    <n v="825.11"/>
    <n v="278.88718"/>
    <m/>
  </r>
  <r>
    <x v="1"/>
    <x v="30"/>
    <x v="30"/>
    <x v="1"/>
    <x v="1"/>
    <s v="Vinni-Pajusti Gümnaasium"/>
    <s v="PK õpetajate tööjõukulu"/>
    <n v="1"/>
    <s v="aasta"/>
    <n v="470852.02"/>
    <n v="470852.02"/>
    <n v="1"/>
    <m/>
    <n v="470852.02"/>
    <n v="159147.98276000001"/>
    <m/>
  </r>
  <r>
    <x v="1"/>
    <x v="52"/>
    <x v="30"/>
    <x v="23"/>
    <x v="1"/>
    <s v="Vinni-Pajusti Gümnaasium"/>
    <s v="G õpetajate tööjõukulu"/>
    <n v="1"/>
    <s v="aasta"/>
    <n v="82511.210999999996"/>
    <n v="82511.210999999996"/>
    <n v="1"/>
    <m/>
    <n v="82511.210999999996"/>
    <n v="27888.789317999999"/>
    <m/>
  </r>
  <r>
    <x v="1"/>
    <x v="1"/>
    <x v="1"/>
    <x v="1"/>
    <x v="1"/>
    <s v=" Roela kool"/>
    <s v="PK õpetajate tööjõukulu"/>
    <n v="1"/>
    <s v="aasta"/>
    <n v="171898.356"/>
    <n v="171898.356"/>
    <n v="1"/>
    <m/>
    <n v="171898.356"/>
    <n v="58101.644328000002"/>
    <m/>
  </r>
  <r>
    <x v="1"/>
    <x v="39"/>
    <x v="39"/>
    <x v="1"/>
    <x v="1"/>
    <s v="Tudu Põhikool"/>
    <s v="Pk õpetajate tööjõukulu"/>
    <n v="1"/>
    <s v="aasta"/>
    <n v="52316.89"/>
    <n v="52316.89"/>
    <n v="1"/>
    <m/>
    <n v="52316.89"/>
    <n v="17683.108820000001"/>
    <m/>
  </r>
  <r>
    <x v="1"/>
    <x v="50"/>
    <x v="50"/>
    <x v="1"/>
    <x v="1"/>
    <s v="Muuga-Laekvere kool"/>
    <s v="Juhtide tööjõukulu"/>
    <n v="1"/>
    <s v="aasta"/>
    <n v="5399.85"/>
    <n v="5399.85"/>
    <n v="1"/>
    <m/>
    <n v="5399.85"/>
    <n v="1825.1493000000003"/>
    <m/>
  </r>
  <r>
    <x v="1"/>
    <x v="50"/>
    <x v="50"/>
    <x v="1"/>
    <x v="1"/>
    <s v="Muuga-Laekvere kool"/>
    <s v="Pk õpetajate tööjõukulu"/>
    <n v="1"/>
    <s v="aasta"/>
    <n v="313901.34499999997"/>
    <n v="313901.34499999997"/>
    <n v="1"/>
    <m/>
    <n v="313901.34499999997"/>
    <n v="106098.65461"/>
    <m/>
  </r>
  <r>
    <x v="1"/>
    <x v="53"/>
    <x v="52"/>
    <x v="15"/>
    <x v="1"/>
    <s v="Haridusenõunik"/>
    <s v="Pedagoogiliste vahendite reserv"/>
    <n v="1"/>
    <s v="aasta"/>
    <n v="58554.559999999998"/>
    <n v="58554.559999999998"/>
    <n v="1"/>
    <m/>
    <n v="58554.559999999998"/>
    <n v="19791.441279999999"/>
    <m/>
  </r>
  <r>
    <x v="0"/>
    <x v="23"/>
    <x v="23"/>
    <x v="0"/>
    <x v="0"/>
    <s v="Tudu raamatukogu"/>
    <s v="Raamatukogude koordineerja lisatasu"/>
    <n v="1"/>
    <m/>
    <n v="234"/>
    <n v="234"/>
    <n v="12"/>
    <m/>
    <n v="2808"/>
    <n v="949.10400000000004"/>
    <m/>
  </r>
  <r>
    <x v="1"/>
    <x v="13"/>
    <x v="13"/>
    <x v="10"/>
    <x v="1"/>
    <s v="Teede- ja ühistranspordinõunik"/>
    <s v="Lisatasu"/>
    <n v="1"/>
    <m/>
    <n v="300"/>
    <n v="300"/>
    <n v="4"/>
    <m/>
    <n v="1200"/>
    <n v="405.6"/>
    <m/>
  </r>
  <r>
    <x v="0"/>
    <x v="54"/>
    <x v="53"/>
    <x v="24"/>
    <x v="0"/>
    <s v="Ulvi raamatukogu"/>
    <s v="Vilde kirjanduspreemia"/>
    <n v="1"/>
    <m/>
    <n v="1297"/>
    <n v="1297"/>
    <n v="1"/>
    <m/>
    <n v="1297"/>
    <n v="438.38600000000002"/>
    <m/>
  </r>
  <r>
    <x v="2"/>
    <x v="55"/>
    <x v="54"/>
    <x v="25"/>
    <x v="2"/>
    <s v="Sotsiaalosakond"/>
    <s v="Maakonna projekt Erivajadustega inimeste tugiteenused osal"/>
    <n v="1"/>
    <m/>
    <n v="6267.56"/>
    <n v="6267.56"/>
    <n v="1"/>
    <m/>
    <n v="6267.56"/>
    <n v="2118.4352800000001"/>
    <m/>
  </r>
  <r>
    <x v="2"/>
    <x v="56"/>
    <x v="55"/>
    <x v="26"/>
    <x v="2"/>
    <s v="Sotsiaalosakond"/>
    <s v="Tugiisiku teenus"/>
    <n v="1"/>
    <m/>
    <n v="2242.15"/>
    <n v="2242.15"/>
    <n v="1"/>
    <m/>
    <n v="2242.15"/>
    <n v="757.84670000000006"/>
    <m/>
  </r>
  <r>
    <x v="2"/>
    <x v="57"/>
    <x v="56"/>
    <x v="26"/>
    <x v="2"/>
    <s v="Sotsiaalosakond"/>
    <s v="Isiklik abistaja, tugiisik täiskasvanuile"/>
    <n v="1"/>
    <m/>
    <n v="3191.33"/>
    <n v="3191.33"/>
    <n v="1"/>
    <m/>
    <n v="3191.33"/>
    <n v="1078.6695400000001"/>
    <m/>
  </r>
  <r>
    <x v="2"/>
    <x v="58"/>
    <x v="57"/>
    <x v="17"/>
    <x v="2"/>
    <s v="Sotsiaalosakond"/>
    <s v="Nõustamisteenus (A.Rosenthal)"/>
    <n v="1"/>
    <m/>
    <n v="3700"/>
    <n v="3700"/>
    <n v="1"/>
    <m/>
    <n v="3700"/>
    <n v="1250.6000000000001"/>
    <m/>
  </r>
  <r>
    <x v="2"/>
    <x v="59"/>
    <x v="58"/>
    <x v="27"/>
    <x v="2"/>
    <s v="Sotsiaalosakond"/>
    <s v="Tugiisiku teenus (T.Raudmäe"/>
    <n v="1"/>
    <m/>
    <n v="3112.2"/>
    <n v="3112.2"/>
    <n v="1"/>
    <m/>
    <n v="3112.2"/>
    <n v="1051.923600000000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Kokku" updatedVersion="6" minRefreshableVersion="3" useAutoFormatting="1" itemPrintTitles="1" createdVersion="6" indent="0" outline="1" outlineData="1" multipleFieldFilters="0">
  <location ref="A3:B55" firstHeaderRow="1" firstDataRow="1" firstDataCol="1"/>
  <pivotFields count="17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>
      <items count="21">
        <item x="6"/>
        <item x="1"/>
        <item x="19"/>
        <item x="18"/>
        <item x="10"/>
        <item x="16"/>
        <item x="8"/>
        <item x="11"/>
        <item x="13"/>
        <item x="14"/>
        <item x="17"/>
        <item x="0"/>
        <item x="15"/>
        <item x="9"/>
        <item x="5"/>
        <item x="2"/>
        <item x="12"/>
        <item x="4"/>
        <item x="3"/>
        <item x="7"/>
        <item t="default"/>
      </items>
    </pivotField>
    <pivotField showAll="0"/>
    <pivotField showAll="0"/>
    <pivotField showAll="0"/>
    <pivotField axis="axisRow" showAll="0">
      <items count="26">
        <item x="24"/>
        <item x="5"/>
        <item x="2"/>
        <item x="4"/>
        <item x="3"/>
        <item x="9"/>
        <item x="8"/>
        <item x="13"/>
        <item x="14"/>
        <item x="21"/>
        <item x="17"/>
        <item x="12"/>
        <item x="16"/>
        <item x="15"/>
        <item x="18"/>
        <item x="19"/>
        <item x="7"/>
        <item x="22"/>
        <item x="23"/>
        <item x="0"/>
        <item x="1"/>
        <item x="20"/>
        <item x="10"/>
        <item x="11"/>
        <item x="6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0"/>
    <field x="2"/>
    <field x="6"/>
  </rowFields>
  <rowItems count="52">
    <i>
      <x/>
    </i>
    <i r="1">
      <x v="1"/>
    </i>
    <i r="2">
      <x v="4"/>
    </i>
    <i r="1">
      <x v="11"/>
    </i>
    <i r="2">
      <x v="2"/>
    </i>
    <i r="2">
      <x v="19"/>
    </i>
    <i r="2">
      <x v="20"/>
    </i>
    <i>
      <x v="1"/>
    </i>
    <i r="1">
      <x v="15"/>
    </i>
    <i r="2">
      <x v="3"/>
    </i>
    <i>
      <x v="2"/>
    </i>
    <i r="1">
      <x v="14"/>
    </i>
    <i r="2">
      <x v="6"/>
    </i>
    <i r="1">
      <x v="17"/>
    </i>
    <i r="2">
      <x v="16"/>
    </i>
    <i r="1">
      <x v="18"/>
    </i>
    <i r="2">
      <x v="1"/>
    </i>
    <i r="2">
      <x v="24"/>
    </i>
    <i>
      <x v="3"/>
    </i>
    <i r="1">
      <x/>
    </i>
    <i r="2">
      <x v="5"/>
    </i>
    <i r="2">
      <x v="22"/>
    </i>
    <i r="1">
      <x v="4"/>
    </i>
    <i r="2">
      <x v="13"/>
    </i>
    <i r="1">
      <x v="6"/>
    </i>
    <i r="2">
      <x v="11"/>
    </i>
    <i r="1">
      <x v="13"/>
    </i>
    <i r="2">
      <x v="7"/>
    </i>
    <i r="2">
      <x v="8"/>
    </i>
    <i r="1">
      <x v="19"/>
    </i>
    <i r="2">
      <x v="23"/>
    </i>
    <i>
      <x v="4"/>
    </i>
    <i r="1">
      <x v="2"/>
    </i>
    <i r="2">
      <x/>
    </i>
    <i r="1">
      <x v="5"/>
    </i>
    <i r="2">
      <x v="9"/>
    </i>
    <i r="1">
      <x v="7"/>
    </i>
    <i r="2">
      <x v="12"/>
    </i>
    <i r="1">
      <x v="8"/>
    </i>
    <i r="2">
      <x v="14"/>
    </i>
    <i r="1">
      <x v="9"/>
    </i>
    <i r="2">
      <x v="15"/>
    </i>
    <i r="1">
      <x v="12"/>
    </i>
    <i r="2">
      <x v="21"/>
    </i>
    <i r="1">
      <x v="16"/>
    </i>
    <i r="2">
      <x v="10"/>
    </i>
    <i>
      <x v="5"/>
    </i>
    <i r="1">
      <x v="3"/>
    </i>
    <i r="2">
      <x v="18"/>
    </i>
    <i r="1">
      <x v="10"/>
    </i>
    <i r="2">
      <x v="17"/>
    </i>
    <i t="grand">
      <x/>
    </i>
  </rowItems>
  <colItems count="1">
    <i/>
  </colItems>
  <dataFields count="1">
    <dataField name="Sum of 2020. EA " fld="7" baseField="0" baseItem="0" numFmtId="3"/>
  </dataFields>
  <formats count="2">
    <format dxfId="70">
      <pivotArea field="0" type="button" dataOnly="0" labelOnly="1" outline="0" axis="axisRow" fieldPosition="0"/>
    </format>
    <format dxfId="69">
      <pivotArea field="0" type="button" dataOnly="0" labelOnly="1" outline="0" axis="axisRow" fieldPosition="0"/>
    </format>
  </formats>
  <pivotTableStyleInfo name="PivotStyleMedium1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B13" firstHeaderRow="1" firstDataRow="1" firstDataCol="1" rowPageCount="1" colPageCount="1"/>
  <pivotFields count="2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" showAll="0"/>
    <pivotField showAll="0"/>
    <pivotField showAll="0"/>
    <pivotField showAll="0"/>
    <pivotField showAll="0"/>
    <pivotField axis="axisPage" showAll="0">
      <items count="7">
        <item m="1" x="5"/>
        <item x="1"/>
        <item x="0"/>
        <item x="2"/>
        <item x="3"/>
        <item x="4"/>
        <item t="default"/>
      </items>
    </pivotField>
    <pivotField axis="axisRow" showAll="0" defaultSubtotal="0">
      <items count="7">
        <item x="1"/>
        <item x="2"/>
        <item sd="0" x="0"/>
        <item m="1" x="6"/>
        <item sd="0" m="1" x="5"/>
        <item sd="0" x="3"/>
        <item sd="0" x="4"/>
      </items>
    </pivotField>
    <pivotField axis="axisRow" showAll="0" defaultSubtotal="0">
      <items count="10">
        <item x="1"/>
        <item x="2"/>
        <item x="3"/>
        <item m="1" x="7"/>
        <item x="4"/>
        <item x="0"/>
        <item m="1" x="9"/>
        <item m="1" x="8"/>
        <item x="5"/>
        <item x="6"/>
      </items>
    </pivotField>
    <pivotField showAll="0"/>
  </pivotFields>
  <rowFields count="2">
    <field x="18"/>
    <field x="19"/>
  </rowFields>
  <rowItems count="10">
    <i>
      <x/>
    </i>
    <i r="1">
      <x/>
    </i>
    <i>
      <x v="1"/>
    </i>
    <i r="1">
      <x v="1"/>
    </i>
    <i r="1">
      <x v="2"/>
    </i>
    <i r="1">
      <x v="4"/>
    </i>
    <i>
      <x v="2"/>
    </i>
    <i>
      <x v="5"/>
    </i>
    <i>
      <x v="6"/>
    </i>
    <i t="grand">
      <x/>
    </i>
  </rowItems>
  <colItems count="1">
    <i/>
  </colItems>
  <pageFields count="1">
    <pageField fld="17" hier="-1"/>
  </pageFields>
  <dataFields count="1">
    <dataField name="Sum of 2020. EA " fld="12" baseField="15" baseItem="4" numFmtId="4"/>
  </dataFields>
  <pivotTableStyleInfo name="PivotStyleMedium14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B215" firstHeaderRow="1" firstDataRow="1" firstDataCol="1" rowPageCount="3" colPageCount="1"/>
  <pivotFields count="17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1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5"/>
        <item x="16"/>
        <item x="17"/>
        <item x="14"/>
        <item x="13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58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axis="axisRow" showAll="0" sortType="ascending">
      <items count="95">
        <item x="80"/>
        <item x="90"/>
        <item x="74"/>
        <item x="68"/>
        <item x="66"/>
        <item x="67"/>
        <item x="72"/>
        <item x="75"/>
        <item x="17"/>
        <item x="81"/>
        <item x="9"/>
        <item x="41"/>
        <item x="16"/>
        <item x="32"/>
        <item x="2"/>
        <item x="57"/>
        <item x="64"/>
        <item x="52"/>
        <item x="55"/>
        <item x="28"/>
        <item x="83"/>
        <item x="8"/>
        <item x="4"/>
        <item x="93"/>
        <item x="92"/>
        <item x="18"/>
        <item x="49"/>
        <item x="73"/>
        <item x="78"/>
        <item x="88"/>
        <item x="20"/>
        <item x="26"/>
        <item x="63"/>
        <item x="42"/>
        <item x="51"/>
        <item x="27"/>
        <item x="69"/>
        <item x="62"/>
        <item x="5"/>
        <item x="85"/>
        <item x="70"/>
        <item x="91"/>
        <item x="48"/>
        <item x="59"/>
        <item x="56"/>
        <item x="43"/>
        <item x="65"/>
        <item x="15"/>
        <item x="7"/>
        <item x="25"/>
        <item x="21"/>
        <item x="86"/>
        <item x="76"/>
        <item x="24"/>
        <item x="31"/>
        <item x="22"/>
        <item x="71"/>
        <item x="60"/>
        <item x="53"/>
        <item x="87"/>
        <item x="89"/>
        <item x="77"/>
        <item x="54"/>
        <item x="1"/>
        <item x="0"/>
        <item x="30"/>
        <item x="33"/>
        <item x="50"/>
        <item x="82"/>
        <item x="79"/>
        <item x="19"/>
        <item x="29"/>
        <item x="61"/>
        <item x="84"/>
        <item x="3"/>
        <item x="23"/>
        <item x="34"/>
        <item x="40"/>
        <item x="44"/>
        <item x="12"/>
        <item x="6"/>
        <item x="10"/>
        <item x="58"/>
        <item x="37"/>
        <item x="14"/>
        <item x="38"/>
        <item x="11"/>
        <item x="46"/>
        <item x="39"/>
        <item x="13"/>
        <item x="45"/>
        <item x="47"/>
        <item x="35"/>
        <item x="36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35">
        <item x="17"/>
        <item x="13"/>
        <item x="33"/>
        <item x="21"/>
        <item x="25"/>
        <item x="18"/>
        <item x="6"/>
        <item x="0"/>
        <item x="11"/>
        <item x="7"/>
        <item x="2"/>
        <item x="4"/>
        <item x="16"/>
        <item x="3"/>
        <item x="5"/>
        <item x="8"/>
        <item x="19"/>
        <item x="9"/>
        <item x="10"/>
        <item x="20"/>
        <item x="14"/>
        <item x="26"/>
        <item x="12"/>
        <item x="1"/>
        <item x="31"/>
        <item x="30"/>
        <item x="32"/>
        <item x="24"/>
        <item x="22"/>
        <item x="23"/>
        <item x="27"/>
        <item x="29"/>
        <item x="15"/>
        <item x="28"/>
        <item t="default"/>
      </items>
    </pivotField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showAll="0"/>
    <pivotField showAll="0"/>
  </pivotFields>
  <rowFields count="3">
    <field x="0"/>
    <field x="1"/>
    <field x="2"/>
  </rowFields>
  <rowItems count="209">
    <i>
      <x/>
    </i>
    <i r="1">
      <x/>
    </i>
    <i r="2">
      <x v="64"/>
    </i>
    <i r="1">
      <x v="1"/>
    </i>
    <i r="2">
      <x v="63"/>
    </i>
    <i r="1">
      <x v="2"/>
    </i>
    <i r="2">
      <x v="14"/>
    </i>
    <i r="1">
      <x v="3"/>
    </i>
    <i r="2">
      <x v="74"/>
    </i>
    <i>
      <x v="1"/>
    </i>
    <i r="1">
      <x v="4"/>
    </i>
    <i r="2">
      <x v="22"/>
    </i>
    <i>
      <x v="2"/>
    </i>
    <i r="1">
      <x v="5"/>
    </i>
    <i r="2">
      <x v="38"/>
    </i>
    <i>
      <x v="3"/>
    </i>
    <i r="1">
      <x v="6"/>
    </i>
    <i r="2">
      <x v="80"/>
    </i>
    <i r="1">
      <x v="7"/>
    </i>
    <i r="2">
      <x v="48"/>
    </i>
    <i r="1">
      <x v="8"/>
    </i>
    <i r="2">
      <x v="21"/>
    </i>
    <i>
      <x v="4"/>
    </i>
    <i r="1">
      <x v="9"/>
    </i>
    <i r="2">
      <x v="10"/>
    </i>
    <i r="1">
      <x v="10"/>
    </i>
    <i r="2">
      <x v="81"/>
    </i>
    <i>
      <x v="5"/>
    </i>
    <i r="1">
      <x v="11"/>
    </i>
    <i r="2">
      <x v="86"/>
    </i>
    <i r="1">
      <x v="12"/>
    </i>
    <i r="2">
      <x v="79"/>
    </i>
    <i r="1">
      <x v="13"/>
    </i>
    <i r="2">
      <x v="47"/>
    </i>
    <i r="1">
      <x v="14"/>
    </i>
    <i r="2">
      <x v="12"/>
    </i>
    <i r="1">
      <x v="15"/>
    </i>
    <i r="2">
      <x v="8"/>
    </i>
    <i r="1">
      <x v="16"/>
    </i>
    <i r="2">
      <x v="84"/>
    </i>
    <i r="1">
      <x v="17"/>
    </i>
    <i r="2">
      <x v="89"/>
    </i>
    <i>
      <x v="6"/>
    </i>
    <i r="1">
      <x v="18"/>
    </i>
    <i r="2">
      <x v="25"/>
    </i>
    <i>
      <x v="7"/>
    </i>
    <i r="1">
      <x v="19"/>
    </i>
    <i r="2">
      <x v="70"/>
    </i>
    <i r="1">
      <x v="20"/>
    </i>
    <i r="2">
      <x v="30"/>
    </i>
    <i r="1">
      <x v="21"/>
    </i>
    <i r="2">
      <x v="50"/>
    </i>
    <i r="1">
      <x v="22"/>
    </i>
    <i r="2">
      <x v="55"/>
    </i>
    <i r="1">
      <x v="23"/>
    </i>
    <i r="2">
      <x v="75"/>
    </i>
    <i r="1">
      <x v="24"/>
    </i>
    <i r="2">
      <x v="53"/>
    </i>
    <i r="1">
      <x v="25"/>
    </i>
    <i r="2">
      <x v="49"/>
    </i>
    <i r="1">
      <x v="26"/>
    </i>
    <i r="2">
      <x v="31"/>
    </i>
    <i r="1">
      <x v="27"/>
    </i>
    <i r="2">
      <x v="35"/>
    </i>
    <i r="1">
      <x v="28"/>
    </i>
    <i r="2">
      <x v="19"/>
    </i>
    <i r="1">
      <x v="29"/>
    </i>
    <i r="2">
      <x v="71"/>
    </i>
    <i r="1">
      <x v="30"/>
    </i>
    <i r="2">
      <x v="65"/>
    </i>
    <i r="1">
      <x v="31"/>
    </i>
    <i r="2">
      <x v="54"/>
    </i>
    <i r="1">
      <x v="32"/>
    </i>
    <i r="2">
      <x v="13"/>
    </i>
    <i r="1">
      <x v="33"/>
    </i>
    <i r="2">
      <x v="66"/>
    </i>
    <i r="1">
      <x v="34"/>
    </i>
    <i r="2">
      <x v="76"/>
    </i>
    <i r="1">
      <x v="35"/>
    </i>
    <i r="2">
      <x v="92"/>
    </i>
    <i r="1">
      <x v="36"/>
    </i>
    <i r="2">
      <x v="93"/>
    </i>
    <i r="1">
      <x v="37"/>
    </i>
    <i r="2">
      <x v="83"/>
    </i>
    <i r="1">
      <x v="38"/>
    </i>
    <i r="2">
      <x v="85"/>
    </i>
    <i r="1">
      <x v="39"/>
    </i>
    <i r="2">
      <x v="88"/>
    </i>
    <i r="1">
      <x v="40"/>
    </i>
    <i r="2">
      <x v="77"/>
    </i>
    <i r="1">
      <x v="41"/>
    </i>
    <i r="2">
      <x v="11"/>
    </i>
    <i r="1">
      <x v="42"/>
    </i>
    <i r="2">
      <x v="33"/>
    </i>
    <i r="1">
      <x v="43"/>
    </i>
    <i r="2">
      <x v="45"/>
    </i>
    <i r="1">
      <x v="44"/>
    </i>
    <i r="2">
      <x v="78"/>
    </i>
    <i r="1">
      <x v="45"/>
    </i>
    <i r="2">
      <x v="90"/>
    </i>
    <i r="1">
      <x v="46"/>
    </i>
    <i r="2">
      <x v="87"/>
    </i>
    <i r="1">
      <x v="47"/>
    </i>
    <i r="2">
      <x v="91"/>
    </i>
    <i r="1">
      <x v="48"/>
    </i>
    <i r="2">
      <x v="42"/>
    </i>
    <i r="1">
      <x v="49"/>
    </i>
    <i r="2">
      <x v="26"/>
    </i>
    <i>
      <x v="8"/>
    </i>
    <i r="1">
      <x v="50"/>
    </i>
    <i r="2">
      <x v="67"/>
    </i>
    <i r="1">
      <x v="51"/>
    </i>
    <i r="2">
      <x v="34"/>
    </i>
    <i r="1">
      <x v="52"/>
    </i>
    <i r="2">
      <x v="17"/>
    </i>
    <i r="1">
      <x v="53"/>
    </i>
    <i r="2">
      <x v="58"/>
    </i>
    <i r="1">
      <x v="54"/>
    </i>
    <i r="2">
      <x v="62"/>
    </i>
    <i r="1">
      <x v="55"/>
    </i>
    <i r="2">
      <x v="18"/>
    </i>
    <i r="1">
      <x v="56"/>
    </i>
    <i r="2">
      <x v="44"/>
    </i>
    <i r="1">
      <x v="57"/>
    </i>
    <i r="2">
      <x v="15"/>
    </i>
    <i r="1">
      <x v="58"/>
    </i>
    <i r="2">
      <x v="43"/>
    </i>
    <i r="1">
      <x v="59"/>
    </i>
    <i r="2">
      <x v="57"/>
    </i>
    <i r="1">
      <x v="60"/>
    </i>
    <i r="2">
      <x v="72"/>
    </i>
    <i r="1">
      <x v="61"/>
    </i>
    <i r="2">
      <x v="15"/>
    </i>
    <i r="1">
      <x v="62"/>
    </i>
    <i r="2">
      <x v="37"/>
    </i>
    <i r="1">
      <x v="63"/>
    </i>
    <i r="2">
      <x v="82"/>
    </i>
    <i r="1">
      <x v="64"/>
    </i>
    <i r="2">
      <x v="15"/>
    </i>
    <i r="1">
      <x v="65"/>
    </i>
    <i r="2">
      <x v="32"/>
    </i>
    <i r="1">
      <x v="66"/>
    </i>
    <i r="2">
      <x v="16"/>
    </i>
    <i r="1">
      <x v="67"/>
    </i>
    <i r="2">
      <x v="46"/>
    </i>
    <i r="1">
      <x v="68"/>
    </i>
    <i r="2">
      <x v="75"/>
    </i>
    <i r="1">
      <x v="69"/>
    </i>
    <i r="2">
      <x v="4"/>
    </i>
    <i r="1">
      <x v="70"/>
    </i>
    <i r="2">
      <x v="5"/>
    </i>
    <i>
      <x v="9"/>
    </i>
    <i r="1">
      <x v="71"/>
    </i>
    <i r="2">
      <x v="3"/>
    </i>
    <i r="1">
      <x v="72"/>
    </i>
    <i r="2">
      <x v="36"/>
    </i>
    <i r="1">
      <x v="73"/>
    </i>
    <i r="2">
      <x v="40"/>
    </i>
    <i r="1">
      <x v="74"/>
    </i>
    <i r="2">
      <x v="56"/>
    </i>
    <i r="1">
      <x v="75"/>
    </i>
    <i r="2">
      <x v="6"/>
    </i>
    <i r="1">
      <x v="76"/>
    </i>
    <i r="2">
      <x v="27"/>
    </i>
    <i r="1">
      <x v="77"/>
    </i>
    <i r="2">
      <x v="2"/>
    </i>
    <i r="1">
      <x v="78"/>
    </i>
    <i r="2">
      <x v="7"/>
    </i>
    <i r="1">
      <x v="79"/>
    </i>
    <i r="2">
      <x v="52"/>
    </i>
    <i r="1">
      <x v="80"/>
    </i>
    <i r="2">
      <x v="61"/>
    </i>
    <i r="1">
      <x v="81"/>
    </i>
    <i r="2">
      <x v="28"/>
    </i>
    <i r="1">
      <x v="82"/>
    </i>
    <i r="2">
      <x v="69"/>
    </i>
    <i r="1">
      <x v="83"/>
    </i>
    <i r="2">
      <x v="6"/>
    </i>
    <i r="1">
      <x v="84"/>
    </i>
    <i r="2">
      <x/>
    </i>
    <i r="1">
      <x v="85"/>
    </i>
    <i r="2">
      <x v="9"/>
    </i>
    <i r="1">
      <x v="86"/>
    </i>
    <i r="2">
      <x v="68"/>
    </i>
    <i r="1">
      <x v="87"/>
    </i>
    <i r="2">
      <x v="28"/>
    </i>
    <i r="1">
      <x v="88"/>
    </i>
    <i r="2">
      <x v="20"/>
    </i>
    <i r="1">
      <x v="89"/>
    </i>
    <i r="2">
      <x v="73"/>
    </i>
    <i r="1">
      <x v="90"/>
    </i>
    <i r="2">
      <x v="39"/>
    </i>
    <i r="1">
      <x v="91"/>
    </i>
    <i r="2">
      <x v="51"/>
    </i>
    <i r="1">
      <x v="92"/>
    </i>
    <i r="2">
      <x v="59"/>
    </i>
    <i r="1">
      <x v="93"/>
    </i>
    <i r="2">
      <x v="29"/>
    </i>
    <i r="1">
      <x v="94"/>
    </i>
    <i r="2">
      <x v="60"/>
    </i>
    <i r="1">
      <x v="95"/>
    </i>
    <i r="2">
      <x v="1"/>
    </i>
    <i r="1">
      <x v="96"/>
    </i>
    <i r="2">
      <x v="41"/>
    </i>
    <i r="1">
      <x v="97"/>
    </i>
    <i r="2">
      <x v="24"/>
    </i>
    <i r="1">
      <x v="98"/>
    </i>
    <i r="2">
      <x v="23"/>
    </i>
    <i t="grand">
      <x/>
    </i>
  </rowItems>
  <colItems count="1">
    <i/>
  </colItems>
  <pageFields count="3">
    <pageField fld="9" hier="-1"/>
    <pageField fld="14" hier="-1"/>
    <pageField fld="13" hier="-1"/>
  </pageFields>
  <dataFields count="1">
    <dataField name="Sum of 2020. EA " fld="7" baseField="1" baseItem="0" numFmtId="3"/>
  </dataFields>
  <pivotTableStyleInfo name="PivotStyleMedium1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grandTotalCaption="Kokku" updatedVersion="6" minRefreshableVersion="3" useAutoFormatting="1" itemPrintTitles="1" createdVersion="5" indent="0" outline="1" outlineData="1" multipleFieldFilters="0">
  <location ref="A3:D124" firstHeaderRow="0" firstDataRow="1" firstDataCol="1"/>
  <pivotFields count="18">
    <pivotField showAll="0"/>
    <pivotField axis="axisRow" showAll="0" sortType="ascending">
      <items count="69">
        <item x="14"/>
        <item x="4"/>
        <item x="12"/>
        <item x="42"/>
        <item x="43"/>
        <item x="15"/>
        <item x="16"/>
        <item m="1" x="63"/>
        <item m="1" x="64"/>
        <item m="1" x="65"/>
        <item m="1" x="66"/>
        <item m="1" x="67"/>
        <item x="19"/>
        <item x="20"/>
        <item x="18"/>
        <item x="17"/>
        <item x="5"/>
        <item x="7"/>
        <item x="11"/>
        <item x="10"/>
        <item x="54"/>
        <item x="21"/>
        <item x="22"/>
        <item x="0"/>
        <item x="37"/>
        <item x="23"/>
        <item x="6"/>
        <item x="45"/>
        <item x="47"/>
        <item x="41"/>
        <item x="46"/>
        <item x="24"/>
        <item x="34"/>
        <item x="25"/>
        <item x="51"/>
        <item x="44"/>
        <item x="26"/>
        <item x="27"/>
        <item x="28"/>
        <item x="40"/>
        <item x="29"/>
        <item x="49"/>
        <item x="2"/>
        <item m="1" x="61"/>
        <item m="1" x="62"/>
        <item x="1"/>
        <item x="39"/>
        <item x="30"/>
        <item x="31"/>
        <item x="50"/>
        <item x="52"/>
        <item x="33"/>
        <item x="13"/>
        <item x="48"/>
        <item m="1" x="60"/>
        <item x="32"/>
        <item x="53"/>
        <item x="55"/>
        <item x="56"/>
        <item x="57"/>
        <item x="35"/>
        <item x="36"/>
        <item x="3"/>
        <item x="8"/>
        <item x="38"/>
        <item x="58"/>
        <item x="59"/>
        <item x="9"/>
        <item t="default"/>
      </items>
    </pivotField>
    <pivotField axis="axisRow" showAll="0">
      <items count="94">
        <item x="32"/>
        <item x="52"/>
        <item x="8"/>
        <item x="56"/>
        <item x="45"/>
        <item x="20"/>
        <item x="13"/>
        <item x="28"/>
        <item m="1" x="62"/>
        <item x="49"/>
        <item m="1" x="82"/>
        <item m="1" x="66"/>
        <item m="1" x="78"/>
        <item x="10"/>
        <item m="1" x="70"/>
        <item x="15"/>
        <item x="9"/>
        <item x="44"/>
        <item x="12"/>
        <item m="1" x="63"/>
        <item m="1" x="90"/>
        <item x="5"/>
        <item m="1" x="67"/>
        <item m="1" x="86"/>
        <item m="1" x="64"/>
        <item m="1" x="59"/>
        <item m="1" x="77"/>
        <item x="11"/>
        <item x="33"/>
        <item x="47"/>
        <item x="27"/>
        <item x="54"/>
        <item x="31"/>
        <item x="42"/>
        <item m="1" x="88"/>
        <item x="1"/>
        <item x="2"/>
        <item m="1" x="74"/>
        <item x="41"/>
        <item x="48"/>
        <item m="1" x="68"/>
        <item x="19"/>
        <item x="43"/>
        <item x="7"/>
        <item x="35"/>
        <item m="1" x="73"/>
        <item x="39"/>
        <item x="40"/>
        <item m="1" x="65"/>
        <item m="1" x="75"/>
        <item x="55"/>
        <item m="1" x="92"/>
        <item m="1" x="85"/>
        <item x="36"/>
        <item x="29"/>
        <item m="1" x="60"/>
        <item x="4"/>
        <item x="14"/>
        <item m="1" x="72"/>
        <item x="53"/>
        <item x="26"/>
        <item m="1" x="76"/>
        <item x="38"/>
        <item x="3"/>
        <item m="1" x="71"/>
        <item x="30"/>
        <item m="1" x="61"/>
        <item m="1" x="69"/>
        <item m="1" x="80"/>
        <item m="1" x="79"/>
        <item x="6"/>
        <item x="24"/>
        <item x="16"/>
        <item m="1" x="83"/>
        <item x="0"/>
        <item m="1" x="91"/>
        <item m="1" x="81"/>
        <item m="1" x="84"/>
        <item x="46"/>
        <item x="37"/>
        <item x="25"/>
        <item x="23"/>
        <item x="17"/>
        <item x="34"/>
        <item x="51"/>
        <item m="1" x="89"/>
        <item x="21"/>
        <item m="1" x="87"/>
        <item x="22"/>
        <item x="18"/>
        <item x="57"/>
        <item x="58"/>
        <item x="5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" showAll="0"/>
    <pivotField dataField="1" numFmtId="4" showAll="0"/>
    <pivotField showAll="0"/>
    <pivotField dragToRow="0" dragToCol="0" dragToPage="0" showAll="0" defaultSubtotal="0"/>
    <pivotField dataField="1" dragToRow="0" dragToCol="0" dragToPage="0" showAll="0" defaultSubtotal="0"/>
  </pivotFields>
  <rowFields count="2">
    <field x="1"/>
    <field x="2"/>
  </rowFields>
  <rowItems count="121">
    <i>
      <x/>
    </i>
    <i r="1">
      <x v="57"/>
    </i>
    <i>
      <x v="1"/>
    </i>
    <i r="1">
      <x v="56"/>
    </i>
    <i>
      <x v="2"/>
    </i>
    <i r="1">
      <x v="18"/>
    </i>
    <i>
      <x v="3"/>
    </i>
    <i r="1">
      <x v="33"/>
    </i>
    <i>
      <x v="4"/>
    </i>
    <i r="1">
      <x v="42"/>
    </i>
    <i>
      <x v="5"/>
    </i>
    <i r="1">
      <x v="15"/>
    </i>
    <i>
      <x v="6"/>
    </i>
    <i r="1">
      <x v="72"/>
    </i>
    <i>
      <x v="12"/>
    </i>
    <i r="1">
      <x v="41"/>
    </i>
    <i>
      <x v="13"/>
    </i>
    <i r="1">
      <x v="5"/>
    </i>
    <i>
      <x v="14"/>
    </i>
    <i r="1">
      <x v="89"/>
    </i>
    <i>
      <x v="15"/>
    </i>
    <i r="1">
      <x v="82"/>
    </i>
    <i>
      <x v="16"/>
    </i>
    <i r="1">
      <x v="21"/>
    </i>
    <i>
      <x v="17"/>
    </i>
    <i r="1">
      <x v="43"/>
    </i>
    <i>
      <x v="18"/>
    </i>
    <i r="1">
      <x v="27"/>
    </i>
    <i>
      <x v="19"/>
    </i>
    <i r="1">
      <x v="13"/>
    </i>
    <i>
      <x v="20"/>
    </i>
    <i r="1">
      <x v="59"/>
    </i>
    <i>
      <x v="21"/>
    </i>
    <i r="1">
      <x v="86"/>
    </i>
    <i>
      <x v="22"/>
    </i>
    <i r="1">
      <x v="88"/>
    </i>
    <i>
      <x v="23"/>
    </i>
    <i r="1">
      <x v="74"/>
    </i>
    <i>
      <x v="24"/>
    </i>
    <i r="1">
      <x v="79"/>
    </i>
    <i>
      <x v="25"/>
    </i>
    <i r="1">
      <x v="81"/>
    </i>
    <i>
      <x v="26"/>
    </i>
    <i r="1">
      <x v="70"/>
    </i>
    <i>
      <x v="27"/>
    </i>
    <i r="1">
      <x v="4"/>
    </i>
    <i>
      <x v="28"/>
    </i>
    <i r="1">
      <x v="29"/>
    </i>
    <i>
      <x v="29"/>
    </i>
    <i r="1">
      <x v="38"/>
    </i>
    <i>
      <x v="30"/>
    </i>
    <i r="1">
      <x v="78"/>
    </i>
    <i>
      <x v="31"/>
    </i>
    <i r="1">
      <x v="71"/>
    </i>
    <i>
      <x v="32"/>
    </i>
    <i r="1">
      <x v="83"/>
    </i>
    <i>
      <x v="33"/>
    </i>
    <i r="1">
      <x v="80"/>
    </i>
    <i>
      <x v="34"/>
    </i>
    <i r="1">
      <x v="84"/>
    </i>
    <i>
      <x v="35"/>
    </i>
    <i r="1">
      <x v="17"/>
    </i>
    <i>
      <x v="36"/>
    </i>
    <i r="1">
      <x v="60"/>
    </i>
    <i>
      <x v="37"/>
    </i>
    <i r="1">
      <x v="30"/>
    </i>
    <i>
      <x v="38"/>
    </i>
    <i r="1">
      <x v="7"/>
    </i>
    <i>
      <x v="39"/>
    </i>
    <i r="1">
      <x v="47"/>
    </i>
    <i>
      <x v="40"/>
    </i>
    <i r="1">
      <x v="54"/>
    </i>
    <i>
      <x v="41"/>
    </i>
    <i r="1">
      <x v="9"/>
    </i>
    <i>
      <x v="42"/>
    </i>
    <i r="1">
      <x v="36"/>
    </i>
    <i>
      <x v="45"/>
    </i>
    <i r="1">
      <x v="35"/>
    </i>
    <i>
      <x v="46"/>
    </i>
    <i r="1">
      <x v="46"/>
    </i>
    <i>
      <x v="47"/>
    </i>
    <i r="1">
      <x v="65"/>
    </i>
    <i>
      <x v="48"/>
    </i>
    <i r="1">
      <x v="32"/>
    </i>
    <i>
      <x v="49"/>
    </i>
    <i r="1">
      <x v="92"/>
    </i>
    <i>
      <x v="50"/>
    </i>
    <i r="1">
      <x v="65"/>
    </i>
    <i>
      <x v="51"/>
    </i>
    <i r="1">
      <x v="28"/>
    </i>
    <i>
      <x v="52"/>
    </i>
    <i r="1">
      <x v="6"/>
    </i>
    <i>
      <x v="53"/>
    </i>
    <i r="1">
      <x v="39"/>
    </i>
    <i>
      <x v="55"/>
    </i>
    <i r="1">
      <x/>
    </i>
    <i>
      <x v="56"/>
    </i>
    <i r="1">
      <x v="1"/>
    </i>
    <i>
      <x v="57"/>
    </i>
    <i r="1">
      <x v="31"/>
    </i>
    <i>
      <x v="58"/>
    </i>
    <i r="1">
      <x v="50"/>
    </i>
    <i>
      <x v="59"/>
    </i>
    <i r="1">
      <x v="3"/>
    </i>
    <i>
      <x v="60"/>
    </i>
    <i r="1">
      <x v="44"/>
    </i>
    <i>
      <x v="61"/>
    </i>
    <i r="1">
      <x v="53"/>
    </i>
    <i>
      <x v="62"/>
    </i>
    <i r="1">
      <x v="63"/>
    </i>
    <i>
      <x v="63"/>
    </i>
    <i r="1">
      <x v="2"/>
    </i>
    <i>
      <x v="64"/>
    </i>
    <i r="1">
      <x v="62"/>
    </i>
    <i>
      <x v="65"/>
    </i>
    <i r="1">
      <x v="90"/>
    </i>
    <i>
      <x v="66"/>
    </i>
    <i r="1">
      <x v="91"/>
    </i>
    <i>
      <x v="67"/>
    </i>
    <i r="1"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20. EA" fld="17" baseField="1" baseItem="1" numFmtId="3"/>
    <dataField name="Sum of 2020. EA " fld="13" baseField="0" baseItem="0"/>
    <dataField name="Sum of Maksud" fld="14" baseField="0" baseItem="0"/>
  </dataFields>
  <pivotTableStyleInfo name="PivotStyleMedium1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4:B48" firstHeaderRow="1" firstDataRow="1" firstDataCol="1" rowPageCount="2" colPageCount="1"/>
  <pivotFields count="17">
    <pivotField showAll="0"/>
    <pivotField showAll="0"/>
    <pivotField showAll="0"/>
    <pivotField axis="axisRow" showAll="0" sortType="ascending">
      <items count="45">
        <item m="1" x="43"/>
        <item x="25"/>
        <item x="34"/>
        <item x="39"/>
        <item x="31"/>
        <item x="11"/>
        <item x="3"/>
        <item x="29"/>
        <item x="36"/>
        <item x="8"/>
        <item x="35"/>
        <item x="15"/>
        <item x="2"/>
        <item x="12"/>
        <item x="10"/>
        <item x="37"/>
        <item x="33"/>
        <item x="6"/>
        <item x="42"/>
        <item x="41"/>
        <item x="16"/>
        <item x="24"/>
        <item x="22"/>
        <item x="18"/>
        <item x="28"/>
        <item x="32"/>
        <item x="26"/>
        <item x="7"/>
        <item x="20"/>
        <item x="21"/>
        <item x="40"/>
        <item x="23"/>
        <item x="9"/>
        <item x="17"/>
        <item x="14"/>
        <item x="38"/>
        <item x="19"/>
        <item x="4"/>
        <item x="1"/>
        <item x="0"/>
        <item x="13"/>
        <item x="30"/>
        <item x="5"/>
        <item x="27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7">
        <item m="1" x="15"/>
        <item x="8"/>
        <item x="9"/>
        <item x="7"/>
        <item x="10"/>
        <item x="2"/>
        <item x="0"/>
        <item x="1"/>
        <item x="6"/>
        <item x="3"/>
        <item x="12"/>
        <item x="11"/>
        <item x="14"/>
        <item x="5"/>
        <item x="13"/>
        <item x="4"/>
        <item t="default"/>
      </items>
    </pivotField>
    <pivotField axis="axisPage" multipleItemSelectionAllowed="1" showAll="0">
      <items count="6">
        <item h="1" x="3"/>
        <item x="2"/>
        <item x="0"/>
        <item h="1" x="1"/>
        <item m="1" x="4"/>
        <item t="default"/>
      </items>
    </pivotField>
    <pivotField showAll="0" defaultSubtotal="0"/>
  </pivotFields>
  <rowFields count="1">
    <field x="3"/>
  </rowFields>
  <rowItems count="4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Items count="1">
    <i/>
  </colItems>
  <pageFields count="2">
    <pageField fld="15" hier="-1"/>
    <pageField fld="14" hier="-1"/>
  </pageFields>
  <dataFields count="1">
    <dataField name="Sum of 2020. EA " fld="7" baseField="3" baseItem="1" numFmtId="4"/>
  </dataFields>
  <formats count="8">
    <format dxfId="68">
      <pivotArea collapsedLevelsAreSubtotals="1" fieldPosition="0">
        <references count="1">
          <reference field="15" count="1">
            <x v="2"/>
          </reference>
        </references>
      </pivotArea>
    </format>
    <format dxfId="67">
      <pivotArea dataOnly="0" fieldPosition="0">
        <references count="1">
          <reference field="3" count="2">
            <x v="38"/>
            <x v="39"/>
          </reference>
        </references>
      </pivotArea>
    </format>
    <format dxfId="66">
      <pivotArea dataOnly="0" fieldPosition="0">
        <references count="1">
          <reference field="3" count="1">
            <x v="6"/>
          </reference>
        </references>
      </pivotArea>
    </format>
    <format dxfId="65">
      <pivotArea dataOnly="0" fieldPosition="0">
        <references count="1">
          <reference field="3" count="1">
            <x v="37"/>
          </reference>
        </references>
      </pivotArea>
    </format>
    <format dxfId="64">
      <pivotArea dataOnly="0" fieldPosition="0">
        <references count="1">
          <reference field="3" count="1">
            <x v="42"/>
          </reference>
        </references>
      </pivotArea>
    </format>
    <format dxfId="63">
      <pivotArea dataOnly="0" fieldPosition="0">
        <references count="1">
          <reference field="3" count="1">
            <x v="17"/>
          </reference>
        </references>
      </pivotArea>
    </format>
    <format dxfId="62">
      <pivotArea dataOnly="0" fieldPosition="0">
        <references count="1">
          <reference field="3" count="1">
            <x v="27"/>
          </reference>
        </references>
      </pivotArea>
    </format>
    <format dxfId="61">
      <pivotArea dataOnly="0" fieldPosition="0">
        <references count="1">
          <reference field="3" count="1">
            <x v="3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grandTotalCaption="Kokku" updatedVersion="6" minRefreshableVersion="3" useAutoFormatting="1" itemPrintTitles="1" createdVersion="5" indent="0" outline="1" outlineData="1" multipleFieldFilters="0">
  <location ref="A9:B29" firstHeaderRow="1" firstDataRow="1" firstDataCol="1" rowPageCount="5" colPageCount="1"/>
  <pivotFields count="17">
    <pivotField axis="axisPage" showAll="0" sortType="ascending">
      <items count="12">
        <item m="1" x="10"/>
        <item x="0"/>
        <item x="2"/>
        <item x="3"/>
        <item x="4"/>
        <item x="5"/>
        <item x="6"/>
        <item x="7"/>
        <item x="8"/>
        <item x="1"/>
        <item x="9"/>
        <item t="default" sd="0"/>
      </items>
    </pivotField>
    <pivotField showAll="0" sortType="ascending"/>
    <pivotField axis="axisPage" multipleItemSelectionAllowed="1" showAll="0" sortType="ascending">
      <items count="132">
        <item x="82"/>
        <item x="92"/>
        <item x="76"/>
        <item x="70"/>
        <item x="2"/>
        <item m="1" x="96"/>
        <item x="69"/>
        <item x="74"/>
        <item x="77"/>
        <item x="20"/>
        <item x="83"/>
        <item x="11"/>
        <item x="44"/>
        <item x="19"/>
        <item x="35"/>
        <item x="3"/>
        <item x="60"/>
        <item x="67"/>
        <item x="55"/>
        <item m="1" x="114"/>
        <item x="58"/>
        <item m="1" x="102"/>
        <item m="1" x="112"/>
        <item m="1" x="121"/>
        <item x="31"/>
        <item m="1" x="130"/>
        <item x="85"/>
        <item m="1" x="125"/>
        <item m="1" x="98"/>
        <item x="10"/>
        <item x="6"/>
        <item x="95"/>
        <item x="94"/>
        <item x="21"/>
        <item x="52"/>
        <item x="75"/>
        <item x="80"/>
        <item x="90"/>
        <item m="1" x="105"/>
        <item m="1" x="124"/>
        <item m="1" x="115"/>
        <item x="23"/>
        <item m="1" x="108"/>
        <item m="1" x="113"/>
        <item m="1" x="127"/>
        <item x="29"/>
        <item x="66"/>
        <item x="45"/>
        <item x="54"/>
        <item x="30"/>
        <item x="71"/>
        <item x="65"/>
        <item x="7"/>
        <item x="87"/>
        <item x="72"/>
        <item x="93"/>
        <item x="51"/>
        <item m="1" x="110"/>
        <item x="62"/>
        <item x="59"/>
        <item m="1" x="116"/>
        <item x="46"/>
        <item x="68"/>
        <item m="1" x="100"/>
        <item x="18"/>
        <item x="9"/>
        <item x="28"/>
        <item x="24"/>
        <item x="88"/>
        <item x="78"/>
        <item x="27"/>
        <item x="34"/>
        <item x="25"/>
        <item x="73"/>
        <item m="1" x="99"/>
        <item x="63"/>
        <item x="56"/>
        <item m="1" x="106"/>
        <item x="89"/>
        <item m="1" x="97"/>
        <item m="1" x="107"/>
        <item m="1" x="119"/>
        <item x="91"/>
        <item m="1" x="122"/>
        <item m="1" x="111"/>
        <item x="79"/>
        <item x="57"/>
        <item m="1" x="123"/>
        <item x="4"/>
        <item x="1"/>
        <item x="0"/>
        <item x="33"/>
        <item m="1" x="120"/>
        <item m="1" x="101"/>
        <item x="36"/>
        <item x="53"/>
        <item m="1" x="103"/>
        <item x="84"/>
        <item x="81"/>
        <item m="1" x="117"/>
        <item x="22"/>
        <item x="32"/>
        <item x="64"/>
        <item m="1" x="129"/>
        <item m="1" x="128"/>
        <item m="1" x="104"/>
        <item x="86"/>
        <item x="5"/>
        <item x="26"/>
        <item x="37"/>
        <item m="1" x="109"/>
        <item x="43"/>
        <item x="47"/>
        <item x="15"/>
        <item x="8"/>
        <item x="12"/>
        <item x="61"/>
        <item x="40"/>
        <item m="1" x="126"/>
        <item x="17"/>
        <item x="41"/>
        <item x="14"/>
        <item x="49"/>
        <item x="42"/>
        <item x="16"/>
        <item x="13"/>
        <item x="48"/>
        <item x="50"/>
        <item x="38"/>
        <item x="39"/>
        <item m="1" x="118"/>
        <item t="default"/>
      </items>
    </pivotField>
    <pivotField axis="axisPage" showAll="0" defaultSubtotal="0">
      <items count="44">
        <item m="1" x="43"/>
        <item x="25"/>
        <item x="32"/>
        <item x="33"/>
        <item x="35"/>
        <item x="37"/>
        <item x="38"/>
        <item x="39"/>
        <item x="8"/>
        <item x="40"/>
        <item x="41"/>
        <item x="42"/>
        <item x="17"/>
        <item x="18"/>
        <item x="26"/>
        <item x="20"/>
        <item sd="0" x="0"/>
        <item sd="0" x="1"/>
        <item sd="0" x="4"/>
        <item x="9"/>
        <item sd="0" x="3"/>
        <item x="10"/>
        <item x="7"/>
        <item x="5"/>
        <item x="21"/>
        <item x="27"/>
        <item x="29"/>
        <item x="30"/>
        <item x="23"/>
        <item x="11"/>
        <item x="12"/>
        <item x="24"/>
        <item x="2"/>
        <item x="19"/>
        <item x="31"/>
        <item x="14"/>
        <item x="15"/>
        <item x="16"/>
        <item x="28"/>
        <item x="34"/>
        <item x="36"/>
        <item x="13"/>
        <item x="22"/>
        <item x="6"/>
      </items>
    </pivotField>
    <pivotField showAll="0"/>
    <pivotField showAll="0"/>
    <pivotField showAll="0"/>
    <pivotField dataField="1" numFmtId="4" showAll="0" defaultSubtotal="0"/>
    <pivotField showAll="0"/>
    <pivotField showAll="0"/>
    <pivotField showAll="0"/>
    <pivotField showAll="0"/>
    <pivotField axis="axisPage" multipleItemSelectionAllowed="1" showAll="0">
      <items count="14">
        <item m="1" x="11"/>
        <item x="3"/>
        <item x="6"/>
        <item x="9"/>
        <item x="4"/>
        <item x="10"/>
        <item x="1"/>
        <item m="1" x="12"/>
        <item x="0"/>
        <item x="5"/>
        <item x="7"/>
        <item x="8"/>
        <item x="2"/>
        <item t="default"/>
      </items>
    </pivotField>
    <pivotField axis="axisRow" showAll="0" defaultSubtotal="0">
      <items count="17">
        <item x="2"/>
        <item sd="0" x="10"/>
        <item x="4"/>
        <item m="1" x="12"/>
        <item sd="0" m="1" x="15"/>
        <item x="1"/>
        <item x="0"/>
        <item sd="0" x="3"/>
        <item sd="0" m="1" x="14"/>
        <item sd="0" m="1" x="13"/>
        <item sd="0" m="1" x="11"/>
        <item sd="0" x="9"/>
        <item sd="0" x="8"/>
        <item sd="0" x="5"/>
        <item sd="0" x="7"/>
        <item sd="0" x="6"/>
        <item m="1" x="16"/>
      </items>
    </pivotField>
    <pivotField axis="axisRow" showAll="0" defaultSubtotal="0">
      <items count="16">
        <item m="1" x="15"/>
        <item x="5"/>
        <item x="0"/>
        <item x="7"/>
        <item x="8"/>
        <item x="3"/>
        <item x="13"/>
        <item x="11"/>
        <item x="14"/>
        <item x="6"/>
        <item x="12"/>
        <item x="9"/>
        <item x="10"/>
        <item x="2"/>
        <item x="4"/>
        <item x="1"/>
      </items>
    </pivotField>
    <pivotField axis="axisPage" multipleItemSelectionAllowed="1" showAll="0">
      <items count="6">
        <item x="3"/>
        <item x="2"/>
        <item x="0"/>
        <item x="1"/>
        <item m="1" x="4"/>
        <item t="default"/>
      </items>
    </pivotField>
    <pivotField showAll="0" defaultSubtotal="0"/>
  </pivotFields>
  <rowFields count="2">
    <field x="13"/>
    <field x="14"/>
  </rowFields>
  <rowItems count="20">
    <i>
      <x/>
    </i>
    <i r="1">
      <x v="13"/>
    </i>
    <i>
      <x v="1"/>
    </i>
    <i>
      <x v="2"/>
    </i>
    <i r="1">
      <x v="1"/>
    </i>
    <i r="1">
      <x v="14"/>
    </i>
    <i>
      <x v="5"/>
    </i>
    <i r="1">
      <x v="7"/>
    </i>
    <i r="1">
      <x v="8"/>
    </i>
    <i r="1">
      <x v="15"/>
    </i>
    <i>
      <x v="6"/>
    </i>
    <i r="1">
      <x v="2"/>
    </i>
    <i r="1">
      <x v="9"/>
    </i>
    <i>
      <x v="7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pageFields count="5">
    <pageField fld="15" hier="-1"/>
    <pageField fld="2" hier="-1"/>
    <pageField fld="3" hier="-1"/>
    <pageField fld="12" hier="-1"/>
    <pageField fld="0" hier="-1"/>
  </pageFields>
  <dataFields count="1">
    <dataField name="Sum of 2020. EA " fld="7" baseField="3" baseItem="4" numFmtId="4"/>
  </dataFields>
  <pivotTableStyleInfo name="PivotStyleMedium14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5" indent="0" outline="1" outlineData="1" multipleFieldFilters="0">
  <location ref="A4:B614" firstHeaderRow="1" firstDataRow="1" firstDataCol="1" rowPageCount="1" colPageCount="1"/>
  <pivotFields count="17">
    <pivotField showAll="0"/>
    <pivotField axis="axisRow" showAll="0">
      <items count="113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04"/>
        <item m="1" x="105"/>
        <item m="1" x="106"/>
        <item m="1" x="107"/>
        <item m="1" x="108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101"/>
        <item m="1" x="10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m="1" x="109"/>
        <item m="1" x="110"/>
        <item x="62"/>
        <item x="63"/>
        <item x="64"/>
        <item x="65"/>
        <item x="66"/>
        <item x="67"/>
        <item x="68"/>
        <item x="69"/>
        <item x="70"/>
        <item x="71"/>
        <item x="2"/>
        <item x="72"/>
        <item x="73"/>
        <item x="74"/>
        <item x="75"/>
        <item x="76"/>
        <item x="77"/>
        <item x="78"/>
        <item m="1" x="103"/>
        <item x="80"/>
        <item x="81"/>
        <item x="82"/>
        <item x="83"/>
        <item x="84"/>
        <item x="85"/>
        <item x="86"/>
        <item x="87"/>
        <item m="1" x="111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79"/>
        <item x="16"/>
        <item x="17"/>
        <item x="61"/>
        <item t="default"/>
      </items>
    </pivotField>
    <pivotField axis="axisRow" multipleItemSelectionAllowed="1" showAll="0">
      <items count="132">
        <item x="82"/>
        <item x="92"/>
        <item x="70"/>
        <item x="2"/>
        <item m="1" x="96"/>
        <item x="69"/>
        <item x="74"/>
        <item x="77"/>
        <item x="20"/>
        <item x="83"/>
        <item x="11"/>
        <item x="44"/>
        <item x="19"/>
        <item x="35"/>
        <item x="3"/>
        <item x="60"/>
        <item x="67"/>
        <item x="55"/>
        <item m="1" x="114"/>
        <item x="58"/>
        <item m="1" x="102"/>
        <item m="1" x="112"/>
        <item m="1" x="121"/>
        <item x="31"/>
        <item m="1" x="130"/>
        <item x="85"/>
        <item m="1" x="125"/>
        <item m="1" x="98"/>
        <item x="10"/>
        <item x="6"/>
        <item x="95"/>
        <item x="94"/>
        <item x="21"/>
        <item x="52"/>
        <item x="75"/>
        <item x="80"/>
        <item x="90"/>
        <item m="1" x="124"/>
        <item m="1" x="115"/>
        <item x="23"/>
        <item m="1" x="127"/>
        <item x="29"/>
        <item x="66"/>
        <item x="45"/>
        <item x="54"/>
        <item x="30"/>
        <item x="71"/>
        <item x="65"/>
        <item x="7"/>
        <item x="87"/>
        <item x="72"/>
        <item x="93"/>
        <item x="51"/>
        <item m="1" x="110"/>
        <item x="62"/>
        <item x="59"/>
        <item m="1" x="116"/>
        <item x="46"/>
        <item x="68"/>
        <item m="1" x="100"/>
        <item x="18"/>
        <item x="9"/>
        <item x="28"/>
        <item x="24"/>
        <item x="88"/>
        <item x="78"/>
        <item x="27"/>
        <item x="34"/>
        <item x="25"/>
        <item x="73"/>
        <item m="1" x="99"/>
        <item x="63"/>
        <item x="56"/>
        <item m="1" x="106"/>
        <item x="89"/>
        <item m="1" x="97"/>
        <item m="1" x="107"/>
        <item m="1" x="119"/>
        <item x="91"/>
        <item m="1" x="122"/>
        <item m="1" x="111"/>
        <item x="57"/>
        <item m="1" x="123"/>
        <item x="4"/>
        <item x="1"/>
        <item x="0"/>
        <item x="33"/>
        <item m="1" x="120"/>
        <item m="1" x="101"/>
        <item x="36"/>
        <item x="53"/>
        <item m="1" x="103"/>
        <item x="84"/>
        <item x="81"/>
        <item m="1" x="117"/>
        <item x="22"/>
        <item x="32"/>
        <item m="1" x="129"/>
        <item m="1" x="128"/>
        <item m="1" x="104"/>
        <item x="86"/>
        <item x="5"/>
        <item x="26"/>
        <item x="37"/>
        <item m="1" x="109"/>
        <item x="8"/>
        <item x="12"/>
        <item x="14"/>
        <item x="13"/>
        <item x="50"/>
        <item m="1" x="118"/>
        <item x="76"/>
        <item m="1" x="113"/>
        <item m="1" x="105"/>
        <item x="15"/>
        <item x="16"/>
        <item m="1" x="126"/>
        <item m="1" x="108"/>
        <item x="38"/>
        <item x="39"/>
        <item x="40"/>
        <item x="41"/>
        <item x="42"/>
        <item x="43"/>
        <item x="47"/>
        <item x="48"/>
        <item x="49"/>
        <item x="79"/>
        <item x="17"/>
        <item x="61"/>
        <item x="64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Row" showAll="0" sortType="ascending">
      <items count="52">
        <item h="1" m="1" x="46"/>
        <item m="1" x="47"/>
        <item h="1" m="1" x="49"/>
        <item x="26"/>
        <item x="17"/>
        <item x="20"/>
        <item h="1" x="27"/>
        <item h="1" x="12"/>
        <item h="1" m="1" x="48"/>
        <item x="11"/>
        <item x="39"/>
        <item x="45"/>
        <item x="32"/>
        <item x="36"/>
        <item x="28"/>
        <item x="6"/>
        <item x="0"/>
        <item h="1" x="13"/>
        <item x="7"/>
        <item x="2"/>
        <item x="4"/>
        <item x="24"/>
        <item x="3"/>
        <item x="5"/>
        <item x="8"/>
        <item x="29"/>
        <item x="9"/>
        <item x="10"/>
        <item x="30"/>
        <item x="22"/>
        <item x="37"/>
        <item x="16"/>
        <item x="1"/>
        <item x="19"/>
        <item m="1" x="50"/>
        <item x="21"/>
        <item x="31"/>
        <item x="14"/>
        <item x="15"/>
        <item x="43"/>
        <item x="42"/>
        <item x="44"/>
        <item x="35"/>
        <item x="33"/>
        <item x="34"/>
        <item x="38"/>
        <item x="41"/>
        <item x="23"/>
        <item x="25"/>
        <item x="18"/>
        <item x="40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6">
        <item x="3"/>
        <item x="2"/>
        <item x="0"/>
        <item h="1" x="1"/>
        <item m="1" x="4"/>
        <item t="default"/>
      </items>
    </pivotField>
    <pivotField showAll="0" defaultSubtotal="0"/>
  </pivotFields>
  <rowFields count="3">
    <field x="1"/>
    <field x="2"/>
    <field x="9"/>
  </rowFields>
  <rowItems count="610">
    <i>
      <x/>
    </i>
    <i r="1">
      <x v="85"/>
    </i>
    <i r="2">
      <x v="16"/>
    </i>
    <i r="2">
      <x v="19"/>
    </i>
    <i r="2">
      <x v="22"/>
    </i>
    <i r="2">
      <x v="32"/>
    </i>
    <i>
      <x v="1"/>
    </i>
    <i r="1">
      <x v="84"/>
    </i>
    <i r="2">
      <x v="15"/>
    </i>
    <i r="2">
      <x v="16"/>
    </i>
    <i r="2">
      <x v="18"/>
    </i>
    <i r="2">
      <x v="19"/>
    </i>
    <i r="2">
      <x v="20"/>
    </i>
    <i r="2">
      <x v="22"/>
    </i>
    <i r="2">
      <x v="23"/>
    </i>
    <i r="2">
      <x v="24"/>
    </i>
    <i r="2">
      <x v="26"/>
    </i>
    <i r="2">
      <x v="27"/>
    </i>
    <i r="2">
      <x v="31"/>
    </i>
    <i r="2">
      <x v="32"/>
    </i>
    <i>
      <x v="2"/>
    </i>
    <i r="1">
      <x v="14"/>
    </i>
    <i r="2">
      <x v="4"/>
    </i>
    <i>
      <x v="3"/>
    </i>
    <i r="1">
      <x v="83"/>
    </i>
    <i r="2">
      <x v="5"/>
    </i>
    <i r="2">
      <x v="33"/>
    </i>
    <i r="2">
      <x v="35"/>
    </i>
    <i r="2">
      <x v="49"/>
    </i>
    <i>
      <x v="4"/>
    </i>
    <i r="1">
      <x v="101"/>
    </i>
    <i r="2">
      <x v="15"/>
    </i>
    <i>
      <x v="5"/>
    </i>
    <i r="1">
      <x v="29"/>
    </i>
    <i r="2">
      <x v="29"/>
    </i>
    <i>
      <x v="6"/>
    </i>
    <i r="1">
      <x v="48"/>
    </i>
    <i r="2">
      <x v="20"/>
    </i>
    <i r="2">
      <x v="22"/>
    </i>
    <i r="2">
      <x v="47"/>
    </i>
    <i>
      <x v="7"/>
    </i>
    <i r="1">
      <x v="105"/>
    </i>
    <i r="2">
      <x v="21"/>
    </i>
    <i>
      <x v="8"/>
    </i>
    <i r="1">
      <x v="61"/>
    </i>
    <i r="2">
      <x v="16"/>
    </i>
    <i r="2">
      <x v="19"/>
    </i>
    <i r="2">
      <x v="20"/>
    </i>
    <i r="2">
      <x v="22"/>
    </i>
    <i r="2">
      <x v="23"/>
    </i>
    <i r="2">
      <x v="24"/>
    </i>
    <i>
      <x v="9"/>
    </i>
    <i r="1">
      <x v="28"/>
    </i>
    <i r="2">
      <x v="3"/>
    </i>
    <i r="2">
      <x v="16"/>
    </i>
    <i r="2">
      <x v="19"/>
    </i>
    <i r="2">
      <x v="20"/>
    </i>
    <i r="2">
      <x v="22"/>
    </i>
    <i r="2">
      <x v="23"/>
    </i>
    <i r="2">
      <x v="32"/>
    </i>
    <i r="2">
      <x v="47"/>
    </i>
    <i r="2">
      <x v="48"/>
    </i>
    <i>
      <x v="10"/>
    </i>
    <i r="1">
      <x v="10"/>
    </i>
    <i r="2">
      <x v="20"/>
    </i>
    <i r="2">
      <x v="23"/>
    </i>
    <i>
      <x v="11"/>
    </i>
    <i r="1">
      <x v="106"/>
    </i>
    <i r="2">
      <x v="20"/>
    </i>
    <i r="2">
      <x v="23"/>
    </i>
    <i>
      <x v="13"/>
    </i>
    <i r="1">
      <x v="107"/>
    </i>
    <i r="2">
      <x v="21"/>
    </i>
    <i>
      <x v="14"/>
    </i>
    <i r="1">
      <x v="114"/>
    </i>
    <i r="2">
      <x v="16"/>
    </i>
    <i r="2">
      <x v="19"/>
    </i>
    <i r="2">
      <x v="20"/>
    </i>
    <i r="2">
      <x v="22"/>
    </i>
    <i r="2">
      <x v="23"/>
    </i>
    <i r="2">
      <x v="24"/>
    </i>
    <i r="2">
      <x v="26"/>
    </i>
    <i r="2">
      <x v="29"/>
    </i>
    <i r="2">
      <x v="32"/>
    </i>
    <i>
      <x v="20"/>
    </i>
    <i r="1">
      <x v="60"/>
    </i>
    <i r="2">
      <x v="20"/>
    </i>
    <i>
      <x v="21"/>
    </i>
    <i r="1">
      <x v="12"/>
    </i>
    <i r="2">
      <x v="20"/>
    </i>
    <i r="2">
      <x v="21"/>
    </i>
    <i>
      <x v="22"/>
    </i>
    <i r="1">
      <x v="8"/>
    </i>
    <i r="2">
      <x v="20"/>
    </i>
    <i r="2">
      <x v="23"/>
    </i>
    <i>
      <x v="23"/>
    </i>
    <i r="1">
      <x v="32"/>
    </i>
    <i r="2">
      <x v="15"/>
    </i>
    <i r="2">
      <x v="20"/>
    </i>
    <i r="2">
      <x v="24"/>
    </i>
    <i r="2">
      <x v="32"/>
    </i>
    <i r="2">
      <x v="48"/>
    </i>
    <i>
      <x v="24"/>
    </i>
    <i r="1">
      <x v="95"/>
    </i>
    <i r="2">
      <x v="47"/>
    </i>
    <i r="2">
      <x v="48"/>
    </i>
    <i>
      <x v="25"/>
    </i>
    <i r="1">
      <x v="39"/>
    </i>
    <i r="2">
      <x v="16"/>
    </i>
    <i r="2">
      <x v="20"/>
    </i>
    <i r="2">
      <x v="22"/>
    </i>
    <i r="2">
      <x v="23"/>
    </i>
    <i r="2">
      <x v="26"/>
    </i>
    <i r="2">
      <x v="29"/>
    </i>
    <i>
      <x v="26"/>
    </i>
    <i r="1">
      <x v="63"/>
    </i>
    <i r="2">
      <x v="20"/>
    </i>
    <i>
      <x v="27"/>
    </i>
    <i r="1">
      <x v="68"/>
    </i>
    <i r="2">
      <x v="14"/>
    </i>
    <i>
      <x v="28"/>
    </i>
    <i r="1">
      <x v="102"/>
    </i>
    <i r="2">
      <x v="32"/>
    </i>
    <i>
      <x v="29"/>
    </i>
    <i r="1">
      <x v="66"/>
    </i>
    <i r="2">
      <x v="32"/>
    </i>
    <i>
      <x v="30"/>
    </i>
    <i r="1">
      <x v="62"/>
    </i>
    <i r="2">
      <x v="14"/>
    </i>
    <i>
      <x v="31"/>
    </i>
    <i r="1">
      <x v="41"/>
    </i>
    <i r="2">
      <x v="16"/>
    </i>
    <i r="2">
      <x v="19"/>
    </i>
    <i r="2">
      <x v="22"/>
    </i>
    <i r="2">
      <x v="24"/>
    </i>
    <i r="2">
      <x v="32"/>
    </i>
    <i>
      <x v="32"/>
    </i>
    <i r="1">
      <x v="45"/>
    </i>
    <i r="2">
      <x v="14"/>
    </i>
    <i>
      <x v="33"/>
    </i>
    <i r="1">
      <x v="23"/>
    </i>
    <i r="2">
      <x v="20"/>
    </i>
    <i r="2">
      <x v="25"/>
    </i>
    <i>
      <x v="34"/>
    </i>
    <i r="1">
      <x v="96"/>
    </i>
    <i r="2">
      <x v="14"/>
    </i>
    <i>
      <x v="35"/>
    </i>
    <i r="1">
      <x v="86"/>
    </i>
    <i r="2">
      <x v="29"/>
    </i>
    <i>
      <x v="36"/>
    </i>
    <i r="1">
      <x v="67"/>
    </i>
    <i r="2">
      <x v="47"/>
    </i>
    <i>
      <x v="37"/>
    </i>
    <i r="1">
      <x v="13"/>
    </i>
    <i r="2">
      <x v="21"/>
    </i>
    <i>
      <x v="38"/>
    </i>
    <i r="1">
      <x v="89"/>
    </i>
    <i r="2">
      <x v="16"/>
    </i>
    <i>
      <x v="39"/>
    </i>
    <i r="1">
      <x v="103"/>
    </i>
    <i r="2">
      <x v="47"/>
    </i>
    <i>
      <x v="40"/>
    </i>
    <i r="1">
      <x v="118"/>
    </i>
    <i r="2">
      <x v="16"/>
    </i>
    <i r="2">
      <x v="19"/>
    </i>
    <i r="2">
      <x v="20"/>
    </i>
    <i r="2">
      <x v="22"/>
    </i>
    <i r="2">
      <x v="23"/>
    </i>
    <i r="2">
      <x v="24"/>
    </i>
    <i r="2">
      <x v="26"/>
    </i>
    <i r="2">
      <x v="27"/>
    </i>
    <i r="2">
      <x v="29"/>
    </i>
    <i r="2">
      <x v="32"/>
    </i>
    <i>
      <x v="41"/>
    </i>
    <i r="1">
      <x v="119"/>
    </i>
    <i r="2">
      <x v="16"/>
    </i>
    <i r="2">
      <x v="19"/>
    </i>
    <i r="2">
      <x v="20"/>
    </i>
    <i r="2">
      <x v="23"/>
    </i>
    <i r="2">
      <x v="27"/>
    </i>
    <i r="2">
      <x v="29"/>
    </i>
    <i>
      <x v="42"/>
    </i>
    <i r="1">
      <x v="120"/>
    </i>
    <i r="2">
      <x v="16"/>
    </i>
    <i r="2">
      <x v="19"/>
    </i>
    <i r="2">
      <x v="20"/>
    </i>
    <i r="2">
      <x v="23"/>
    </i>
    <i r="2">
      <x v="24"/>
    </i>
    <i r="2">
      <x v="27"/>
    </i>
    <i r="2">
      <x v="29"/>
    </i>
    <i>
      <x v="43"/>
    </i>
    <i r="1">
      <x v="121"/>
    </i>
    <i r="2">
      <x v="16"/>
    </i>
    <i r="2">
      <x v="19"/>
    </i>
    <i r="2">
      <x v="20"/>
    </i>
    <i r="2">
      <x v="23"/>
    </i>
    <i r="2">
      <x v="27"/>
    </i>
    <i>
      <x v="44"/>
    </i>
    <i r="1">
      <x v="122"/>
    </i>
    <i r="2">
      <x v="16"/>
    </i>
    <i r="2">
      <x v="19"/>
    </i>
    <i r="2">
      <x v="20"/>
    </i>
    <i r="2">
      <x v="22"/>
    </i>
    <i r="2">
      <x v="23"/>
    </i>
    <i r="2">
      <x v="26"/>
    </i>
    <i r="2">
      <x v="27"/>
    </i>
    <i r="2">
      <x v="29"/>
    </i>
    <i>
      <x v="45"/>
    </i>
    <i r="1">
      <x v="123"/>
    </i>
    <i r="2">
      <x v="16"/>
    </i>
    <i r="2">
      <x v="19"/>
    </i>
    <i r="2">
      <x v="20"/>
    </i>
    <i r="2">
      <x v="22"/>
    </i>
    <i r="2">
      <x v="23"/>
    </i>
    <i r="2">
      <x v="24"/>
    </i>
    <i r="2">
      <x v="26"/>
    </i>
    <i r="2">
      <x v="27"/>
    </i>
    <i r="2">
      <x v="29"/>
    </i>
    <i>
      <x v="48"/>
    </i>
    <i r="1">
      <x v="11"/>
    </i>
    <i r="2">
      <x v="16"/>
    </i>
    <i r="2">
      <x v="20"/>
    </i>
    <i r="2">
      <x v="29"/>
    </i>
    <i>
      <x v="49"/>
    </i>
    <i r="1">
      <x v="43"/>
    </i>
    <i r="2">
      <x v="16"/>
    </i>
    <i r="2">
      <x v="19"/>
    </i>
    <i r="2">
      <x v="20"/>
    </i>
    <i r="2">
      <x v="22"/>
    </i>
    <i r="2">
      <x v="23"/>
    </i>
    <i r="2">
      <x v="29"/>
    </i>
    <i>
      <x v="50"/>
    </i>
    <i r="1">
      <x v="57"/>
    </i>
    <i r="2">
      <x v="16"/>
    </i>
    <i r="2">
      <x v="19"/>
    </i>
    <i r="2">
      <x v="20"/>
    </i>
    <i r="2">
      <x v="22"/>
    </i>
    <i r="2">
      <x v="23"/>
    </i>
    <i r="2">
      <x v="24"/>
    </i>
    <i r="2">
      <x v="26"/>
    </i>
    <i r="2">
      <x v="28"/>
    </i>
    <i r="2">
      <x v="29"/>
    </i>
    <i r="2">
      <x v="32"/>
    </i>
    <i>
      <x v="51"/>
    </i>
    <i r="1">
      <x v="124"/>
    </i>
    <i r="2">
      <x v="16"/>
    </i>
    <i r="2">
      <x v="19"/>
    </i>
    <i r="2">
      <x v="20"/>
    </i>
    <i r="2">
      <x v="22"/>
    </i>
    <i r="2">
      <x v="26"/>
    </i>
    <i r="2">
      <x v="29"/>
    </i>
    <i>
      <x v="52"/>
    </i>
    <i r="1">
      <x v="125"/>
    </i>
    <i r="2">
      <x v="16"/>
    </i>
    <i r="2">
      <x v="19"/>
    </i>
    <i r="2">
      <x v="20"/>
    </i>
    <i r="2">
      <x v="22"/>
    </i>
    <i r="2">
      <x v="23"/>
    </i>
    <i r="2">
      <x v="24"/>
    </i>
    <i r="2">
      <x v="29"/>
    </i>
    <i>
      <x v="53"/>
    </i>
    <i r="1">
      <x v="126"/>
    </i>
    <i r="2">
      <x v="16"/>
    </i>
    <i r="2">
      <x v="19"/>
    </i>
    <i r="2">
      <x v="20"/>
    </i>
    <i r="2">
      <x v="22"/>
    </i>
    <i r="2">
      <x v="23"/>
    </i>
    <i r="2">
      <x v="29"/>
    </i>
    <i>
      <x v="54"/>
    </i>
    <i r="1">
      <x v="109"/>
    </i>
    <i r="2">
      <x v="16"/>
    </i>
    <i r="2">
      <x v="19"/>
    </i>
    <i r="2">
      <x v="22"/>
    </i>
    <i r="2">
      <x v="23"/>
    </i>
    <i r="2">
      <x v="32"/>
    </i>
    <i>
      <x v="55"/>
    </i>
    <i r="1">
      <x v="52"/>
    </i>
    <i r="2">
      <x v="16"/>
    </i>
    <i>
      <x v="56"/>
    </i>
    <i r="1">
      <x v="33"/>
    </i>
    <i r="2">
      <x v="16"/>
    </i>
    <i r="2">
      <x v="19"/>
    </i>
    <i r="2">
      <x v="22"/>
    </i>
    <i>
      <x v="57"/>
    </i>
    <i r="1">
      <x v="90"/>
    </i>
    <i r="2">
      <x v="16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29"/>
    </i>
    <i>
      <x v="58"/>
    </i>
    <i r="1">
      <x v="44"/>
    </i>
    <i r="2">
      <x v="16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29"/>
    </i>
    <i>
      <x v="59"/>
    </i>
    <i r="1">
      <x v="17"/>
    </i>
    <i r="2">
      <x v="16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29"/>
    </i>
    <i>
      <x v="60"/>
    </i>
    <i r="1">
      <x v="72"/>
    </i>
    <i r="2">
      <x v="19"/>
    </i>
    <i r="2">
      <x v="25"/>
    </i>
    <i r="2">
      <x v="28"/>
    </i>
    <i>
      <x v="61"/>
    </i>
    <i r="1">
      <x v="81"/>
    </i>
    <i r="2">
      <x v="19"/>
    </i>
    <i r="2">
      <x v="20"/>
    </i>
    <i r="2">
      <x v="23"/>
    </i>
    <i r="2">
      <x v="24"/>
    </i>
    <i r="2">
      <x v="25"/>
    </i>
    <i r="2">
      <x v="26"/>
    </i>
    <i r="2">
      <x v="28"/>
    </i>
    <i r="2">
      <x v="29"/>
    </i>
    <i>
      <x v="62"/>
    </i>
    <i r="1">
      <x v="19"/>
    </i>
    <i r="2">
      <x v="16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29"/>
    </i>
    <i>
      <x v="63"/>
    </i>
    <i r="1">
      <x v="55"/>
    </i>
    <i r="2">
      <x v="23"/>
    </i>
    <i r="2">
      <x v="25"/>
    </i>
    <i r="2">
      <x v="28"/>
    </i>
    <i>
      <x v="64"/>
    </i>
    <i r="1">
      <x v="15"/>
    </i>
    <i r="2">
      <x v="28"/>
    </i>
    <i>
      <x v="67"/>
    </i>
    <i r="1">
      <x v="54"/>
    </i>
    <i r="2">
      <x v="16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29"/>
    </i>
    <i r="2">
      <x v="32"/>
    </i>
    <i>
      <x v="68"/>
    </i>
    <i r="1">
      <x v="71"/>
    </i>
    <i r="2">
      <x v="16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29"/>
    </i>
    <i>
      <x v="69"/>
    </i>
    <i r="1">
      <x v="130"/>
    </i>
    <i r="2">
      <x v="16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29"/>
    </i>
    <i>
      <x v="70"/>
    </i>
    <i r="1">
      <x v="15"/>
    </i>
    <i r="2">
      <x v="28"/>
    </i>
    <i>
      <x v="71"/>
    </i>
    <i r="1">
      <x v="47"/>
    </i>
    <i r="2">
      <x v="16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29"/>
    </i>
    <i>
      <x v="72"/>
    </i>
    <i r="1">
      <x v="15"/>
    </i>
    <i r="2">
      <x v="28"/>
    </i>
    <i>
      <x v="73"/>
    </i>
    <i r="1">
      <x v="42"/>
    </i>
    <i r="2">
      <x v="28"/>
    </i>
    <i r="2">
      <x v="32"/>
    </i>
    <i>
      <x v="74"/>
    </i>
    <i r="1">
      <x v="16"/>
    </i>
    <i r="2">
      <x v="12"/>
    </i>
    <i r="2">
      <x v="16"/>
    </i>
    <i r="2">
      <x v="22"/>
    </i>
    <i r="2">
      <x v="24"/>
    </i>
    <i r="2">
      <x v="32"/>
    </i>
    <i>
      <x v="75"/>
    </i>
    <i r="1">
      <x v="58"/>
    </i>
    <i r="2">
      <x v="16"/>
    </i>
    <i r="2">
      <x v="20"/>
    </i>
    <i r="2">
      <x v="22"/>
    </i>
    <i r="2">
      <x v="24"/>
    </i>
    <i r="2">
      <x v="25"/>
    </i>
    <i r="2">
      <x v="26"/>
    </i>
    <i r="2">
      <x v="28"/>
    </i>
    <i r="2">
      <x v="29"/>
    </i>
    <i>
      <x v="76"/>
    </i>
    <i r="1">
      <x v="102"/>
    </i>
    <i r="2">
      <x v="29"/>
    </i>
    <i>
      <x v="77"/>
    </i>
    <i r="1">
      <x v="3"/>
    </i>
    <i r="2">
      <x v="16"/>
    </i>
    <i r="2">
      <x v="19"/>
    </i>
    <i r="2">
      <x v="22"/>
    </i>
    <i r="2">
      <x v="24"/>
    </i>
    <i r="2">
      <x v="28"/>
    </i>
    <i>
      <x v="78"/>
    </i>
    <i r="1">
      <x v="5"/>
    </i>
    <i r="2">
      <x v="19"/>
    </i>
    <i>
      <x v="79"/>
    </i>
    <i r="1">
      <x v="2"/>
    </i>
    <i r="2">
      <x v="14"/>
    </i>
    <i>
      <x v="80"/>
    </i>
    <i r="1">
      <x v="46"/>
    </i>
    <i r="2">
      <x v="14"/>
    </i>
    <i r="2">
      <x v="22"/>
    </i>
    <i r="2">
      <x v="48"/>
    </i>
    <i>
      <x v="81"/>
    </i>
    <i r="1">
      <x v="50"/>
    </i>
    <i r="2">
      <x v="43"/>
    </i>
    <i>
      <x v="82"/>
    </i>
    <i r="1">
      <x v="69"/>
    </i>
    <i r="2">
      <x v="44"/>
    </i>
    <i>
      <x v="83"/>
    </i>
    <i r="1">
      <x v="6"/>
    </i>
    <i r="2">
      <x v="13"/>
    </i>
    <i r="2">
      <x v="42"/>
    </i>
    <i>
      <x v="84"/>
    </i>
    <i r="1">
      <x v="34"/>
    </i>
    <i r="2">
      <x v="20"/>
    </i>
    <i r="2">
      <x v="30"/>
    </i>
    <i r="2">
      <x v="44"/>
    </i>
    <i>
      <x v="86"/>
    </i>
    <i r="1">
      <x v="7"/>
    </i>
    <i r="2">
      <x v="42"/>
    </i>
    <i>
      <x v="87"/>
    </i>
    <i r="1">
      <x v="65"/>
    </i>
    <i r="2">
      <x v="16"/>
    </i>
    <i r="2">
      <x v="19"/>
    </i>
    <i r="2">
      <x v="20"/>
    </i>
    <i r="2">
      <x v="22"/>
    </i>
    <i r="2">
      <x v="23"/>
    </i>
    <i r="2">
      <x v="25"/>
    </i>
    <i r="2">
      <x v="26"/>
    </i>
    <i r="2">
      <x v="29"/>
    </i>
    <i r="2">
      <x v="32"/>
    </i>
    <i>
      <x v="88"/>
    </i>
    <i r="1">
      <x v="127"/>
    </i>
    <i r="2">
      <x v="16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9"/>
    </i>
    <i r="2">
      <x v="30"/>
    </i>
    <i r="2">
      <x v="31"/>
    </i>
    <i>
      <x v="89"/>
    </i>
    <i r="1">
      <x v="35"/>
    </i>
    <i r="2">
      <x v="30"/>
    </i>
    <i>
      <x v="90"/>
    </i>
    <i r="1">
      <x v="93"/>
    </i>
    <i r="2">
      <x v="16"/>
    </i>
    <i r="2">
      <x v="19"/>
    </i>
    <i r="2">
      <x v="20"/>
    </i>
    <i r="2">
      <x v="22"/>
    </i>
    <i r="2">
      <x v="29"/>
    </i>
    <i>
      <x v="91"/>
    </i>
    <i r="1">
      <x v="6"/>
    </i>
    <i r="2">
      <x v="19"/>
    </i>
    <i r="2">
      <x v="22"/>
    </i>
    <i r="2">
      <x v="24"/>
    </i>
    <i>
      <x v="92"/>
    </i>
    <i r="1">
      <x/>
    </i>
    <i r="2">
      <x v="45"/>
    </i>
    <i>
      <x v="93"/>
    </i>
    <i r="1">
      <x v="9"/>
    </i>
    <i r="2">
      <x v="45"/>
    </i>
    <i>
      <x v="95"/>
    </i>
    <i r="1">
      <x v="92"/>
    </i>
    <i r="2">
      <x v="16"/>
    </i>
    <i r="2">
      <x v="19"/>
    </i>
    <i r="2">
      <x v="20"/>
    </i>
    <i r="2">
      <x v="22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50"/>
    </i>
    <i>
      <x v="96"/>
    </i>
    <i r="1">
      <x v="35"/>
    </i>
    <i r="2">
      <x v="14"/>
    </i>
    <i r="2">
      <x v="30"/>
    </i>
    <i r="2">
      <x v="47"/>
    </i>
    <i r="2">
      <x v="50"/>
    </i>
    <i>
      <x v="97"/>
    </i>
    <i r="1">
      <x v="25"/>
    </i>
    <i r="2">
      <x v="46"/>
    </i>
    <i>
      <x v="98"/>
    </i>
    <i r="1">
      <x v="100"/>
    </i>
    <i r="2">
      <x v="40"/>
    </i>
    <i>
      <x v="99"/>
    </i>
    <i r="1">
      <x v="49"/>
    </i>
    <i r="2">
      <x v="40"/>
    </i>
    <i>
      <x v="100"/>
    </i>
    <i r="1">
      <x v="64"/>
    </i>
    <i r="2">
      <x v="39"/>
    </i>
    <i r="2">
      <x v="40"/>
    </i>
    <i>
      <x v="101"/>
    </i>
    <i r="1">
      <x v="74"/>
    </i>
    <i r="2">
      <x v="40"/>
    </i>
    <i>
      <x v="102"/>
    </i>
    <i r="1">
      <x v="36"/>
    </i>
    <i r="2">
      <x v="14"/>
    </i>
    <i r="2">
      <x v="29"/>
    </i>
    <i r="2">
      <x v="30"/>
    </i>
    <i r="2">
      <x v="40"/>
    </i>
    <i>
      <x v="103"/>
    </i>
    <i r="1">
      <x v="78"/>
    </i>
    <i r="2">
      <x v="41"/>
    </i>
    <i>
      <x v="104"/>
    </i>
    <i r="1">
      <x v="1"/>
    </i>
    <i r="2">
      <x v="20"/>
    </i>
    <i r="2">
      <x v="50"/>
    </i>
    <i>
      <x v="105"/>
    </i>
    <i r="1">
      <x v="51"/>
    </i>
    <i r="2">
      <x v="11"/>
    </i>
    <i>
      <x v="106"/>
    </i>
    <i r="1">
      <x v="31"/>
    </i>
    <i r="2">
      <x v="50"/>
    </i>
    <i>
      <x v="107"/>
    </i>
    <i r="1">
      <x v="30"/>
    </i>
    <i r="2">
      <x v="3"/>
    </i>
    <i r="2">
      <x v="14"/>
    </i>
    <i r="2">
      <x v="16"/>
    </i>
    <i r="2">
      <x v="19"/>
    </i>
    <i r="2">
      <x v="22"/>
    </i>
    <i r="2">
      <x v="23"/>
    </i>
    <i r="2">
      <x v="24"/>
    </i>
    <i r="2">
      <x v="32"/>
    </i>
    <i>
      <x v="108"/>
    </i>
    <i r="1">
      <x v="111"/>
    </i>
    <i r="2">
      <x v="30"/>
    </i>
    <i>
      <x v="109"/>
    </i>
    <i r="1">
      <x v="115"/>
    </i>
    <i r="2">
      <x v="16"/>
    </i>
    <i r="2">
      <x v="19"/>
    </i>
    <i r="2">
      <x v="20"/>
    </i>
    <i r="2">
      <x v="21"/>
    </i>
    <i r="2">
      <x v="22"/>
    </i>
    <i r="2">
      <x v="23"/>
    </i>
    <i r="2">
      <x v="24"/>
    </i>
    <i>
      <x v="110"/>
    </i>
    <i r="1">
      <x v="128"/>
    </i>
    <i r="2">
      <x v="16"/>
    </i>
    <i r="2">
      <x v="20"/>
    </i>
    <i r="2">
      <x v="22"/>
    </i>
    <i r="2">
      <x v="23"/>
    </i>
    <i r="2">
      <x v="32"/>
    </i>
    <i>
      <x v="111"/>
    </i>
    <i r="1">
      <x v="129"/>
    </i>
    <i r="2">
      <x v="16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29"/>
    </i>
    <i t="grand">
      <x/>
    </i>
  </rowItems>
  <colItems count="1">
    <i/>
  </colItems>
  <pageFields count="1">
    <pageField fld="15" hier="-1"/>
  </pageFields>
  <dataFields count="1">
    <dataField name="Sum of 2020. EA " fld="7" baseField="1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4:B31" firstHeaderRow="1" firstDataRow="1" firstDataCol="1" rowPageCount="2" colPageCount="1"/>
  <pivotFields count="17">
    <pivotField axis="axisPage" showAll="0" defaultSubtotal="0">
      <items count="11">
        <item m="1" x="10"/>
        <item x="0"/>
        <item x="2"/>
        <item x="3"/>
        <item x="4"/>
        <item x="5"/>
        <item x="6"/>
        <item x="7"/>
        <item x="8"/>
        <item x="1"/>
        <item x="9"/>
      </items>
    </pivotField>
    <pivotField axis="axisRow" showAll="0" defaultSubtotal="0">
      <items count="112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04"/>
        <item m="1" x="105"/>
        <item m="1" x="106"/>
        <item m="1" x="107"/>
        <item m="1" x="108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101"/>
        <item m="1" x="10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m="1" x="109"/>
        <item m="1" x="110"/>
        <item x="62"/>
        <item x="63"/>
        <item x="64"/>
        <item x="65"/>
        <item x="66"/>
        <item x="67"/>
        <item x="68"/>
        <item x="69"/>
        <item x="70"/>
        <item x="71"/>
        <item x="2"/>
        <item x="72"/>
        <item x="73"/>
        <item x="74"/>
        <item x="75"/>
        <item x="76"/>
        <item x="77"/>
        <item x="78"/>
        <item x="79"/>
        <item m="1" x="103"/>
        <item x="80"/>
        <item x="81"/>
        <item x="82"/>
        <item x="83"/>
        <item x="84"/>
        <item x="85"/>
        <item x="86"/>
        <item x="87"/>
        <item m="1" x="111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6"/>
        <item x="17"/>
        <item x="61"/>
      </items>
    </pivotField>
    <pivotField axis="axisRow" showAll="0" defaultSubtotal="0">
      <items count="131">
        <item x="82"/>
        <item x="92"/>
        <item x="76"/>
        <item x="70"/>
        <item x="2"/>
        <item m="1" x="96"/>
        <item x="69"/>
        <item x="74"/>
        <item x="77"/>
        <item x="20"/>
        <item x="83"/>
        <item x="11"/>
        <item x="44"/>
        <item x="19"/>
        <item x="35"/>
        <item x="3"/>
        <item x="60"/>
        <item x="67"/>
        <item x="55"/>
        <item m="1" x="114"/>
        <item x="58"/>
        <item m="1" x="102"/>
        <item m="1" x="112"/>
        <item m="1" x="121"/>
        <item x="31"/>
        <item m="1" x="130"/>
        <item x="85"/>
        <item m="1" x="125"/>
        <item m="1" x="98"/>
        <item x="10"/>
        <item x="6"/>
        <item x="95"/>
        <item x="94"/>
        <item x="21"/>
        <item x="52"/>
        <item x="75"/>
        <item x="80"/>
        <item x="90"/>
        <item m="1" x="105"/>
        <item m="1" x="124"/>
        <item m="1" x="115"/>
        <item x="23"/>
        <item m="1" x="113"/>
        <item m="1" x="127"/>
        <item x="29"/>
        <item x="66"/>
        <item x="45"/>
        <item x="54"/>
        <item x="30"/>
        <item x="71"/>
        <item x="65"/>
        <item x="7"/>
        <item x="87"/>
        <item x="72"/>
        <item x="93"/>
        <item x="51"/>
        <item m="1" x="110"/>
        <item x="62"/>
        <item x="59"/>
        <item m="1" x="116"/>
        <item x="46"/>
        <item x="68"/>
        <item m="1" x="100"/>
        <item x="18"/>
        <item x="9"/>
        <item x="28"/>
        <item x="24"/>
        <item x="88"/>
        <item x="78"/>
        <item x="27"/>
        <item x="34"/>
        <item x="25"/>
        <item x="73"/>
        <item m="1" x="99"/>
        <item x="63"/>
        <item x="56"/>
        <item m="1" x="106"/>
        <item x="89"/>
        <item m="1" x="97"/>
        <item m="1" x="107"/>
        <item m="1" x="119"/>
        <item x="91"/>
        <item m="1" x="122"/>
        <item m="1" x="111"/>
        <item x="57"/>
        <item m="1" x="123"/>
        <item x="4"/>
        <item x="1"/>
        <item x="0"/>
        <item x="33"/>
        <item m="1" x="120"/>
        <item m="1" x="101"/>
        <item x="36"/>
        <item x="53"/>
        <item m="1" x="103"/>
        <item x="84"/>
        <item x="81"/>
        <item m="1" x="117"/>
        <item x="22"/>
        <item x="32"/>
        <item m="1" x="129"/>
        <item m="1" x="128"/>
        <item m="1" x="104"/>
        <item x="86"/>
        <item x="5"/>
        <item x="26"/>
        <item x="37"/>
        <item m="1" x="109"/>
        <item x="8"/>
        <item x="12"/>
        <item x="14"/>
        <item x="13"/>
        <item x="50"/>
        <item m="1" x="118"/>
        <item x="15"/>
        <item x="16"/>
        <item m="1" x="126"/>
        <item m="1" x="108"/>
        <item x="38"/>
        <item x="39"/>
        <item x="40"/>
        <item x="41"/>
        <item x="42"/>
        <item x="43"/>
        <item x="47"/>
        <item x="48"/>
        <item x="49"/>
        <item x="79"/>
        <item x="17"/>
        <item x="61"/>
        <item x="64"/>
      </items>
    </pivotField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6">
        <item m="1" x="15"/>
        <item x="8"/>
        <item x="9"/>
        <item x="7"/>
        <item x="10"/>
        <item x="2"/>
        <item x="0"/>
        <item x="1"/>
        <item x="6"/>
        <item x="3"/>
        <item x="12"/>
        <item x="11"/>
        <item x="14"/>
        <item x="4"/>
        <item x="5"/>
        <item x="13"/>
      </items>
    </pivotField>
    <pivotField axis="axisPage" multipleItemSelectionAllowed="1" showAll="0" defaultSubtotal="0">
      <items count="5">
        <item h="1" x="3"/>
        <item x="2"/>
        <item x="0"/>
        <item h="1" x="1"/>
        <item m="1" x="4"/>
      </items>
    </pivotField>
    <pivotField showAll="0" defaultSubtotal="0"/>
  </pivotFields>
  <rowFields count="3">
    <field x="1"/>
    <field x="2"/>
    <field x="14"/>
  </rowFields>
  <rowItems count="27">
    <i>
      <x v="12"/>
    </i>
    <i r="1">
      <x v="111"/>
    </i>
    <i r="2">
      <x v="9"/>
    </i>
    <i>
      <x v="13"/>
    </i>
    <i r="1">
      <x v="110"/>
    </i>
    <i r="2">
      <x v="6"/>
    </i>
    <i r="2">
      <x v="9"/>
    </i>
    <i>
      <x v="14"/>
    </i>
    <i r="1">
      <x v="114"/>
    </i>
    <i r="2">
      <x v="6"/>
    </i>
    <i r="2">
      <x v="9"/>
    </i>
    <i>
      <x v="20"/>
    </i>
    <i r="1">
      <x v="63"/>
    </i>
    <i r="2">
      <x v="6"/>
    </i>
    <i>
      <x v="21"/>
    </i>
    <i r="1">
      <x v="13"/>
    </i>
    <i r="2">
      <x v="6"/>
    </i>
    <i>
      <x v="22"/>
    </i>
    <i r="1">
      <x v="9"/>
    </i>
    <i r="2">
      <x v="6"/>
    </i>
    <i>
      <x v="109"/>
    </i>
    <i r="1">
      <x v="115"/>
    </i>
    <i r="2">
      <x v="6"/>
    </i>
    <i>
      <x v="110"/>
    </i>
    <i r="1">
      <x v="128"/>
    </i>
    <i r="2">
      <x v="6"/>
    </i>
    <i t="grand">
      <x/>
    </i>
  </rowItems>
  <colItems count="1">
    <i/>
  </colItems>
  <pageFields count="2">
    <pageField fld="15" hier="-1"/>
    <pageField fld="0" item="6" hier="-1"/>
  </pageFields>
  <dataFields count="1">
    <dataField name="Sum of 2020. EA " fld="7" baseField="1" baseItem="0" numFmtId="4"/>
  </dataFields>
  <formats count="12">
    <format dxfId="57">
      <pivotArea collapsedLevelsAreSubtotals="1" fieldPosition="0">
        <references count="1">
          <reference field="2" count="1">
            <x v="97"/>
          </reference>
        </references>
      </pivotArea>
    </format>
    <format dxfId="56">
      <pivotArea grandRow="1" outline="0" collapsedLevelsAreSubtotals="1" fieldPosition="0"/>
    </format>
    <format dxfId="55">
      <pivotArea collapsedLevelsAreSubtotals="1" fieldPosition="0">
        <references count="2">
          <reference field="1" count="1" selected="0">
            <x v="64"/>
          </reference>
          <reference field="2" count="1">
            <x v="16"/>
          </reference>
        </references>
      </pivotArea>
    </format>
    <format dxfId="54">
      <pivotArea collapsedLevelsAreSubtotals="1" fieldPosition="0">
        <references count="1">
          <reference field="1" count="1">
            <x v="64"/>
          </reference>
        </references>
      </pivotArea>
    </format>
    <format dxfId="53">
      <pivotArea outline="0" fieldPosition="0">
        <references count="1">
          <reference field="4294967294" count="1">
            <x v="0"/>
          </reference>
        </references>
      </pivotArea>
    </format>
    <format dxfId="52">
      <pivotArea outline="0" fieldPosition="0">
        <references count="1">
          <reference field="4294967294" count="1">
            <x v="0"/>
          </reference>
        </references>
      </pivotArea>
    </format>
    <format dxfId="51">
      <pivotArea grandRow="1" outline="0" collapsedLevelsAreSubtotals="1" fieldPosition="0"/>
    </format>
    <format dxfId="50">
      <pivotArea grandRow="1" outline="0" collapsedLevelsAreSubtotals="1" fieldPosition="0"/>
    </format>
    <format dxfId="49">
      <pivotArea grandRow="1" outline="0" collapsedLevelsAreSubtotals="1" fieldPosition="0"/>
    </format>
    <format dxfId="48">
      <pivotArea grandRow="1" outline="0" collapsedLevelsAreSubtotals="1" fieldPosition="0"/>
    </format>
    <format dxfId="47">
      <pivotArea outline="0" fieldPosition="0">
        <references count="1">
          <reference field="4294967294" count="1">
            <x v="0"/>
          </reference>
        </references>
      </pivotArea>
    </format>
    <format dxfId="4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D3:F14" firstHeaderRow="0" firstDataRow="1" firstDataCol="1" rowPageCount="1" colPageCount="1"/>
  <pivotFields count="18">
    <pivotField axis="axisPage" showAll="0">
      <items count="8">
        <item x="3"/>
        <item x="6"/>
        <item x="4"/>
        <item x="5"/>
        <item x="0"/>
        <item x="1"/>
        <item x="2"/>
        <item t="default"/>
      </items>
    </pivotField>
    <pivotField axis="axisRow" showAll="0">
      <items count="69">
        <item x="14"/>
        <item x="4"/>
        <item x="12"/>
        <item x="42"/>
        <item x="43"/>
        <item x="15"/>
        <item x="16"/>
        <item m="1" x="63"/>
        <item m="1" x="64"/>
        <item m="1" x="65"/>
        <item m="1" x="66"/>
        <item m="1" x="67"/>
        <item x="19"/>
        <item x="20"/>
        <item x="5"/>
        <item x="7"/>
        <item x="11"/>
        <item x="10"/>
        <item x="21"/>
        <item x="22"/>
        <item x="0"/>
        <item x="37"/>
        <item x="23"/>
        <item x="6"/>
        <item x="45"/>
        <item x="47"/>
        <item x="41"/>
        <item x="46"/>
        <item x="24"/>
        <item x="34"/>
        <item x="25"/>
        <item x="51"/>
        <item x="44"/>
        <item x="26"/>
        <item x="27"/>
        <item x="28"/>
        <item x="40"/>
        <item x="29"/>
        <item x="49"/>
        <item x="2"/>
        <item m="1" x="61"/>
        <item m="1" x="62"/>
        <item x="1"/>
        <item x="39"/>
        <item x="30"/>
        <item x="31"/>
        <item x="52"/>
        <item x="33"/>
        <item x="13"/>
        <item x="48"/>
        <item m="1" x="60"/>
        <item x="32"/>
        <item x="53"/>
        <item x="35"/>
        <item x="36"/>
        <item x="3"/>
        <item x="8"/>
        <item x="38"/>
        <item x="9"/>
        <item x="54"/>
        <item x="55"/>
        <item x="56"/>
        <item x="57"/>
        <item x="17"/>
        <item x="18"/>
        <item x="58"/>
        <item x="59"/>
        <item x="50"/>
        <item t="default"/>
      </items>
    </pivotField>
    <pivotField axis="axisRow" showAll="0">
      <items count="94">
        <item x="32"/>
        <item x="52"/>
        <item x="8"/>
        <item x="45"/>
        <item x="20"/>
        <item x="13"/>
        <item x="28"/>
        <item m="1" x="62"/>
        <item x="49"/>
        <item m="1" x="82"/>
        <item m="1" x="66"/>
        <item m="1" x="78"/>
        <item x="10"/>
        <item m="1" x="70"/>
        <item x="15"/>
        <item x="9"/>
        <item x="44"/>
        <item x="12"/>
        <item m="1" x="63"/>
        <item m="1" x="90"/>
        <item x="5"/>
        <item m="1" x="86"/>
        <item m="1" x="77"/>
        <item x="11"/>
        <item x="33"/>
        <item x="47"/>
        <item x="27"/>
        <item x="31"/>
        <item x="42"/>
        <item m="1" x="88"/>
        <item x="1"/>
        <item x="2"/>
        <item m="1" x="74"/>
        <item x="41"/>
        <item x="48"/>
        <item m="1" x="68"/>
        <item x="19"/>
        <item x="43"/>
        <item x="7"/>
        <item x="35"/>
        <item m="1" x="73"/>
        <item x="39"/>
        <item x="40"/>
        <item m="1" x="65"/>
        <item m="1" x="75"/>
        <item m="1" x="92"/>
        <item m="1" x="85"/>
        <item x="29"/>
        <item m="1" x="60"/>
        <item x="4"/>
        <item x="14"/>
        <item m="1" x="72"/>
        <item x="26"/>
        <item m="1" x="76"/>
        <item x="38"/>
        <item x="3"/>
        <item m="1" x="71"/>
        <item m="1" x="61"/>
        <item m="1" x="69"/>
        <item m="1" x="80"/>
        <item m="1" x="79"/>
        <item x="51"/>
        <item x="0"/>
        <item x="6"/>
        <item x="16"/>
        <item x="17"/>
        <item m="1" x="91"/>
        <item x="21"/>
        <item x="22"/>
        <item x="23"/>
        <item x="24"/>
        <item x="25"/>
        <item x="34"/>
        <item x="37"/>
        <item x="46"/>
        <item m="1" x="67"/>
        <item m="1" x="81"/>
        <item m="1" x="83"/>
        <item m="1" x="84"/>
        <item m="1" x="87"/>
        <item x="30"/>
        <item x="36"/>
        <item m="1" x="64"/>
        <item m="1" x="59"/>
        <item m="1" x="89"/>
        <item x="53"/>
        <item x="54"/>
        <item x="55"/>
        <item x="56"/>
        <item x="18"/>
        <item x="57"/>
        <item x="58"/>
        <item x="5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" showAll="0"/>
    <pivotField dataField="1" numFmtId="4" showAll="0"/>
    <pivotField showAll="0"/>
    <pivotField dragToRow="0" dragToCol="0" dragToPage="0" showAll="0" defaultSubtotal="0"/>
    <pivotField dragToRow="0" dragToCol="0" dragToPage="0" showAll="0" defaultSubtotal="0"/>
  </pivotFields>
  <rowFields count="2">
    <field x="1"/>
    <field x="2"/>
  </rowFields>
  <rowItems count="11">
    <i>
      <x v="6"/>
    </i>
    <i r="1">
      <x v="64"/>
    </i>
    <i>
      <x v="12"/>
    </i>
    <i r="1">
      <x v="36"/>
    </i>
    <i>
      <x v="13"/>
    </i>
    <i r="1">
      <x v="4"/>
    </i>
    <i>
      <x v="63"/>
    </i>
    <i r="1">
      <x v="65"/>
    </i>
    <i>
      <x v="64"/>
    </i>
    <i r="1">
      <x v="89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3" hier="-1"/>
  </pageFields>
  <dataFields count="2">
    <dataField name="Sum of 2020. EA " fld="13" baseField="1" baseItem="0" numFmtId="4"/>
    <dataField name="Sum of Maksud" fld="14" baseField="1" baseItem="0" numFmtId="4"/>
  </dataFields>
  <formats count="3">
    <format dxfId="60">
      <pivotArea outline="0" collapsedLevelsAreSubtotals="1" fieldPosition="0"/>
    </format>
    <format dxfId="59">
      <pivotArea outline="0" fieldPosition="0">
        <references count="1">
          <reference field="4294967294" count="1">
            <x v="0"/>
          </reference>
        </references>
      </pivotArea>
    </format>
    <format dxfId="58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grandTotalCaption="Tööjõukulud" updatedVersion="6" minRefreshableVersion="3" useAutoFormatting="1" itemPrintTitles="1" createdVersion="5" indent="0" outline="1" outlineData="1" multipleFieldFilters="0">
  <location ref="A4:C40" firstHeaderRow="0" firstDataRow="1" firstDataCol="1" rowPageCount="2" colPageCount="1"/>
  <pivotFields count="18">
    <pivotField axis="axisRow" showAll="0" sortType="ascending">
      <items count="8">
        <item x="3"/>
        <item x="6"/>
        <item x="4"/>
        <item x="5"/>
        <item x="0"/>
        <item x="1"/>
        <item x="2"/>
        <item t="default"/>
      </items>
    </pivotField>
    <pivotField axis="axisPage" showAll="0" sortType="ascending">
      <items count="69">
        <item x="14"/>
        <item x="4"/>
        <item x="12"/>
        <item x="42"/>
        <item x="43"/>
        <item x="15"/>
        <item x="16"/>
        <item m="1" x="63"/>
        <item m="1" x="64"/>
        <item m="1" x="65"/>
        <item m="1" x="66"/>
        <item m="1" x="67"/>
        <item x="19"/>
        <item x="20"/>
        <item x="18"/>
        <item x="17"/>
        <item x="5"/>
        <item x="7"/>
        <item x="11"/>
        <item x="10"/>
        <item x="54"/>
        <item x="21"/>
        <item x="22"/>
        <item x="0"/>
        <item x="37"/>
        <item x="23"/>
        <item x="6"/>
        <item x="45"/>
        <item x="47"/>
        <item x="41"/>
        <item x="46"/>
        <item x="24"/>
        <item x="34"/>
        <item x="25"/>
        <item x="51"/>
        <item x="44"/>
        <item x="26"/>
        <item x="27"/>
        <item x="28"/>
        <item x="40"/>
        <item x="29"/>
        <item x="49"/>
        <item x="2"/>
        <item m="1" x="61"/>
        <item m="1" x="62"/>
        <item x="1"/>
        <item x="39"/>
        <item x="30"/>
        <item x="31"/>
        <item x="50"/>
        <item x="52"/>
        <item x="33"/>
        <item x="13"/>
        <item x="48"/>
        <item m="1" x="60"/>
        <item x="32"/>
        <item x="53"/>
        <item x="55"/>
        <item x="56"/>
        <item x="57"/>
        <item x="35"/>
        <item x="36"/>
        <item x="3"/>
        <item x="8"/>
        <item x="38"/>
        <item x="58"/>
        <item x="59"/>
        <item x="9"/>
        <item t="default"/>
      </items>
    </pivotField>
    <pivotField axis="axisRow" showAll="0">
      <items count="94">
        <item x="8"/>
        <item x="20"/>
        <item x="13"/>
        <item m="1" x="62"/>
        <item m="1" x="82"/>
        <item x="10"/>
        <item x="15"/>
        <item x="9"/>
        <item x="12"/>
        <item x="5"/>
        <item x="11"/>
        <item m="1" x="88"/>
        <item x="1"/>
        <item x="2"/>
        <item m="1" x="74"/>
        <item m="1" x="68"/>
        <item x="19"/>
        <item x="7"/>
        <item m="1" x="73"/>
        <item m="1" x="65"/>
        <item x="4"/>
        <item x="14"/>
        <item x="3"/>
        <item m="1" x="71"/>
        <item m="1" x="69"/>
        <item m="1" x="80"/>
        <item m="1" x="66"/>
        <item m="1" x="85"/>
        <item x="26"/>
        <item x="27"/>
        <item x="28"/>
        <item x="29"/>
        <item m="1" x="76"/>
        <item x="31"/>
        <item m="1" x="70"/>
        <item x="32"/>
        <item x="33"/>
        <item m="1" x="72"/>
        <item x="35"/>
        <item m="1" x="92"/>
        <item x="38"/>
        <item x="39"/>
        <item x="40"/>
        <item x="41"/>
        <item x="42"/>
        <item x="43"/>
        <item m="1" x="60"/>
        <item x="44"/>
        <item x="45"/>
        <item m="1" x="75"/>
        <item x="47"/>
        <item x="48"/>
        <item x="49"/>
        <item m="1" x="77"/>
        <item m="1" x="90"/>
        <item m="1" x="61"/>
        <item m="1" x="79"/>
        <item m="1" x="78"/>
        <item x="51"/>
        <item m="1" x="86"/>
        <item m="1" x="63"/>
        <item x="52"/>
        <item x="0"/>
        <item x="6"/>
        <item x="16"/>
        <item x="17"/>
        <item m="1" x="91"/>
        <item x="21"/>
        <item x="22"/>
        <item x="23"/>
        <item x="24"/>
        <item x="25"/>
        <item x="34"/>
        <item x="37"/>
        <item x="46"/>
        <item m="1" x="67"/>
        <item m="1" x="81"/>
        <item m="1" x="83"/>
        <item m="1" x="84"/>
        <item m="1" x="87"/>
        <item x="30"/>
        <item x="36"/>
        <item m="1" x="64"/>
        <item m="1" x="59"/>
        <item m="1" x="89"/>
        <item x="53"/>
        <item x="54"/>
        <item x="55"/>
        <item x="56"/>
        <item x="18"/>
        <item x="57"/>
        <item x="58"/>
        <item x="50"/>
        <item t="default"/>
      </items>
    </pivotField>
    <pivotField axis="axisRow" showAll="0" defaultSubtotal="0">
      <items count="32">
        <item sd="0" x="2"/>
        <item m="1" x="31"/>
        <item sd="0" x="10"/>
        <item sd="0" x="6"/>
        <item sd="0" x="12"/>
        <item sd="0" x="7"/>
        <item sd="0" m="1" x="29"/>
        <item sd="0" x="9"/>
        <item sd="0" x="8"/>
        <item sd="0" x="1"/>
        <item sd="0" x="0"/>
        <item sd="0" x="14"/>
        <item sd="0" x="5"/>
        <item sd="0" x="4"/>
        <item sd="0" x="11"/>
        <item sd="0" x="23"/>
        <item sd="0" x="15"/>
        <item m="1" x="28"/>
        <item m="1" x="30"/>
        <item sd="0" x="18"/>
        <item sd="0" x="19"/>
        <item sd="0" x="20"/>
        <item sd="0" x="21"/>
        <item sd="0" x="3"/>
        <item sd="0" x="13"/>
        <item sd="0" x="16"/>
        <item sd="0" x="17"/>
        <item sd="0" x="22"/>
        <item sd="0" x="24"/>
        <item sd="0" x="25"/>
        <item sd="0" x="26"/>
        <item sd="0" x="27"/>
      </items>
    </pivotField>
    <pivotField axis="axisPage" showAll="0">
      <items count="8">
        <item x="5"/>
        <item x="1"/>
        <item x="4"/>
        <item x="2"/>
        <item x="0"/>
        <item x="3"/>
        <item x="6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 defaultSubtotal="0"/>
    <pivotField showAll="0"/>
    <pivotField dataField="1" showAll="0"/>
    <pivotField dataField="1" showAll="0"/>
    <pivotField showAll="0"/>
    <pivotField dragToRow="0" dragToCol="0" dragToPage="0" showAll="0" defaultSubtotal="0"/>
    <pivotField dragToRow="0" dragToCol="0" dragToPage="0" showAll="0" defaultSubtotal="0"/>
  </pivotFields>
  <rowFields count="3">
    <field x="0"/>
    <field x="3"/>
    <field x="2"/>
  </rowFields>
  <rowItems count="36">
    <i>
      <x/>
    </i>
    <i r="1">
      <x v="7"/>
    </i>
    <i r="1">
      <x v="13"/>
    </i>
    <i r="1">
      <x v="14"/>
    </i>
    <i>
      <x v="1"/>
    </i>
    <i r="1">
      <x v="19"/>
    </i>
    <i>
      <x v="2"/>
    </i>
    <i r="1">
      <x v="4"/>
    </i>
    <i r="1">
      <x v="20"/>
    </i>
    <i>
      <x v="3"/>
    </i>
    <i r="1">
      <x v="24"/>
    </i>
    <i>
      <x v="4"/>
    </i>
    <i r="1">
      <x v="8"/>
    </i>
    <i r="1">
      <x v="10"/>
    </i>
    <i r="1">
      <x v="11"/>
    </i>
    <i r="1">
      <x v="12"/>
    </i>
    <i r="1">
      <x v="21"/>
    </i>
    <i r="1">
      <x v="27"/>
    </i>
    <i r="1">
      <x v="28"/>
    </i>
    <i>
      <x v="5"/>
    </i>
    <i r="1">
      <x/>
    </i>
    <i r="1">
      <x v="2"/>
    </i>
    <i r="1">
      <x v="9"/>
    </i>
    <i r="1">
      <x v="15"/>
    </i>
    <i r="1">
      <x v="16"/>
    </i>
    <i r="1">
      <x v="22"/>
    </i>
    <i r="1">
      <x v="25"/>
    </i>
    <i>
      <x v="6"/>
    </i>
    <i r="1">
      <x v="3"/>
    </i>
    <i r="1">
      <x v="5"/>
    </i>
    <i r="1">
      <x v="23"/>
    </i>
    <i r="1">
      <x v="26"/>
    </i>
    <i r="1">
      <x v="29"/>
    </i>
    <i r="1">
      <x v="30"/>
    </i>
    <i r="1">
      <x v="31"/>
    </i>
    <i t="grand">
      <x/>
    </i>
  </rowItems>
  <colFields count="1">
    <field x="-2"/>
  </colFields>
  <colItems count="2">
    <i>
      <x/>
    </i>
    <i i="1">
      <x v="1"/>
    </i>
  </colItems>
  <pageFields count="2">
    <pageField fld="4" hier="-1"/>
    <pageField fld="1" hier="-1"/>
  </pageFields>
  <dataFields count="2">
    <dataField name="Sum of 2020. EA " fld="13" baseField="1" baseItem="0" numFmtId="4"/>
    <dataField name="Sum of Maksud" fld="14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7" name="Table7" displayName="Table7" ref="A1:Q1231" totalsRowShown="0">
  <autoFilter ref="A1:Q1231">
    <filterColumn colId="2">
      <filters>
        <filter val="Vinni päevakeskus"/>
      </filters>
    </filterColumn>
  </autoFilter>
  <tableColumns count="17">
    <tableColumn id="1" name="Valdkond"/>
    <tableColumn id="2" name="Tegevusala"/>
    <tableColumn id="3" name="Tegevusala nimetus2"/>
    <tableColumn id="4" name="Tegevusala alanimetus"/>
    <tableColumn id="5" name="Tegevusala koondnimetus"/>
    <tableColumn id="6" name="Eelarve eest vastutav"/>
    <tableColumn id="7" name="Tegevuse kirjeldus"/>
    <tableColumn id="8" name="2020. EA "/>
    <tableColumn id="9" name="Märkused"/>
    <tableColumn id="10" name="Konto"/>
    <tableColumn id="11" name="Konto nimetus"/>
    <tableColumn id="12" name="Tulu/kulu liik2"/>
    <tableColumn id="13" name="Konto grupp"/>
    <tableColumn id="14" name="Kontode koondnimetus"/>
    <tableColumn id="15" name="Kontode alanimetus"/>
    <tableColumn id="16" name="Tulu/kulu liigi grupp"/>
    <tableColumn id="17" name="Lisaeelarve / €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Q1288">
  <autoFilter ref="A1:Q1288">
    <filterColumn colId="1">
      <filters>
        <filter val="04900"/>
      </filters>
    </filterColumn>
  </autoFilter>
  <sortState ref="A2:P1288">
    <sortCondition ref="B1:B1288"/>
  </sortState>
  <tableColumns count="17">
    <tableColumn id="2" name="Valdkond" totalsRowLabel="Total">
      <calculatedColumnFormula>LEFT(B2,2)</calculatedColumnFormula>
    </tableColumn>
    <tableColumn id="3" name="Tegevusala"/>
    <tableColumn id="11" name="Tegevusala nimetus2" dataDxfId="45">
      <calculatedColumnFormula>VLOOKUP(Table2[[#This Row],[Tegevusala]],Table4[],2,FALSE)</calculatedColumnFormula>
    </tableColumn>
    <tableColumn id="16" name="Tegevusala alanimetus" dataDxfId="44">
      <calculatedColumnFormula>VLOOKUP(Table2[[#This Row],[Tegevusala]],Table4[[Tegevusala kood]:[Tegevusala alanimetus]],4,FALSE)</calculatedColumnFormula>
    </tableColumn>
    <tableColumn id="12" name="Tegevusala koondnimetus" dataDxfId="43">
      <calculatedColumnFormula>VLOOKUP(Table2[[#This Row],[Tegevusala nimetus2]],Table4[[Tegevusala nimetus]:[Tegevusala koondnimetus]],2,FALSE)</calculatedColumnFormula>
    </tableColumn>
    <tableColumn id="1" name="Eelarve eest vastutav"/>
    <tableColumn id="5" name="Tegevuse kirjeldus"/>
    <tableColumn id="6" name="2020. EA " totalsRowFunction="sum" dataDxfId="42" totalsRowDxfId="41"/>
    <tableColumn id="15" name="Märkused" dataDxfId="40"/>
    <tableColumn id="7" name="Konto"/>
    <tableColumn id="14" name="Konto nimetus" dataDxfId="39">
      <calculatedColumnFormula>VLOOKUP(Table2[[#This Row],[Konto]],Table5[[Konto]:[Konto nimetus]],2,FALSE)</calculatedColumnFormula>
    </tableColumn>
    <tableColumn id="13" name="Tulu/kulu liik2"/>
    <tableColumn id="8" name="Konto grupp">
      <calculatedColumnFormula>LEFT(J2,2)</calculatedColumnFormula>
    </tableColumn>
    <tableColumn id="10" name="Kontode koondnimetus" dataDxfId="38">
      <calculatedColumnFormula>VLOOKUP(Table2[[#This Row],[Tulu/kulu liik2]],Table5[[Tulu/kulu liik]:[Kontode koondnimetus]],4,FALSE)</calculatedColumnFormula>
    </tableColumn>
    <tableColumn id="9" name="Kontode alanimetus" dataDxfId="37">
      <calculatedColumnFormula>VLOOKUP(Table2[[#This Row],[Tulu/kulu liik2]],Table5[],6,FALSE)</calculatedColumnFormula>
    </tableColumn>
    <tableColumn id="4" name="Tulu/kulu liigi grupp" totalsRowFunction="count" dataDxfId="36">
      <calculatedColumnFormula>VLOOKUP(Table2[[#This Row],[Tulu/kulu liik2]],Table5[],5,FALSE)</calculatedColumnFormula>
    </tableColumn>
    <tableColumn id="17" name="Lisaeelarve / €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O82" headerRowDxfId="35" headerRowBorderDxfId="34" tableBorderDxfId="33">
  <autoFilter ref="A1:O82"/>
  <tableColumns count="15">
    <tableColumn id="1" name="Valdkond" totalsRowLabel="Total" dataDxfId="32">
      <calculatedColumnFormula>LEFT(Table3[[#This Row],[Tegevusala]],2)</calculatedColumnFormula>
    </tableColumn>
    <tableColumn id="2" name="Tegevusala"/>
    <tableColumn id="3" name="Tegevusala nimetus2" dataDxfId="31">
      <calculatedColumnFormula>VLOOKUP(Table3[[#This Row],[Tegevusala]],Table4[],2,FALSE)</calculatedColumnFormula>
    </tableColumn>
    <tableColumn id="15" name="Tegevusala alanimetus" dataDxfId="30">
      <calculatedColumnFormula>VLOOKUP(Table3[[#This Row],[Tegevusala]],Table4[[Tegevusala kood]:[Tegevusala alanimetus]],4,FALSE)</calculatedColumnFormula>
    </tableColumn>
    <tableColumn id="4" name="Tegevusala koondnimetus" dataDxfId="29">
      <calculatedColumnFormula>VLOOKUP(Table3[[#This Row],[Tegevusala nimetus2]],Table4[[Tegevusala nimetus]:[Tegevusala koondnimetus]],2,FALSE)</calculatedColumnFormula>
    </tableColumn>
    <tableColumn id="5" name="Eelarve eest vastutav"/>
    <tableColumn id="6" name="Tegevuse kirjeldus"/>
    <tableColumn id="7" name="2020. EA " totalsRowFunction="sum" dataDxfId="28" totalsRowDxfId="27"/>
    <tableColumn id="8" name="Märkused"/>
    <tableColumn id="9" name="Konto"/>
    <tableColumn id="10" name="Konto nimetus"/>
    <tableColumn id="11" name="Tulu/kulu liik2"/>
    <tableColumn id="12" name="Konto grupp"/>
    <tableColumn id="13" name="Tulu või kulu liigi nimetus"/>
    <tableColumn id="14" name="Tulu/kulu liigi grupp" totalsRowFunction="cou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1:P416" headerRowDxfId="26" headerRowBorderDxfId="25" tableBorderDxfId="24">
  <autoFilter ref="A1:P416">
    <filterColumn colId="0">
      <filters>
        <filter val="09"/>
      </filters>
    </filterColumn>
  </autoFilter>
  <sortState ref="A9:P15">
    <sortCondition descending="1" ref="C1:C412"/>
  </sortState>
  <tableColumns count="16">
    <tableColumn id="1" name="Valdkond" totalsRowLabel="Total">
      <calculatedColumnFormula>LEFT(B2,2)</calculatedColumnFormula>
    </tableColumn>
    <tableColumn id="2" name="Tegevusala" dataDxfId="23" totalsRowDxfId="22"/>
    <tableColumn id="3" name="Tegevusala nimetus2">
      <calculatedColumnFormula>VLOOKUP(B2,Table4[],2,FALSE)</calculatedColumnFormula>
    </tableColumn>
    <tableColumn id="15" name="Tegevusala alanimetus" dataDxfId="21">
      <calculatedColumnFormula>VLOOKUP(Table1[[#This Row],[Tegevusala]],Table4[[Tegevusala kood]:[Tegevusala alanimetus]],4,FALSE)</calculatedColumnFormula>
    </tableColumn>
    <tableColumn id="4" name="Tegevusala koondnimetus">
      <calculatedColumnFormula>VLOOKUP(C2,Table4[[Tegevusala nimetus]:[Tegevusala koondnimetus]],2,FALSE)</calculatedColumnFormula>
    </tableColumn>
    <tableColumn id="5" name="Eelarve eest vastutav"/>
    <tableColumn id="6" name="Ametikoha, koosseisukoha nimetus"/>
    <tableColumn id="7" name="Koosseisu- kohtade arv aastas/ tunnid aastas" totalsRowFunction="sum"/>
    <tableColumn id="23" name="ühik"/>
    <tableColumn id="8" name="Palgamäär"/>
    <tableColumn id="9" name="Töötasu/kuus">
      <calculatedColumnFormula>H2*J2</calculatedColumnFormula>
    </tableColumn>
    <tableColumn id="13" name="Ühik2"/>
    <tableColumn id="10" name="Lisatasu/ aastas/kuus"/>
    <tableColumn id="11" name="2020. EA " totalsRowFunction="sum" dataDxfId="20" totalsRowDxfId="19">
      <calculatedColumnFormula>(K2*Table1[[#This Row],[Ühik2]])+M2</calculatedColumnFormula>
    </tableColumn>
    <tableColumn id="14" name="Maksud" totalsRowFunction="sum" dataDxfId="18" totalsRowDxfId="17">
      <calculatedColumnFormula>Table1[[#This Row],[2020. EA ]]*0.338</calculatedColumnFormula>
    </tableColumn>
    <tableColumn id="12" name="Märkused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:U46" headerRowDxfId="16" headerRowBorderDxfId="15" tableBorderDxfId="14">
  <autoFilter ref="A1:U46"/>
  <tableColumns count="21">
    <tableColumn id="1" name="Valdkond" totalsRowLabel="Total" dataDxfId="13">
      <calculatedColumnFormula>LEFT(B2,2)</calculatedColumnFormula>
    </tableColumn>
    <tableColumn id="2" name="Tegevusala" dataDxfId="12"/>
    <tableColumn id="3" name="Tegevusala nimetus2" dataDxfId="11">
      <calculatedColumnFormula>VLOOKUP(B2,Table4[],2,FALSE)</calculatedColumnFormula>
    </tableColumn>
    <tableColumn id="20" name="Tegevusala alanimetus" dataDxfId="10">
      <calculatedColumnFormula>VLOOKUP(Table6[[#This Row],[Tegevusala]],Table4[[Tegevusala kood]:[Tegevusala alanimetus]],4,FALSE)</calculatedColumnFormula>
    </tableColumn>
    <tableColumn id="4" name="Tegevusala koondnimetus" dataDxfId="9">
      <calculatedColumnFormula>VLOOKUP(Table6[[#This Row],[Tegevusala]],Table4[[Tegevusala kood]:[Tegevusala alanimetus]],3,FALSE)</calculatedColumnFormula>
    </tableColumn>
    <tableColumn id="5" name="Eelarve eest vastutav"/>
    <tableColumn id="6" name="Tegevuse kirjeldus"/>
    <tableColumn id="17" name="ühik"/>
    <tableColumn id="18" name="ühik2"/>
    <tableColumn id="16" name="ühik3"/>
    <tableColumn id="15" name="ühik4"/>
    <tableColumn id="19" name="hind"/>
    <tableColumn id="7" name="2020. EA " totalsRowFunction="sum" dataDxfId="8" totalsRowDxfId="7">
      <calculatedColumnFormula>Table6[[#This Row],[ühik]]*Table6[[#This Row],[ühik3]]*Table6[[#This Row],[hind]]</calculatedColumnFormula>
    </tableColumn>
    <tableColumn id="8" name="Märkused"/>
    <tableColumn id="9" name="Konto" dataDxfId="6"/>
    <tableColumn id="10" name="Konto nimetus" dataDxfId="5">
      <calculatedColumnFormula>VLOOKUP(Table6[[#This Row],[Konto]],Table5[[Konto]:[Konto nimetus]],2,FALSE)</calculatedColumnFormula>
    </tableColumn>
    <tableColumn id="11" name="Tulu/kulu liik2" dataDxfId="4"/>
    <tableColumn id="12" name="Konto grupp" dataDxfId="3">
      <calculatedColumnFormula>LEFT(O2,2)</calculatedColumnFormula>
    </tableColumn>
    <tableColumn id="13" name="Kontode koondnimetus" dataDxfId="2">
      <calculatedColumnFormula>VLOOKUP(Table6[[#This Row],[Tulu/kulu liik2]],Table5[[Tulu/kulu liik]:[Kontode koondnimetus]],4,FALSE)</calculatedColumnFormula>
    </tableColumn>
    <tableColumn id="21" name="Kontode alanimetus" dataDxfId="1">
      <calculatedColumnFormula>VLOOKUP(Table6[[#This Row],[Tulu/kulu liik2]],Table5[],6,FALSE)</calculatedColumnFormula>
    </tableColumn>
    <tableColumn id="14" name="Tulu/kulu liigi grupp" totalsRowFunction="count" dataDxfId="0">
      <calculatedColumnFormula>VLOOKUP(Table6[[#This Row],[Tulu/kulu liik2]],Table5[],5,FALSE)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F82" totalsRowShown="0">
  <autoFilter ref="A1:F82"/>
  <tableColumns count="6">
    <tableColumn id="1" name="Tulu/kulu liik"/>
    <tableColumn id="6" name="Konto"/>
    <tableColumn id="5" name="Konto nimetus"/>
    <tableColumn id="2" name="Kontode koondnimetus"/>
    <tableColumn id="4" name="Tulu/kulu liigi grupp"/>
    <tableColumn id="3" name="Kontode alanimetu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4" name="Table4" displayName="Table4" ref="A1:E126" totalsRowShown="0">
  <autoFilter ref="A1:E126"/>
  <sortState ref="A2:D130">
    <sortCondition ref="A1:A130"/>
  </sortState>
  <tableColumns count="5">
    <tableColumn id="1" name="Tegevusala kood"/>
    <tableColumn id="2" name="Tegevusala nimetus"/>
    <tableColumn id="3" name="Tegevusala koondnimetus"/>
    <tableColumn id="4" name="Tegevusala alanimetus"/>
    <tableColumn id="5" name="Märkus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4"/>
  <sheetViews>
    <sheetView tabSelected="1" topLeftCell="A46" zoomScaleNormal="100" workbookViewId="0">
      <selection activeCell="E63" sqref="E63:E68"/>
    </sheetView>
  </sheetViews>
  <sheetFormatPr defaultRowHeight="11.25" x14ac:dyDescent="0.2"/>
  <cols>
    <col min="1" max="1" width="21.7109375" style="16" customWidth="1"/>
    <col min="2" max="2" width="18.140625" style="16" customWidth="1"/>
    <col min="3" max="3" width="48.7109375" style="16" bestFit="1" customWidth="1"/>
    <col min="4" max="4" width="13.42578125" style="16" customWidth="1"/>
    <col min="5" max="5" width="13.7109375" style="16" customWidth="1"/>
    <col min="6" max="6" width="13.42578125" style="16" customWidth="1"/>
    <col min="7" max="7" width="8.5703125" style="64" bestFit="1" customWidth="1"/>
    <col min="8" max="8" width="5.7109375" style="16" customWidth="1"/>
    <col min="9" max="9" width="10.85546875" style="16" bestFit="1" customWidth="1"/>
    <col min="10" max="10" width="17.28515625" style="16" bestFit="1" customWidth="1"/>
    <col min="11" max="224" width="9.140625" style="16"/>
    <col min="225" max="226" width="15.5703125" style="16" customWidth="1"/>
    <col min="227" max="227" width="59.42578125" style="16" customWidth="1"/>
    <col min="228" max="229" width="15.5703125" style="16" customWidth="1"/>
    <col min="230" max="230" width="9.5703125" style="16" bestFit="1" customWidth="1"/>
    <col min="231" max="231" width="15.42578125" style="16" customWidth="1"/>
    <col min="232" max="232" width="16.42578125" style="16" customWidth="1"/>
    <col min="233" max="233" width="9.140625" style="16"/>
    <col min="234" max="234" width="11.7109375" style="16" bestFit="1" customWidth="1"/>
    <col min="235" max="235" width="12.28515625" style="16" bestFit="1" customWidth="1"/>
    <col min="236" max="480" width="9.140625" style="16"/>
    <col min="481" max="482" width="15.5703125" style="16" customWidth="1"/>
    <col min="483" max="483" width="59.42578125" style="16" customWidth="1"/>
    <col min="484" max="485" width="15.5703125" style="16" customWidth="1"/>
    <col min="486" max="486" width="9.5703125" style="16" bestFit="1" customWidth="1"/>
    <col min="487" max="487" width="15.42578125" style="16" customWidth="1"/>
    <col min="488" max="488" width="16.42578125" style="16" customWidth="1"/>
    <col min="489" max="489" width="9.140625" style="16"/>
    <col min="490" max="490" width="11.7109375" style="16" bestFit="1" customWidth="1"/>
    <col min="491" max="491" width="12.28515625" style="16" bestFit="1" customWidth="1"/>
    <col min="492" max="736" width="9.140625" style="16"/>
    <col min="737" max="738" width="15.5703125" style="16" customWidth="1"/>
    <col min="739" max="739" width="59.42578125" style="16" customWidth="1"/>
    <col min="740" max="741" width="15.5703125" style="16" customWidth="1"/>
    <col min="742" max="742" width="9.5703125" style="16" bestFit="1" customWidth="1"/>
    <col min="743" max="743" width="15.42578125" style="16" customWidth="1"/>
    <col min="744" max="744" width="16.42578125" style="16" customWidth="1"/>
    <col min="745" max="745" width="9.140625" style="16"/>
    <col min="746" max="746" width="11.7109375" style="16" bestFit="1" customWidth="1"/>
    <col min="747" max="747" width="12.28515625" style="16" bestFit="1" customWidth="1"/>
    <col min="748" max="992" width="9.140625" style="16"/>
    <col min="993" max="994" width="15.5703125" style="16" customWidth="1"/>
    <col min="995" max="995" width="59.42578125" style="16" customWidth="1"/>
    <col min="996" max="997" width="15.5703125" style="16" customWidth="1"/>
    <col min="998" max="998" width="9.5703125" style="16" bestFit="1" customWidth="1"/>
    <col min="999" max="999" width="15.42578125" style="16" customWidth="1"/>
    <col min="1000" max="1000" width="16.42578125" style="16" customWidth="1"/>
    <col min="1001" max="1001" width="9.140625" style="16"/>
    <col min="1002" max="1002" width="11.7109375" style="16" bestFit="1" customWidth="1"/>
    <col min="1003" max="1003" width="12.28515625" style="16" bestFit="1" customWidth="1"/>
    <col min="1004" max="1248" width="9.140625" style="16"/>
    <col min="1249" max="1250" width="15.5703125" style="16" customWidth="1"/>
    <col min="1251" max="1251" width="59.42578125" style="16" customWidth="1"/>
    <col min="1252" max="1253" width="15.5703125" style="16" customWidth="1"/>
    <col min="1254" max="1254" width="9.5703125" style="16" bestFit="1" customWidth="1"/>
    <col min="1255" max="1255" width="15.42578125" style="16" customWidth="1"/>
    <col min="1256" max="1256" width="16.42578125" style="16" customWidth="1"/>
    <col min="1257" max="1257" width="9.140625" style="16"/>
    <col min="1258" max="1258" width="11.7109375" style="16" bestFit="1" customWidth="1"/>
    <col min="1259" max="1259" width="12.28515625" style="16" bestFit="1" customWidth="1"/>
    <col min="1260" max="1504" width="9.140625" style="16"/>
    <col min="1505" max="1506" width="15.5703125" style="16" customWidth="1"/>
    <col min="1507" max="1507" width="59.42578125" style="16" customWidth="1"/>
    <col min="1508" max="1509" width="15.5703125" style="16" customWidth="1"/>
    <col min="1510" max="1510" width="9.5703125" style="16" bestFit="1" customWidth="1"/>
    <col min="1511" max="1511" width="15.42578125" style="16" customWidth="1"/>
    <col min="1512" max="1512" width="16.42578125" style="16" customWidth="1"/>
    <col min="1513" max="1513" width="9.140625" style="16"/>
    <col min="1514" max="1514" width="11.7109375" style="16" bestFit="1" customWidth="1"/>
    <col min="1515" max="1515" width="12.28515625" style="16" bestFit="1" customWidth="1"/>
    <col min="1516" max="1760" width="9.140625" style="16"/>
    <col min="1761" max="1762" width="15.5703125" style="16" customWidth="1"/>
    <col min="1763" max="1763" width="59.42578125" style="16" customWidth="1"/>
    <col min="1764" max="1765" width="15.5703125" style="16" customWidth="1"/>
    <col min="1766" max="1766" width="9.5703125" style="16" bestFit="1" customWidth="1"/>
    <col min="1767" max="1767" width="15.42578125" style="16" customWidth="1"/>
    <col min="1768" max="1768" width="16.42578125" style="16" customWidth="1"/>
    <col min="1769" max="1769" width="9.140625" style="16"/>
    <col min="1770" max="1770" width="11.7109375" style="16" bestFit="1" customWidth="1"/>
    <col min="1771" max="1771" width="12.28515625" style="16" bestFit="1" customWidth="1"/>
    <col min="1772" max="2016" width="9.140625" style="16"/>
    <col min="2017" max="2018" width="15.5703125" style="16" customWidth="1"/>
    <col min="2019" max="2019" width="59.42578125" style="16" customWidth="1"/>
    <col min="2020" max="2021" width="15.5703125" style="16" customWidth="1"/>
    <col min="2022" max="2022" width="9.5703125" style="16" bestFit="1" customWidth="1"/>
    <col min="2023" max="2023" width="15.42578125" style="16" customWidth="1"/>
    <col min="2024" max="2024" width="16.42578125" style="16" customWidth="1"/>
    <col min="2025" max="2025" width="9.140625" style="16"/>
    <col min="2026" max="2026" width="11.7109375" style="16" bestFit="1" customWidth="1"/>
    <col min="2027" max="2027" width="12.28515625" style="16" bestFit="1" customWidth="1"/>
    <col min="2028" max="2272" width="9.140625" style="16"/>
    <col min="2273" max="2274" width="15.5703125" style="16" customWidth="1"/>
    <col min="2275" max="2275" width="59.42578125" style="16" customWidth="1"/>
    <col min="2276" max="2277" width="15.5703125" style="16" customWidth="1"/>
    <col min="2278" max="2278" width="9.5703125" style="16" bestFit="1" customWidth="1"/>
    <col min="2279" max="2279" width="15.42578125" style="16" customWidth="1"/>
    <col min="2280" max="2280" width="16.42578125" style="16" customWidth="1"/>
    <col min="2281" max="2281" width="9.140625" style="16"/>
    <col min="2282" max="2282" width="11.7109375" style="16" bestFit="1" customWidth="1"/>
    <col min="2283" max="2283" width="12.28515625" style="16" bestFit="1" customWidth="1"/>
    <col min="2284" max="2528" width="9.140625" style="16"/>
    <col min="2529" max="2530" width="15.5703125" style="16" customWidth="1"/>
    <col min="2531" max="2531" width="59.42578125" style="16" customWidth="1"/>
    <col min="2532" max="2533" width="15.5703125" style="16" customWidth="1"/>
    <col min="2534" max="2534" width="9.5703125" style="16" bestFit="1" customWidth="1"/>
    <col min="2535" max="2535" width="15.42578125" style="16" customWidth="1"/>
    <col min="2536" max="2536" width="16.42578125" style="16" customWidth="1"/>
    <col min="2537" max="2537" width="9.140625" style="16"/>
    <col min="2538" max="2538" width="11.7109375" style="16" bestFit="1" customWidth="1"/>
    <col min="2539" max="2539" width="12.28515625" style="16" bestFit="1" customWidth="1"/>
    <col min="2540" max="2784" width="9.140625" style="16"/>
    <col min="2785" max="2786" width="15.5703125" style="16" customWidth="1"/>
    <col min="2787" max="2787" width="59.42578125" style="16" customWidth="1"/>
    <col min="2788" max="2789" width="15.5703125" style="16" customWidth="1"/>
    <col min="2790" max="2790" width="9.5703125" style="16" bestFit="1" customWidth="1"/>
    <col min="2791" max="2791" width="15.42578125" style="16" customWidth="1"/>
    <col min="2792" max="2792" width="16.42578125" style="16" customWidth="1"/>
    <col min="2793" max="2793" width="9.140625" style="16"/>
    <col min="2794" max="2794" width="11.7109375" style="16" bestFit="1" customWidth="1"/>
    <col min="2795" max="2795" width="12.28515625" style="16" bestFit="1" customWidth="1"/>
    <col min="2796" max="3040" width="9.140625" style="16"/>
    <col min="3041" max="3042" width="15.5703125" style="16" customWidth="1"/>
    <col min="3043" max="3043" width="59.42578125" style="16" customWidth="1"/>
    <col min="3044" max="3045" width="15.5703125" style="16" customWidth="1"/>
    <col min="3046" max="3046" width="9.5703125" style="16" bestFit="1" customWidth="1"/>
    <col min="3047" max="3047" width="15.42578125" style="16" customWidth="1"/>
    <col min="3048" max="3048" width="16.42578125" style="16" customWidth="1"/>
    <col min="3049" max="3049" width="9.140625" style="16"/>
    <col min="3050" max="3050" width="11.7109375" style="16" bestFit="1" customWidth="1"/>
    <col min="3051" max="3051" width="12.28515625" style="16" bestFit="1" customWidth="1"/>
    <col min="3052" max="3296" width="9.140625" style="16"/>
    <col min="3297" max="3298" width="15.5703125" style="16" customWidth="1"/>
    <col min="3299" max="3299" width="59.42578125" style="16" customWidth="1"/>
    <col min="3300" max="3301" width="15.5703125" style="16" customWidth="1"/>
    <col min="3302" max="3302" width="9.5703125" style="16" bestFit="1" customWidth="1"/>
    <col min="3303" max="3303" width="15.42578125" style="16" customWidth="1"/>
    <col min="3304" max="3304" width="16.42578125" style="16" customWidth="1"/>
    <col min="3305" max="3305" width="9.140625" style="16"/>
    <col min="3306" max="3306" width="11.7109375" style="16" bestFit="1" customWidth="1"/>
    <col min="3307" max="3307" width="12.28515625" style="16" bestFit="1" customWidth="1"/>
    <col min="3308" max="3552" width="9.140625" style="16"/>
    <col min="3553" max="3554" width="15.5703125" style="16" customWidth="1"/>
    <col min="3555" max="3555" width="59.42578125" style="16" customWidth="1"/>
    <col min="3556" max="3557" width="15.5703125" style="16" customWidth="1"/>
    <col min="3558" max="3558" width="9.5703125" style="16" bestFit="1" customWidth="1"/>
    <col min="3559" max="3559" width="15.42578125" style="16" customWidth="1"/>
    <col min="3560" max="3560" width="16.42578125" style="16" customWidth="1"/>
    <col min="3561" max="3561" width="9.140625" style="16"/>
    <col min="3562" max="3562" width="11.7109375" style="16" bestFit="1" customWidth="1"/>
    <col min="3563" max="3563" width="12.28515625" style="16" bestFit="1" customWidth="1"/>
    <col min="3564" max="3808" width="9.140625" style="16"/>
    <col min="3809" max="3810" width="15.5703125" style="16" customWidth="1"/>
    <col min="3811" max="3811" width="59.42578125" style="16" customWidth="1"/>
    <col min="3812" max="3813" width="15.5703125" style="16" customWidth="1"/>
    <col min="3814" max="3814" width="9.5703125" style="16" bestFit="1" customWidth="1"/>
    <col min="3815" max="3815" width="15.42578125" style="16" customWidth="1"/>
    <col min="3816" max="3816" width="16.42578125" style="16" customWidth="1"/>
    <col min="3817" max="3817" width="9.140625" style="16"/>
    <col min="3818" max="3818" width="11.7109375" style="16" bestFit="1" customWidth="1"/>
    <col min="3819" max="3819" width="12.28515625" style="16" bestFit="1" customWidth="1"/>
    <col min="3820" max="4064" width="9.140625" style="16"/>
    <col min="4065" max="4066" width="15.5703125" style="16" customWidth="1"/>
    <col min="4067" max="4067" width="59.42578125" style="16" customWidth="1"/>
    <col min="4068" max="4069" width="15.5703125" style="16" customWidth="1"/>
    <col min="4070" max="4070" width="9.5703125" style="16" bestFit="1" customWidth="1"/>
    <col min="4071" max="4071" width="15.42578125" style="16" customWidth="1"/>
    <col min="4072" max="4072" width="16.42578125" style="16" customWidth="1"/>
    <col min="4073" max="4073" width="9.140625" style="16"/>
    <col min="4074" max="4074" width="11.7109375" style="16" bestFit="1" customWidth="1"/>
    <col min="4075" max="4075" width="12.28515625" style="16" bestFit="1" customWidth="1"/>
    <col min="4076" max="4320" width="9.140625" style="16"/>
    <col min="4321" max="4322" width="15.5703125" style="16" customWidth="1"/>
    <col min="4323" max="4323" width="59.42578125" style="16" customWidth="1"/>
    <col min="4324" max="4325" width="15.5703125" style="16" customWidth="1"/>
    <col min="4326" max="4326" width="9.5703125" style="16" bestFit="1" customWidth="1"/>
    <col min="4327" max="4327" width="15.42578125" style="16" customWidth="1"/>
    <col min="4328" max="4328" width="16.42578125" style="16" customWidth="1"/>
    <col min="4329" max="4329" width="9.140625" style="16"/>
    <col min="4330" max="4330" width="11.7109375" style="16" bestFit="1" customWidth="1"/>
    <col min="4331" max="4331" width="12.28515625" style="16" bestFit="1" customWidth="1"/>
    <col min="4332" max="4576" width="9.140625" style="16"/>
    <col min="4577" max="4578" width="15.5703125" style="16" customWidth="1"/>
    <col min="4579" max="4579" width="59.42578125" style="16" customWidth="1"/>
    <col min="4580" max="4581" width="15.5703125" style="16" customWidth="1"/>
    <col min="4582" max="4582" width="9.5703125" style="16" bestFit="1" customWidth="1"/>
    <col min="4583" max="4583" width="15.42578125" style="16" customWidth="1"/>
    <col min="4584" max="4584" width="16.42578125" style="16" customWidth="1"/>
    <col min="4585" max="4585" width="9.140625" style="16"/>
    <col min="4586" max="4586" width="11.7109375" style="16" bestFit="1" customWidth="1"/>
    <col min="4587" max="4587" width="12.28515625" style="16" bestFit="1" customWidth="1"/>
    <col min="4588" max="4832" width="9.140625" style="16"/>
    <col min="4833" max="4834" width="15.5703125" style="16" customWidth="1"/>
    <col min="4835" max="4835" width="59.42578125" style="16" customWidth="1"/>
    <col min="4836" max="4837" width="15.5703125" style="16" customWidth="1"/>
    <col min="4838" max="4838" width="9.5703125" style="16" bestFit="1" customWidth="1"/>
    <col min="4839" max="4839" width="15.42578125" style="16" customWidth="1"/>
    <col min="4840" max="4840" width="16.42578125" style="16" customWidth="1"/>
    <col min="4841" max="4841" width="9.140625" style="16"/>
    <col min="4842" max="4842" width="11.7109375" style="16" bestFit="1" customWidth="1"/>
    <col min="4843" max="4843" width="12.28515625" style="16" bestFit="1" customWidth="1"/>
    <col min="4844" max="5088" width="9.140625" style="16"/>
    <col min="5089" max="5090" width="15.5703125" style="16" customWidth="1"/>
    <col min="5091" max="5091" width="59.42578125" style="16" customWidth="1"/>
    <col min="5092" max="5093" width="15.5703125" style="16" customWidth="1"/>
    <col min="5094" max="5094" width="9.5703125" style="16" bestFit="1" customWidth="1"/>
    <col min="5095" max="5095" width="15.42578125" style="16" customWidth="1"/>
    <col min="5096" max="5096" width="16.42578125" style="16" customWidth="1"/>
    <col min="5097" max="5097" width="9.140625" style="16"/>
    <col min="5098" max="5098" width="11.7109375" style="16" bestFit="1" customWidth="1"/>
    <col min="5099" max="5099" width="12.28515625" style="16" bestFit="1" customWidth="1"/>
    <col min="5100" max="5344" width="9.140625" style="16"/>
    <col min="5345" max="5346" width="15.5703125" style="16" customWidth="1"/>
    <col min="5347" max="5347" width="59.42578125" style="16" customWidth="1"/>
    <col min="5348" max="5349" width="15.5703125" style="16" customWidth="1"/>
    <col min="5350" max="5350" width="9.5703125" style="16" bestFit="1" customWidth="1"/>
    <col min="5351" max="5351" width="15.42578125" style="16" customWidth="1"/>
    <col min="5352" max="5352" width="16.42578125" style="16" customWidth="1"/>
    <col min="5353" max="5353" width="9.140625" style="16"/>
    <col min="5354" max="5354" width="11.7109375" style="16" bestFit="1" customWidth="1"/>
    <col min="5355" max="5355" width="12.28515625" style="16" bestFit="1" customWidth="1"/>
    <col min="5356" max="5600" width="9.140625" style="16"/>
    <col min="5601" max="5602" width="15.5703125" style="16" customWidth="1"/>
    <col min="5603" max="5603" width="59.42578125" style="16" customWidth="1"/>
    <col min="5604" max="5605" width="15.5703125" style="16" customWidth="1"/>
    <col min="5606" max="5606" width="9.5703125" style="16" bestFit="1" customWidth="1"/>
    <col min="5607" max="5607" width="15.42578125" style="16" customWidth="1"/>
    <col min="5608" max="5608" width="16.42578125" style="16" customWidth="1"/>
    <col min="5609" max="5609" width="9.140625" style="16"/>
    <col min="5610" max="5610" width="11.7109375" style="16" bestFit="1" customWidth="1"/>
    <col min="5611" max="5611" width="12.28515625" style="16" bestFit="1" customWidth="1"/>
    <col min="5612" max="5856" width="9.140625" style="16"/>
    <col min="5857" max="5858" width="15.5703125" style="16" customWidth="1"/>
    <col min="5859" max="5859" width="59.42578125" style="16" customWidth="1"/>
    <col min="5860" max="5861" width="15.5703125" style="16" customWidth="1"/>
    <col min="5862" max="5862" width="9.5703125" style="16" bestFit="1" customWidth="1"/>
    <col min="5863" max="5863" width="15.42578125" style="16" customWidth="1"/>
    <col min="5864" max="5864" width="16.42578125" style="16" customWidth="1"/>
    <col min="5865" max="5865" width="9.140625" style="16"/>
    <col min="5866" max="5866" width="11.7109375" style="16" bestFit="1" customWidth="1"/>
    <col min="5867" max="5867" width="12.28515625" style="16" bestFit="1" customWidth="1"/>
    <col min="5868" max="6112" width="9.140625" style="16"/>
    <col min="6113" max="6114" width="15.5703125" style="16" customWidth="1"/>
    <col min="6115" max="6115" width="59.42578125" style="16" customWidth="1"/>
    <col min="6116" max="6117" width="15.5703125" style="16" customWidth="1"/>
    <col min="6118" max="6118" width="9.5703125" style="16" bestFit="1" customWidth="1"/>
    <col min="6119" max="6119" width="15.42578125" style="16" customWidth="1"/>
    <col min="6120" max="6120" width="16.42578125" style="16" customWidth="1"/>
    <col min="6121" max="6121" width="9.140625" style="16"/>
    <col min="6122" max="6122" width="11.7109375" style="16" bestFit="1" customWidth="1"/>
    <col min="6123" max="6123" width="12.28515625" style="16" bestFit="1" customWidth="1"/>
    <col min="6124" max="6368" width="9.140625" style="16"/>
    <col min="6369" max="6370" width="15.5703125" style="16" customWidth="1"/>
    <col min="6371" max="6371" width="59.42578125" style="16" customWidth="1"/>
    <col min="6372" max="6373" width="15.5703125" style="16" customWidth="1"/>
    <col min="6374" max="6374" width="9.5703125" style="16" bestFit="1" customWidth="1"/>
    <col min="6375" max="6375" width="15.42578125" style="16" customWidth="1"/>
    <col min="6376" max="6376" width="16.42578125" style="16" customWidth="1"/>
    <col min="6377" max="6377" width="9.140625" style="16"/>
    <col min="6378" max="6378" width="11.7109375" style="16" bestFit="1" customWidth="1"/>
    <col min="6379" max="6379" width="12.28515625" style="16" bestFit="1" customWidth="1"/>
    <col min="6380" max="6624" width="9.140625" style="16"/>
    <col min="6625" max="6626" width="15.5703125" style="16" customWidth="1"/>
    <col min="6627" max="6627" width="59.42578125" style="16" customWidth="1"/>
    <col min="6628" max="6629" width="15.5703125" style="16" customWidth="1"/>
    <col min="6630" max="6630" width="9.5703125" style="16" bestFit="1" customWidth="1"/>
    <col min="6631" max="6631" width="15.42578125" style="16" customWidth="1"/>
    <col min="6632" max="6632" width="16.42578125" style="16" customWidth="1"/>
    <col min="6633" max="6633" width="9.140625" style="16"/>
    <col min="6634" max="6634" width="11.7109375" style="16" bestFit="1" customWidth="1"/>
    <col min="6635" max="6635" width="12.28515625" style="16" bestFit="1" customWidth="1"/>
    <col min="6636" max="6880" width="9.140625" style="16"/>
    <col min="6881" max="6882" width="15.5703125" style="16" customWidth="1"/>
    <col min="6883" max="6883" width="59.42578125" style="16" customWidth="1"/>
    <col min="6884" max="6885" width="15.5703125" style="16" customWidth="1"/>
    <col min="6886" max="6886" width="9.5703125" style="16" bestFit="1" customWidth="1"/>
    <col min="6887" max="6887" width="15.42578125" style="16" customWidth="1"/>
    <col min="6888" max="6888" width="16.42578125" style="16" customWidth="1"/>
    <col min="6889" max="6889" width="9.140625" style="16"/>
    <col min="6890" max="6890" width="11.7109375" style="16" bestFit="1" customWidth="1"/>
    <col min="6891" max="6891" width="12.28515625" style="16" bestFit="1" customWidth="1"/>
    <col min="6892" max="7136" width="9.140625" style="16"/>
    <col min="7137" max="7138" width="15.5703125" style="16" customWidth="1"/>
    <col min="7139" max="7139" width="59.42578125" style="16" customWidth="1"/>
    <col min="7140" max="7141" width="15.5703125" style="16" customWidth="1"/>
    <col min="7142" max="7142" width="9.5703125" style="16" bestFit="1" customWidth="1"/>
    <col min="7143" max="7143" width="15.42578125" style="16" customWidth="1"/>
    <col min="7144" max="7144" width="16.42578125" style="16" customWidth="1"/>
    <col min="7145" max="7145" width="9.140625" style="16"/>
    <col min="7146" max="7146" width="11.7109375" style="16" bestFit="1" customWidth="1"/>
    <col min="7147" max="7147" width="12.28515625" style="16" bestFit="1" customWidth="1"/>
    <col min="7148" max="7392" width="9.140625" style="16"/>
    <col min="7393" max="7394" width="15.5703125" style="16" customWidth="1"/>
    <col min="7395" max="7395" width="59.42578125" style="16" customWidth="1"/>
    <col min="7396" max="7397" width="15.5703125" style="16" customWidth="1"/>
    <col min="7398" max="7398" width="9.5703125" style="16" bestFit="1" customWidth="1"/>
    <col min="7399" max="7399" width="15.42578125" style="16" customWidth="1"/>
    <col min="7400" max="7400" width="16.42578125" style="16" customWidth="1"/>
    <col min="7401" max="7401" width="9.140625" style="16"/>
    <col min="7402" max="7402" width="11.7109375" style="16" bestFit="1" customWidth="1"/>
    <col min="7403" max="7403" width="12.28515625" style="16" bestFit="1" customWidth="1"/>
    <col min="7404" max="7648" width="9.140625" style="16"/>
    <col min="7649" max="7650" width="15.5703125" style="16" customWidth="1"/>
    <col min="7651" max="7651" width="59.42578125" style="16" customWidth="1"/>
    <col min="7652" max="7653" width="15.5703125" style="16" customWidth="1"/>
    <col min="7654" max="7654" width="9.5703125" style="16" bestFit="1" customWidth="1"/>
    <col min="7655" max="7655" width="15.42578125" style="16" customWidth="1"/>
    <col min="7656" max="7656" width="16.42578125" style="16" customWidth="1"/>
    <col min="7657" max="7657" width="9.140625" style="16"/>
    <col min="7658" max="7658" width="11.7109375" style="16" bestFit="1" customWidth="1"/>
    <col min="7659" max="7659" width="12.28515625" style="16" bestFit="1" customWidth="1"/>
    <col min="7660" max="7904" width="9.140625" style="16"/>
    <col min="7905" max="7906" width="15.5703125" style="16" customWidth="1"/>
    <col min="7907" max="7907" width="59.42578125" style="16" customWidth="1"/>
    <col min="7908" max="7909" width="15.5703125" style="16" customWidth="1"/>
    <col min="7910" max="7910" width="9.5703125" style="16" bestFit="1" customWidth="1"/>
    <col min="7911" max="7911" width="15.42578125" style="16" customWidth="1"/>
    <col min="7912" max="7912" width="16.42578125" style="16" customWidth="1"/>
    <col min="7913" max="7913" width="9.140625" style="16"/>
    <col min="7914" max="7914" width="11.7109375" style="16" bestFit="1" customWidth="1"/>
    <col min="7915" max="7915" width="12.28515625" style="16" bestFit="1" customWidth="1"/>
    <col min="7916" max="8160" width="9.140625" style="16"/>
    <col min="8161" max="8162" width="15.5703125" style="16" customWidth="1"/>
    <col min="8163" max="8163" width="59.42578125" style="16" customWidth="1"/>
    <col min="8164" max="8165" width="15.5703125" style="16" customWidth="1"/>
    <col min="8166" max="8166" width="9.5703125" style="16" bestFit="1" customWidth="1"/>
    <col min="8167" max="8167" width="15.42578125" style="16" customWidth="1"/>
    <col min="8168" max="8168" width="16.42578125" style="16" customWidth="1"/>
    <col min="8169" max="8169" width="9.140625" style="16"/>
    <col min="8170" max="8170" width="11.7109375" style="16" bestFit="1" customWidth="1"/>
    <col min="8171" max="8171" width="12.28515625" style="16" bestFit="1" customWidth="1"/>
    <col min="8172" max="8416" width="9.140625" style="16"/>
    <col min="8417" max="8418" width="15.5703125" style="16" customWidth="1"/>
    <col min="8419" max="8419" width="59.42578125" style="16" customWidth="1"/>
    <col min="8420" max="8421" width="15.5703125" style="16" customWidth="1"/>
    <col min="8422" max="8422" width="9.5703125" style="16" bestFit="1" customWidth="1"/>
    <col min="8423" max="8423" width="15.42578125" style="16" customWidth="1"/>
    <col min="8424" max="8424" width="16.42578125" style="16" customWidth="1"/>
    <col min="8425" max="8425" width="9.140625" style="16"/>
    <col min="8426" max="8426" width="11.7109375" style="16" bestFit="1" customWidth="1"/>
    <col min="8427" max="8427" width="12.28515625" style="16" bestFit="1" customWidth="1"/>
    <col min="8428" max="8672" width="9.140625" style="16"/>
    <col min="8673" max="8674" width="15.5703125" style="16" customWidth="1"/>
    <col min="8675" max="8675" width="59.42578125" style="16" customWidth="1"/>
    <col min="8676" max="8677" width="15.5703125" style="16" customWidth="1"/>
    <col min="8678" max="8678" width="9.5703125" style="16" bestFit="1" customWidth="1"/>
    <col min="8679" max="8679" width="15.42578125" style="16" customWidth="1"/>
    <col min="8680" max="8680" width="16.42578125" style="16" customWidth="1"/>
    <col min="8681" max="8681" width="9.140625" style="16"/>
    <col min="8682" max="8682" width="11.7109375" style="16" bestFit="1" customWidth="1"/>
    <col min="8683" max="8683" width="12.28515625" style="16" bestFit="1" customWidth="1"/>
    <col min="8684" max="8928" width="9.140625" style="16"/>
    <col min="8929" max="8930" width="15.5703125" style="16" customWidth="1"/>
    <col min="8931" max="8931" width="59.42578125" style="16" customWidth="1"/>
    <col min="8932" max="8933" width="15.5703125" style="16" customWidth="1"/>
    <col min="8934" max="8934" width="9.5703125" style="16" bestFit="1" customWidth="1"/>
    <col min="8935" max="8935" width="15.42578125" style="16" customWidth="1"/>
    <col min="8936" max="8936" width="16.42578125" style="16" customWidth="1"/>
    <col min="8937" max="8937" width="9.140625" style="16"/>
    <col min="8938" max="8938" width="11.7109375" style="16" bestFit="1" customWidth="1"/>
    <col min="8939" max="8939" width="12.28515625" style="16" bestFit="1" customWidth="1"/>
    <col min="8940" max="9184" width="9.140625" style="16"/>
    <col min="9185" max="9186" width="15.5703125" style="16" customWidth="1"/>
    <col min="9187" max="9187" width="59.42578125" style="16" customWidth="1"/>
    <col min="9188" max="9189" width="15.5703125" style="16" customWidth="1"/>
    <col min="9190" max="9190" width="9.5703125" style="16" bestFit="1" customWidth="1"/>
    <col min="9191" max="9191" width="15.42578125" style="16" customWidth="1"/>
    <col min="9192" max="9192" width="16.42578125" style="16" customWidth="1"/>
    <col min="9193" max="9193" width="9.140625" style="16"/>
    <col min="9194" max="9194" width="11.7109375" style="16" bestFit="1" customWidth="1"/>
    <col min="9195" max="9195" width="12.28515625" style="16" bestFit="1" customWidth="1"/>
    <col min="9196" max="9440" width="9.140625" style="16"/>
    <col min="9441" max="9442" width="15.5703125" style="16" customWidth="1"/>
    <col min="9443" max="9443" width="59.42578125" style="16" customWidth="1"/>
    <col min="9444" max="9445" width="15.5703125" style="16" customWidth="1"/>
    <col min="9446" max="9446" width="9.5703125" style="16" bestFit="1" customWidth="1"/>
    <col min="9447" max="9447" width="15.42578125" style="16" customWidth="1"/>
    <col min="9448" max="9448" width="16.42578125" style="16" customWidth="1"/>
    <col min="9449" max="9449" width="9.140625" style="16"/>
    <col min="9450" max="9450" width="11.7109375" style="16" bestFit="1" customWidth="1"/>
    <col min="9451" max="9451" width="12.28515625" style="16" bestFit="1" customWidth="1"/>
    <col min="9452" max="9696" width="9.140625" style="16"/>
    <col min="9697" max="9698" width="15.5703125" style="16" customWidth="1"/>
    <col min="9699" max="9699" width="59.42578125" style="16" customWidth="1"/>
    <col min="9700" max="9701" width="15.5703125" style="16" customWidth="1"/>
    <col min="9702" max="9702" width="9.5703125" style="16" bestFit="1" customWidth="1"/>
    <col min="9703" max="9703" width="15.42578125" style="16" customWidth="1"/>
    <col min="9704" max="9704" width="16.42578125" style="16" customWidth="1"/>
    <col min="9705" max="9705" width="9.140625" style="16"/>
    <col min="9706" max="9706" width="11.7109375" style="16" bestFit="1" customWidth="1"/>
    <col min="9707" max="9707" width="12.28515625" style="16" bestFit="1" customWidth="1"/>
    <col min="9708" max="9952" width="9.140625" style="16"/>
    <col min="9953" max="9954" width="15.5703125" style="16" customWidth="1"/>
    <col min="9955" max="9955" width="59.42578125" style="16" customWidth="1"/>
    <col min="9956" max="9957" width="15.5703125" style="16" customWidth="1"/>
    <col min="9958" max="9958" width="9.5703125" style="16" bestFit="1" customWidth="1"/>
    <col min="9959" max="9959" width="15.42578125" style="16" customWidth="1"/>
    <col min="9960" max="9960" width="16.42578125" style="16" customWidth="1"/>
    <col min="9961" max="9961" width="9.140625" style="16"/>
    <col min="9962" max="9962" width="11.7109375" style="16" bestFit="1" customWidth="1"/>
    <col min="9963" max="9963" width="12.28515625" style="16" bestFit="1" customWidth="1"/>
    <col min="9964" max="10208" width="9.140625" style="16"/>
    <col min="10209" max="10210" width="15.5703125" style="16" customWidth="1"/>
    <col min="10211" max="10211" width="59.42578125" style="16" customWidth="1"/>
    <col min="10212" max="10213" width="15.5703125" style="16" customWidth="1"/>
    <col min="10214" max="10214" width="9.5703125" style="16" bestFit="1" customWidth="1"/>
    <col min="10215" max="10215" width="15.42578125" style="16" customWidth="1"/>
    <col min="10216" max="10216" width="16.42578125" style="16" customWidth="1"/>
    <col min="10217" max="10217" width="9.140625" style="16"/>
    <col min="10218" max="10218" width="11.7109375" style="16" bestFit="1" customWidth="1"/>
    <col min="10219" max="10219" width="12.28515625" style="16" bestFit="1" customWidth="1"/>
    <col min="10220" max="10464" width="9.140625" style="16"/>
    <col min="10465" max="10466" width="15.5703125" style="16" customWidth="1"/>
    <col min="10467" max="10467" width="59.42578125" style="16" customWidth="1"/>
    <col min="10468" max="10469" width="15.5703125" style="16" customWidth="1"/>
    <col min="10470" max="10470" width="9.5703125" style="16" bestFit="1" customWidth="1"/>
    <col min="10471" max="10471" width="15.42578125" style="16" customWidth="1"/>
    <col min="10472" max="10472" width="16.42578125" style="16" customWidth="1"/>
    <col min="10473" max="10473" width="9.140625" style="16"/>
    <col min="10474" max="10474" width="11.7109375" style="16" bestFit="1" customWidth="1"/>
    <col min="10475" max="10475" width="12.28515625" style="16" bestFit="1" customWidth="1"/>
    <col min="10476" max="10720" width="9.140625" style="16"/>
    <col min="10721" max="10722" width="15.5703125" style="16" customWidth="1"/>
    <col min="10723" max="10723" width="59.42578125" style="16" customWidth="1"/>
    <col min="10724" max="10725" width="15.5703125" style="16" customWidth="1"/>
    <col min="10726" max="10726" width="9.5703125" style="16" bestFit="1" customWidth="1"/>
    <col min="10727" max="10727" width="15.42578125" style="16" customWidth="1"/>
    <col min="10728" max="10728" width="16.42578125" style="16" customWidth="1"/>
    <col min="10729" max="10729" width="9.140625" style="16"/>
    <col min="10730" max="10730" width="11.7109375" style="16" bestFit="1" customWidth="1"/>
    <col min="10731" max="10731" width="12.28515625" style="16" bestFit="1" customWidth="1"/>
    <col min="10732" max="10976" width="9.140625" style="16"/>
    <col min="10977" max="10978" width="15.5703125" style="16" customWidth="1"/>
    <col min="10979" max="10979" width="59.42578125" style="16" customWidth="1"/>
    <col min="10980" max="10981" width="15.5703125" style="16" customWidth="1"/>
    <col min="10982" max="10982" width="9.5703125" style="16" bestFit="1" customWidth="1"/>
    <col min="10983" max="10983" width="15.42578125" style="16" customWidth="1"/>
    <col min="10984" max="10984" width="16.42578125" style="16" customWidth="1"/>
    <col min="10985" max="10985" width="9.140625" style="16"/>
    <col min="10986" max="10986" width="11.7109375" style="16" bestFit="1" customWidth="1"/>
    <col min="10987" max="10987" width="12.28515625" style="16" bestFit="1" customWidth="1"/>
    <col min="10988" max="11232" width="9.140625" style="16"/>
    <col min="11233" max="11234" width="15.5703125" style="16" customWidth="1"/>
    <col min="11235" max="11235" width="59.42578125" style="16" customWidth="1"/>
    <col min="11236" max="11237" width="15.5703125" style="16" customWidth="1"/>
    <col min="11238" max="11238" width="9.5703125" style="16" bestFit="1" customWidth="1"/>
    <col min="11239" max="11239" width="15.42578125" style="16" customWidth="1"/>
    <col min="11240" max="11240" width="16.42578125" style="16" customWidth="1"/>
    <col min="11241" max="11241" width="9.140625" style="16"/>
    <col min="11242" max="11242" width="11.7109375" style="16" bestFit="1" customWidth="1"/>
    <col min="11243" max="11243" width="12.28515625" style="16" bestFit="1" customWidth="1"/>
    <col min="11244" max="11488" width="9.140625" style="16"/>
    <col min="11489" max="11490" width="15.5703125" style="16" customWidth="1"/>
    <col min="11491" max="11491" width="59.42578125" style="16" customWidth="1"/>
    <col min="11492" max="11493" width="15.5703125" style="16" customWidth="1"/>
    <col min="11494" max="11494" width="9.5703125" style="16" bestFit="1" customWidth="1"/>
    <col min="11495" max="11495" width="15.42578125" style="16" customWidth="1"/>
    <col min="11496" max="11496" width="16.42578125" style="16" customWidth="1"/>
    <col min="11497" max="11497" width="9.140625" style="16"/>
    <col min="11498" max="11498" width="11.7109375" style="16" bestFit="1" customWidth="1"/>
    <col min="11499" max="11499" width="12.28515625" style="16" bestFit="1" customWidth="1"/>
    <col min="11500" max="11744" width="9.140625" style="16"/>
    <col min="11745" max="11746" width="15.5703125" style="16" customWidth="1"/>
    <col min="11747" max="11747" width="59.42578125" style="16" customWidth="1"/>
    <col min="11748" max="11749" width="15.5703125" style="16" customWidth="1"/>
    <col min="11750" max="11750" width="9.5703125" style="16" bestFit="1" customWidth="1"/>
    <col min="11751" max="11751" width="15.42578125" style="16" customWidth="1"/>
    <col min="11752" max="11752" width="16.42578125" style="16" customWidth="1"/>
    <col min="11753" max="11753" width="9.140625" style="16"/>
    <col min="11754" max="11754" width="11.7109375" style="16" bestFit="1" customWidth="1"/>
    <col min="11755" max="11755" width="12.28515625" style="16" bestFit="1" customWidth="1"/>
    <col min="11756" max="12000" width="9.140625" style="16"/>
    <col min="12001" max="12002" width="15.5703125" style="16" customWidth="1"/>
    <col min="12003" max="12003" width="59.42578125" style="16" customWidth="1"/>
    <col min="12004" max="12005" width="15.5703125" style="16" customWidth="1"/>
    <col min="12006" max="12006" width="9.5703125" style="16" bestFit="1" customWidth="1"/>
    <col min="12007" max="12007" width="15.42578125" style="16" customWidth="1"/>
    <col min="12008" max="12008" width="16.42578125" style="16" customWidth="1"/>
    <col min="12009" max="12009" width="9.140625" style="16"/>
    <col min="12010" max="12010" width="11.7109375" style="16" bestFit="1" customWidth="1"/>
    <col min="12011" max="12011" width="12.28515625" style="16" bestFit="1" customWidth="1"/>
    <col min="12012" max="12256" width="9.140625" style="16"/>
    <col min="12257" max="12258" width="15.5703125" style="16" customWidth="1"/>
    <col min="12259" max="12259" width="59.42578125" style="16" customWidth="1"/>
    <col min="12260" max="12261" width="15.5703125" style="16" customWidth="1"/>
    <col min="12262" max="12262" width="9.5703125" style="16" bestFit="1" customWidth="1"/>
    <col min="12263" max="12263" width="15.42578125" style="16" customWidth="1"/>
    <col min="12264" max="12264" width="16.42578125" style="16" customWidth="1"/>
    <col min="12265" max="12265" width="9.140625" style="16"/>
    <col min="12266" max="12266" width="11.7109375" style="16" bestFit="1" customWidth="1"/>
    <col min="12267" max="12267" width="12.28515625" style="16" bestFit="1" customWidth="1"/>
    <col min="12268" max="12512" width="9.140625" style="16"/>
    <col min="12513" max="12514" width="15.5703125" style="16" customWidth="1"/>
    <col min="12515" max="12515" width="59.42578125" style="16" customWidth="1"/>
    <col min="12516" max="12517" width="15.5703125" style="16" customWidth="1"/>
    <col min="12518" max="12518" width="9.5703125" style="16" bestFit="1" customWidth="1"/>
    <col min="12519" max="12519" width="15.42578125" style="16" customWidth="1"/>
    <col min="12520" max="12520" width="16.42578125" style="16" customWidth="1"/>
    <col min="12521" max="12521" width="9.140625" style="16"/>
    <col min="12522" max="12522" width="11.7109375" style="16" bestFit="1" customWidth="1"/>
    <col min="12523" max="12523" width="12.28515625" style="16" bestFit="1" customWidth="1"/>
    <col min="12524" max="12768" width="9.140625" style="16"/>
    <col min="12769" max="12770" width="15.5703125" style="16" customWidth="1"/>
    <col min="12771" max="12771" width="59.42578125" style="16" customWidth="1"/>
    <col min="12772" max="12773" width="15.5703125" style="16" customWidth="1"/>
    <col min="12774" max="12774" width="9.5703125" style="16" bestFit="1" customWidth="1"/>
    <col min="12775" max="12775" width="15.42578125" style="16" customWidth="1"/>
    <col min="12776" max="12776" width="16.42578125" style="16" customWidth="1"/>
    <col min="12777" max="12777" width="9.140625" style="16"/>
    <col min="12778" max="12778" width="11.7109375" style="16" bestFit="1" customWidth="1"/>
    <col min="12779" max="12779" width="12.28515625" style="16" bestFit="1" customWidth="1"/>
    <col min="12780" max="13024" width="9.140625" style="16"/>
    <col min="13025" max="13026" width="15.5703125" style="16" customWidth="1"/>
    <col min="13027" max="13027" width="59.42578125" style="16" customWidth="1"/>
    <col min="13028" max="13029" width="15.5703125" style="16" customWidth="1"/>
    <col min="13030" max="13030" width="9.5703125" style="16" bestFit="1" customWidth="1"/>
    <col min="13031" max="13031" width="15.42578125" style="16" customWidth="1"/>
    <col min="13032" max="13032" width="16.42578125" style="16" customWidth="1"/>
    <col min="13033" max="13033" width="9.140625" style="16"/>
    <col min="13034" max="13034" width="11.7109375" style="16" bestFit="1" customWidth="1"/>
    <col min="13035" max="13035" width="12.28515625" style="16" bestFit="1" customWidth="1"/>
    <col min="13036" max="13280" width="9.140625" style="16"/>
    <col min="13281" max="13282" width="15.5703125" style="16" customWidth="1"/>
    <col min="13283" max="13283" width="59.42578125" style="16" customWidth="1"/>
    <col min="13284" max="13285" width="15.5703125" style="16" customWidth="1"/>
    <col min="13286" max="13286" width="9.5703125" style="16" bestFit="1" customWidth="1"/>
    <col min="13287" max="13287" width="15.42578125" style="16" customWidth="1"/>
    <col min="13288" max="13288" width="16.42578125" style="16" customWidth="1"/>
    <col min="13289" max="13289" width="9.140625" style="16"/>
    <col min="13290" max="13290" width="11.7109375" style="16" bestFit="1" customWidth="1"/>
    <col min="13291" max="13291" width="12.28515625" style="16" bestFit="1" customWidth="1"/>
    <col min="13292" max="13536" width="9.140625" style="16"/>
    <col min="13537" max="13538" width="15.5703125" style="16" customWidth="1"/>
    <col min="13539" max="13539" width="59.42578125" style="16" customWidth="1"/>
    <col min="13540" max="13541" width="15.5703125" style="16" customWidth="1"/>
    <col min="13542" max="13542" width="9.5703125" style="16" bestFit="1" customWidth="1"/>
    <col min="13543" max="13543" width="15.42578125" style="16" customWidth="1"/>
    <col min="13544" max="13544" width="16.42578125" style="16" customWidth="1"/>
    <col min="13545" max="13545" width="9.140625" style="16"/>
    <col min="13546" max="13546" width="11.7109375" style="16" bestFit="1" customWidth="1"/>
    <col min="13547" max="13547" width="12.28515625" style="16" bestFit="1" customWidth="1"/>
    <col min="13548" max="13792" width="9.140625" style="16"/>
    <col min="13793" max="13794" width="15.5703125" style="16" customWidth="1"/>
    <col min="13795" max="13795" width="59.42578125" style="16" customWidth="1"/>
    <col min="13796" max="13797" width="15.5703125" style="16" customWidth="1"/>
    <col min="13798" max="13798" width="9.5703125" style="16" bestFit="1" customWidth="1"/>
    <col min="13799" max="13799" width="15.42578125" style="16" customWidth="1"/>
    <col min="13800" max="13800" width="16.42578125" style="16" customWidth="1"/>
    <col min="13801" max="13801" width="9.140625" style="16"/>
    <col min="13802" max="13802" width="11.7109375" style="16" bestFit="1" customWidth="1"/>
    <col min="13803" max="13803" width="12.28515625" style="16" bestFit="1" customWidth="1"/>
    <col min="13804" max="14048" width="9.140625" style="16"/>
    <col min="14049" max="14050" width="15.5703125" style="16" customWidth="1"/>
    <col min="14051" max="14051" width="59.42578125" style="16" customWidth="1"/>
    <col min="14052" max="14053" width="15.5703125" style="16" customWidth="1"/>
    <col min="14054" max="14054" width="9.5703125" style="16" bestFit="1" customWidth="1"/>
    <col min="14055" max="14055" width="15.42578125" style="16" customWidth="1"/>
    <col min="14056" max="14056" width="16.42578125" style="16" customWidth="1"/>
    <col min="14057" max="14057" width="9.140625" style="16"/>
    <col min="14058" max="14058" width="11.7109375" style="16" bestFit="1" customWidth="1"/>
    <col min="14059" max="14059" width="12.28515625" style="16" bestFit="1" customWidth="1"/>
    <col min="14060" max="14304" width="9.140625" style="16"/>
    <col min="14305" max="14306" width="15.5703125" style="16" customWidth="1"/>
    <col min="14307" max="14307" width="59.42578125" style="16" customWidth="1"/>
    <col min="14308" max="14309" width="15.5703125" style="16" customWidth="1"/>
    <col min="14310" max="14310" width="9.5703125" style="16" bestFit="1" customWidth="1"/>
    <col min="14311" max="14311" width="15.42578125" style="16" customWidth="1"/>
    <col min="14312" max="14312" width="16.42578125" style="16" customWidth="1"/>
    <col min="14313" max="14313" width="9.140625" style="16"/>
    <col min="14314" max="14314" width="11.7109375" style="16" bestFit="1" customWidth="1"/>
    <col min="14315" max="14315" width="12.28515625" style="16" bestFit="1" customWidth="1"/>
    <col min="14316" max="14560" width="9.140625" style="16"/>
    <col min="14561" max="14562" width="15.5703125" style="16" customWidth="1"/>
    <col min="14563" max="14563" width="59.42578125" style="16" customWidth="1"/>
    <col min="14564" max="14565" width="15.5703125" style="16" customWidth="1"/>
    <col min="14566" max="14566" width="9.5703125" style="16" bestFit="1" customWidth="1"/>
    <col min="14567" max="14567" width="15.42578125" style="16" customWidth="1"/>
    <col min="14568" max="14568" width="16.42578125" style="16" customWidth="1"/>
    <col min="14569" max="14569" width="9.140625" style="16"/>
    <col min="14570" max="14570" width="11.7109375" style="16" bestFit="1" customWidth="1"/>
    <col min="14571" max="14571" width="12.28515625" style="16" bestFit="1" customWidth="1"/>
    <col min="14572" max="14816" width="9.140625" style="16"/>
    <col min="14817" max="14818" width="15.5703125" style="16" customWidth="1"/>
    <col min="14819" max="14819" width="59.42578125" style="16" customWidth="1"/>
    <col min="14820" max="14821" width="15.5703125" style="16" customWidth="1"/>
    <col min="14822" max="14822" width="9.5703125" style="16" bestFit="1" customWidth="1"/>
    <col min="14823" max="14823" width="15.42578125" style="16" customWidth="1"/>
    <col min="14824" max="14824" width="16.42578125" style="16" customWidth="1"/>
    <col min="14825" max="14825" width="9.140625" style="16"/>
    <col min="14826" max="14826" width="11.7109375" style="16" bestFit="1" customWidth="1"/>
    <col min="14827" max="14827" width="12.28515625" style="16" bestFit="1" customWidth="1"/>
    <col min="14828" max="15072" width="9.140625" style="16"/>
    <col min="15073" max="15074" width="15.5703125" style="16" customWidth="1"/>
    <col min="15075" max="15075" width="59.42578125" style="16" customWidth="1"/>
    <col min="15076" max="15077" width="15.5703125" style="16" customWidth="1"/>
    <col min="15078" max="15078" width="9.5703125" style="16" bestFit="1" customWidth="1"/>
    <col min="15079" max="15079" width="15.42578125" style="16" customWidth="1"/>
    <col min="15080" max="15080" width="16.42578125" style="16" customWidth="1"/>
    <col min="15081" max="15081" width="9.140625" style="16"/>
    <col min="15082" max="15082" width="11.7109375" style="16" bestFit="1" customWidth="1"/>
    <col min="15083" max="15083" width="12.28515625" style="16" bestFit="1" customWidth="1"/>
    <col min="15084" max="15328" width="9.140625" style="16"/>
    <col min="15329" max="15330" width="15.5703125" style="16" customWidth="1"/>
    <col min="15331" max="15331" width="59.42578125" style="16" customWidth="1"/>
    <col min="15332" max="15333" width="15.5703125" style="16" customWidth="1"/>
    <col min="15334" max="15334" width="9.5703125" style="16" bestFit="1" customWidth="1"/>
    <col min="15335" max="15335" width="15.42578125" style="16" customWidth="1"/>
    <col min="15336" max="15336" width="16.42578125" style="16" customWidth="1"/>
    <col min="15337" max="15337" width="9.140625" style="16"/>
    <col min="15338" max="15338" width="11.7109375" style="16" bestFit="1" customWidth="1"/>
    <col min="15339" max="15339" width="12.28515625" style="16" bestFit="1" customWidth="1"/>
    <col min="15340" max="15584" width="9.140625" style="16"/>
    <col min="15585" max="15586" width="15.5703125" style="16" customWidth="1"/>
    <col min="15587" max="15587" width="59.42578125" style="16" customWidth="1"/>
    <col min="15588" max="15589" width="15.5703125" style="16" customWidth="1"/>
    <col min="15590" max="15590" width="9.5703125" style="16" bestFit="1" customWidth="1"/>
    <col min="15591" max="15591" width="15.42578125" style="16" customWidth="1"/>
    <col min="15592" max="15592" width="16.42578125" style="16" customWidth="1"/>
    <col min="15593" max="15593" width="9.140625" style="16"/>
    <col min="15594" max="15594" width="11.7109375" style="16" bestFit="1" customWidth="1"/>
    <col min="15595" max="15595" width="12.28515625" style="16" bestFit="1" customWidth="1"/>
    <col min="15596" max="15840" width="9.140625" style="16"/>
    <col min="15841" max="15842" width="15.5703125" style="16" customWidth="1"/>
    <col min="15843" max="15843" width="59.42578125" style="16" customWidth="1"/>
    <col min="15844" max="15845" width="15.5703125" style="16" customWidth="1"/>
    <col min="15846" max="15846" width="9.5703125" style="16" bestFit="1" customWidth="1"/>
    <col min="15847" max="15847" width="15.42578125" style="16" customWidth="1"/>
    <col min="15848" max="15848" width="16.42578125" style="16" customWidth="1"/>
    <col min="15849" max="15849" width="9.140625" style="16"/>
    <col min="15850" max="15850" width="11.7109375" style="16" bestFit="1" customWidth="1"/>
    <col min="15851" max="15851" width="12.28515625" style="16" bestFit="1" customWidth="1"/>
    <col min="15852" max="16096" width="9.140625" style="16"/>
    <col min="16097" max="16098" width="15.5703125" style="16" customWidth="1"/>
    <col min="16099" max="16099" width="59.42578125" style="16" customWidth="1"/>
    <col min="16100" max="16101" width="15.5703125" style="16" customWidth="1"/>
    <col min="16102" max="16102" width="9.5703125" style="16" bestFit="1" customWidth="1"/>
    <col min="16103" max="16103" width="15.42578125" style="16" customWidth="1"/>
    <col min="16104" max="16104" width="16.42578125" style="16" customWidth="1"/>
    <col min="16105" max="16105" width="9.140625" style="16"/>
    <col min="16106" max="16106" width="11.7109375" style="16" bestFit="1" customWidth="1"/>
    <col min="16107" max="16107" width="12.28515625" style="16" bestFit="1" customWidth="1"/>
    <col min="16108" max="16384" width="9.140625" style="16"/>
  </cols>
  <sheetData>
    <row r="1" spans="1:10" x14ac:dyDescent="0.2">
      <c r="A1" s="15" t="s">
        <v>512</v>
      </c>
    </row>
    <row r="2" spans="1:10" x14ac:dyDescent="0.2">
      <c r="A2" s="15"/>
    </row>
    <row r="3" spans="1:10" x14ac:dyDescent="0.2">
      <c r="A3" s="16" t="s">
        <v>513</v>
      </c>
      <c r="D3" s="17">
        <v>2019</v>
      </c>
      <c r="E3" s="17">
        <v>2020</v>
      </c>
    </row>
    <row r="4" spans="1:10" x14ac:dyDescent="0.2">
      <c r="A4" s="138" t="s">
        <v>514</v>
      </c>
      <c r="B4" s="138"/>
      <c r="C4" s="138"/>
      <c r="D4" s="18" t="s">
        <v>515</v>
      </c>
      <c r="E4" s="18" t="s">
        <v>515</v>
      </c>
      <c r="F4" s="18" t="s">
        <v>1989</v>
      </c>
      <c r="G4" s="65" t="s">
        <v>2091</v>
      </c>
    </row>
    <row r="5" spans="1:10" x14ac:dyDescent="0.2">
      <c r="A5" s="139" t="s">
        <v>516</v>
      </c>
      <c r="B5" s="138" t="s">
        <v>161</v>
      </c>
      <c r="C5" s="19" t="s">
        <v>78</v>
      </c>
      <c r="D5" s="108">
        <v>5238779</v>
      </c>
      <c r="E5" s="108">
        <f>(VLOOKUP(C5,Sheet8!$A$5:$B$33,2,FALSE))</f>
        <v>5657881.3200000003</v>
      </c>
      <c r="F5" s="108">
        <f>E5-D5</f>
        <v>419102.3200000003</v>
      </c>
      <c r="G5" s="66">
        <f>(E5-D5)/D5</f>
        <v>8.0000000000000057E-2</v>
      </c>
    </row>
    <row r="6" spans="1:10" x14ac:dyDescent="0.2">
      <c r="A6" s="140"/>
      <c r="B6" s="138"/>
      <c r="C6" s="19" t="s">
        <v>79</v>
      </c>
      <c r="D6" s="108">
        <v>512000</v>
      </c>
      <c r="E6" s="108">
        <f>(VLOOKUP(C6,Sheet1!$A$11:$B$33,2,FALSE))*-1</f>
        <v>512000</v>
      </c>
      <c r="F6" s="108">
        <f>E6-D6</f>
        <v>0</v>
      </c>
      <c r="G6" s="66">
        <f>(E6-D6)/D6</f>
        <v>0</v>
      </c>
      <c r="J6" s="20"/>
    </row>
    <row r="7" spans="1:10" x14ac:dyDescent="0.2">
      <c r="A7" s="140"/>
      <c r="B7" s="138"/>
      <c r="C7" s="55" t="s">
        <v>517</v>
      </c>
      <c r="D7" s="109">
        <f>D5+D6</f>
        <v>5750779</v>
      </c>
      <c r="E7" s="109">
        <f>E5+E6</f>
        <v>6169881.3200000003</v>
      </c>
      <c r="F7" s="109">
        <f>E7-D7</f>
        <v>419102.3200000003</v>
      </c>
      <c r="G7" s="67">
        <f>(E7-D7)/D7</f>
        <v>7.2877486684847448E-2</v>
      </c>
      <c r="H7" s="21"/>
      <c r="I7" s="21"/>
      <c r="J7" s="20"/>
    </row>
    <row r="8" spans="1:10" x14ac:dyDescent="0.2">
      <c r="A8" s="140"/>
      <c r="B8" s="142" t="s">
        <v>80</v>
      </c>
      <c r="C8" s="142"/>
      <c r="D8" s="109">
        <v>1250580</v>
      </c>
      <c r="E8" s="109">
        <f>(VLOOKUP(B8,Sheet1!$A$10:$B$34,2,FALSE)*-1)+(VLOOKUP(B8,Sheet8!$A$4:$B$14,2,FALSE))</f>
        <v>1322021.152</v>
      </c>
      <c r="F8" s="109">
        <f t="shared" ref="F8:F95" si="0">E8-D8</f>
        <v>71441.152000000002</v>
      </c>
      <c r="G8" s="67">
        <f>(E8-D8)/D8</f>
        <v>5.7126414943466236E-2</v>
      </c>
      <c r="H8" s="21"/>
      <c r="I8" s="21"/>
      <c r="J8" s="20"/>
    </row>
    <row r="9" spans="1:10" x14ac:dyDescent="0.2">
      <c r="A9" s="140"/>
      <c r="B9" s="143" t="s">
        <v>518</v>
      </c>
      <c r="C9" s="19" t="s">
        <v>81</v>
      </c>
      <c r="D9" s="108">
        <v>933202</v>
      </c>
      <c r="E9" s="110">
        <f>(VLOOKUP(C9,Sheet1!$A$11:$B$33,2,FALSE))*-1</f>
        <v>1302903</v>
      </c>
      <c r="F9" s="108">
        <f t="shared" si="0"/>
        <v>369701</v>
      </c>
      <c r="G9" s="66">
        <f t="shared" ref="G9:G95" si="1">(E9-D9)/D9</f>
        <v>0.39616396021440159</v>
      </c>
      <c r="H9" s="21"/>
      <c r="I9" s="21"/>
      <c r="J9" s="20"/>
    </row>
    <row r="10" spans="1:10" x14ac:dyDescent="0.2">
      <c r="A10" s="140"/>
      <c r="B10" s="143"/>
      <c r="C10" s="19" t="s">
        <v>82</v>
      </c>
      <c r="D10" s="108">
        <v>2951189</v>
      </c>
      <c r="E10" s="110">
        <f>(VLOOKUP(C10,Sheet1!$A$11:$B$33,2,FALSE))*-1</f>
        <v>2889971</v>
      </c>
      <c r="F10" s="108">
        <f t="shared" si="0"/>
        <v>-61218</v>
      </c>
      <c r="G10" s="66">
        <f t="shared" si="1"/>
        <v>-2.0743503720026063E-2</v>
      </c>
      <c r="H10" s="21"/>
      <c r="I10" s="21"/>
      <c r="J10" s="20"/>
    </row>
    <row r="11" spans="1:10" x14ac:dyDescent="0.2">
      <c r="A11" s="140"/>
      <c r="B11" s="143"/>
      <c r="C11" s="19" t="s">
        <v>519</v>
      </c>
      <c r="D11" s="108">
        <v>190580</v>
      </c>
      <c r="E11" s="110">
        <f>(VLOOKUP(C11,Sheet8!$A$5:$B$33,2,FALSE))</f>
        <v>61700.069999999992</v>
      </c>
      <c r="F11" s="108">
        <f t="shared" si="0"/>
        <v>-128879.93000000001</v>
      </c>
      <c r="G11" s="66">
        <f t="shared" si="1"/>
        <v>-0.6762510756637633</v>
      </c>
      <c r="H11" s="23"/>
      <c r="I11" s="23"/>
      <c r="J11" s="24"/>
    </row>
    <row r="12" spans="1:10" x14ac:dyDescent="0.2">
      <c r="A12" s="140"/>
      <c r="B12" s="143"/>
      <c r="C12" s="55" t="s">
        <v>520</v>
      </c>
      <c r="D12" s="109">
        <f>SUM(D9:D11)</f>
        <v>4074971</v>
      </c>
      <c r="E12" s="109">
        <f>SUM(E9:E11)</f>
        <v>4254574.07</v>
      </c>
      <c r="F12" s="109">
        <f t="shared" si="0"/>
        <v>179603.0700000003</v>
      </c>
      <c r="G12" s="67">
        <f t="shared" si="1"/>
        <v>4.4074686666481871E-2</v>
      </c>
    </row>
    <row r="13" spans="1:10" x14ac:dyDescent="0.2">
      <c r="A13" s="140"/>
      <c r="B13" s="138" t="s">
        <v>163</v>
      </c>
      <c r="C13" s="19" t="s">
        <v>83</v>
      </c>
      <c r="D13" s="108">
        <v>72630</v>
      </c>
      <c r="E13" s="108">
        <f>(VLOOKUP(C13,Sheet8!$A$5:$B$15,2,FALSE))</f>
        <v>87300</v>
      </c>
      <c r="F13" s="108">
        <f t="shared" si="0"/>
        <v>14670</v>
      </c>
      <c r="G13" s="66">
        <f t="shared" si="1"/>
        <v>0.20198265179677818</v>
      </c>
    </row>
    <row r="14" spans="1:10" x14ac:dyDescent="0.2">
      <c r="A14" s="140"/>
      <c r="B14" s="138"/>
      <c r="C14" s="19" t="s">
        <v>521</v>
      </c>
      <c r="D14" s="108">
        <v>13500</v>
      </c>
      <c r="E14" s="108">
        <f>(VLOOKUP(C14,Sheet8!$A$5:$B$15,2,FALSE))</f>
        <v>13300</v>
      </c>
      <c r="F14" s="108">
        <f t="shared" si="0"/>
        <v>-200</v>
      </c>
      <c r="G14" s="66">
        <f t="shared" si="1"/>
        <v>-1.4814814814814815E-2</v>
      </c>
      <c r="H14" s="21"/>
    </row>
    <row r="15" spans="1:10" x14ac:dyDescent="0.2">
      <c r="A15" s="140"/>
      <c r="B15" s="138"/>
      <c r="C15" s="19" t="s">
        <v>522</v>
      </c>
      <c r="D15" s="108">
        <v>0</v>
      </c>
      <c r="E15" s="108">
        <f>(VLOOKUP(C15,Sheet8!$A$5:$B$15,2,FALSE))</f>
        <v>0</v>
      </c>
      <c r="F15" s="108">
        <f t="shared" si="0"/>
        <v>0</v>
      </c>
      <c r="G15" s="66">
        <v>0</v>
      </c>
      <c r="H15" s="21"/>
    </row>
    <row r="16" spans="1:10" x14ac:dyDescent="0.2">
      <c r="A16" s="140"/>
      <c r="B16" s="138"/>
      <c r="C16" s="19" t="s">
        <v>163</v>
      </c>
      <c r="D16" s="108">
        <v>1372</v>
      </c>
      <c r="E16" s="108">
        <v>0</v>
      </c>
      <c r="F16" s="108">
        <f t="shared" si="0"/>
        <v>-1372</v>
      </c>
      <c r="G16" s="66">
        <v>0</v>
      </c>
    </row>
    <row r="17" spans="1:9" x14ac:dyDescent="0.2">
      <c r="A17" s="140"/>
      <c r="B17" s="138"/>
      <c r="C17" s="55" t="s">
        <v>523</v>
      </c>
      <c r="D17" s="109">
        <f>SUM(D13:D16)</f>
        <v>87502</v>
      </c>
      <c r="E17" s="109">
        <f>SUM(E13:E16)</f>
        <v>100600</v>
      </c>
      <c r="F17" s="109">
        <f t="shared" si="0"/>
        <v>13098</v>
      </c>
      <c r="G17" s="67">
        <f t="shared" si="1"/>
        <v>0.14968800713126557</v>
      </c>
    </row>
    <row r="18" spans="1:9" x14ac:dyDescent="0.2">
      <c r="A18" s="141"/>
      <c r="B18" s="142" t="s">
        <v>524</v>
      </c>
      <c r="C18" s="142"/>
      <c r="D18" s="111">
        <f>D7+D8+D12+D17</f>
        <v>11163832</v>
      </c>
      <c r="E18" s="111">
        <f>E7+E8+E12+E17</f>
        <v>11847076.541999999</v>
      </c>
      <c r="F18" s="111">
        <f t="shared" si="0"/>
        <v>683244.54199999943</v>
      </c>
      <c r="G18" s="68">
        <f t="shared" si="1"/>
        <v>6.120161446356407E-2</v>
      </c>
    </row>
    <row r="19" spans="1:9" x14ac:dyDescent="0.2">
      <c r="A19" s="139" t="s">
        <v>525</v>
      </c>
      <c r="B19" s="143" t="s">
        <v>526</v>
      </c>
      <c r="C19" s="19" t="s">
        <v>527</v>
      </c>
      <c r="D19" s="108">
        <v>-832820</v>
      </c>
      <c r="E19" s="108">
        <f>(VLOOKUP(C19,Sheet1!$A$11:$B$27,2,FALSE))*-1</f>
        <v>-727155</v>
      </c>
      <c r="F19" s="108">
        <f t="shared" si="0"/>
        <v>105665</v>
      </c>
      <c r="G19" s="66">
        <f t="shared" si="1"/>
        <v>-0.12687615571191854</v>
      </c>
    </row>
    <row r="20" spans="1:9" x14ac:dyDescent="0.2">
      <c r="A20" s="140"/>
      <c r="B20" s="143"/>
      <c r="C20" s="19" t="s">
        <v>528</v>
      </c>
      <c r="D20" s="108">
        <v>-190262</v>
      </c>
      <c r="E20" s="108">
        <f>(VLOOKUP(C20,Sheet1!$A$11:$B$27,2,FALSE))*-1</f>
        <v>-306412</v>
      </c>
      <c r="F20" s="108">
        <f t="shared" si="0"/>
        <v>-116150</v>
      </c>
      <c r="G20" s="66">
        <f t="shared" si="1"/>
        <v>0.61047397798824776</v>
      </c>
    </row>
    <row r="21" spans="1:9" x14ac:dyDescent="0.2">
      <c r="A21" s="140"/>
      <c r="B21" s="143"/>
      <c r="C21" s="19" t="s">
        <v>155</v>
      </c>
      <c r="D21" s="108">
        <v>-37168</v>
      </c>
      <c r="E21" s="108">
        <f>(VLOOKUP(C21,Sheet1!$A$11:$B$27,2,FALSE))*-1</f>
        <v>-31258</v>
      </c>
      <c r="F21" s="108">
        <f t="shared" si="0"/>
        <v>5910</v>
      </c>
      <c r="G21" s="66">
        <f t="shared" si="1"/>
        <v>-0.15900774860094705</v>
      </c>
    </row>
    <row r="22" spans="1:9" x14ac:dyDescent="0.2">
      <c r="A22" s="140"/>
      <c r="B22" s="143"/>
      <c r="C22" s="25" t="s">
        <v>529</v>
      </c>
      <c r="D22" s="112">
        <f>SUM(D19:D21)</f>
        <v>-1060250</v>
      </c>
      <c r="E22" s="112">
        <f>SUM(E19:E21)</f>
        <v>-1064825</v>
      </c>
      <c r="F22" s="112">
        <f t="shared" si="0"/>
        <v>-4575</v>
      </c>
      <c r="G22" s="69">
        <f t="shared" si="1"/>
        <v>4.3150200424428202E-3</v>
      </c>
      <c r="I22" s="21"/>
    </row>
    <row r="23" spans="1:9" x14ac:dyDescent="0.2">
      <c r="A23" s="140"/>
      <c r="B23" s="138" t="s">
        <v>131</v>
      </c>
      <c r="C23" s="19" t="s">
        <v>530</v>
      </c>
      <c r="D23" s="108">
        <v>-6099330</v>
      </c>
      <c r="E23" s="110">
        <f>(VLOOKUP(C23,Sheet3!A4:C40,2,FALSE)+VLOOKUP(C23,Sheet3!A4:C40,3,FALSE))*-1</f>
        <v>-6369924.1966445046</v>
      </c>
      <c r="F23" s="108">
        <f t="shared" si="0"/>
        <v>-270594.19664450455</v>
      </c>
      <c r="G23" s="66">
        <f t="shared" si="1"/>
        <v>4.4364577198561898E-2</v>
      </c>
      <c r="I23" s="99"/>
    </row>
    <row r="24" spans="1:9" x14ac:dyDescent="0.2">
      <c r="A24" s="140"/>
      <c r="B24" s="138"/>
      <c r="C24" s="19" t="s">
        <v>531</v>
      </c>
      <c r="D24" s="108">
        <v>-3461236</v>
      </c>
      <c r="E24" s="110">
        <f>(VLOOKUP(C24,Sheet1!$A$11:$B$27,2,FALSE))*-1</f>
        <v>-3689000.3399999994</v>
      </c>
      <c r="F24" s="108">
        <f t="shared" si="0"/>
        <v>-227764.33999999939</v>
      </c>
      <c r="G24" s="66">
        <f t="shared" si="1"/>
        <v>6.5804336947841574E-2</v>
      </c>
      <c r="I24" s="74"/>
    </row>
    <row r="25" spans="1:9" x14ac:dyDescent="0.2">
      <c r="A25" s="140"/>
      <c r="B25" s="138"/>
      <c r="C25" s="19" t="s">
        <v>532</v>
      </c>
      <c r="D25" s="108">
        <v>-53137</v>
      </c>
      <c r="E25" s="110">
        <f>(VLOOKUP(C25,Sheet1!$A$11:$B$27,2,FALSE))*-1</f>
        <v>-60485.382709999998</v>
      </c>
      <c r="F25" s="108">
        <f t="shared" si="0"/>
        <v>-7348.382709999998</v>
      </c>
      <c r="G25" s="66">
        <f t="shared" si="1"/>
        <v>0.1382912605152718</v>
      </c>
    </row>
    <row r="26" spans="1:9" x14ac:dyDescent="0.2">
      <c r="A26" s="140"/>
      <c r="B26" s="138"/>
      <c r="C26" s="55" t="s">
        <v>533</v>
      </c>
      <c r="D26" s="112">
        <f>SUM(D23:D25)</f>
        <v>-9613703</v>
      </c>
      <c r="E26" s="112">
        <f>SUM(E23:E25)</f>
        <v>-10119409.919354504</v>
      </c>
      <c r="F26" s="112">
        <f t="shared" si="0"/>
        <v>-505706.91935450397</v>
      </c>
      <c r="G26" s="69">
        <f t="shared" si="1"/>
        <v>5.2602719197223376E-2</v>
      </c>
      <c r="H26" s="21"/>
    </row>
    <row r="27" spans="1:9" x14ac:dyDescent="0.2">
      <c r="A27" s="141"/>
      <c r="B27" s="144" t="s">
        <v>534</v>
      </c>
      <c r="C27" s="144"/>
      <c r="D27" s="113">
        <f>D22+D26</f>
        <v>-10673953</v>
      </c>
      <c r="E27" s="113">
        <f>E22+E26</f>
        <v>-11184234.919354504</v>
      </c>
      <c r="F27" s="113">
        <f t="shared" si="0"/>
        <v>-510281.91935450397</v>
      </c>
      <c r="G27" s="70">
        <f t="shared" si="1"/>
        <v>4.7806273772659856E-2</v>
      </c>
    </row>
    <row r="28" spans="1:9" x14ac:dyDescent="0.2">
      <c r="A28" s="142" t="s">
        <v>535</v>
      </c>
      <c r="B28" s="142"/>
      <c r="C28" s="142"/>
      <c r="D28" s="111">
        <f>D18+D27</f>
        <v>489879</v>
      </c>
      <c r="E28" s="111">
        <f>E18+E27</f>
        <v>662841.62264549546</v>
      </c>
      <c r="F28" s="111">
        <f t="shared" si="0"/>
        <v>172962.62264549546</v>
      </c>
      <c r="G28" s="68">
        <f t="shared" si="1"/>
        <v>0.35307213137426885</v>
      </c>
    </row>
    <row r="29" spans="1:9" x14ac:dyDescent="0.2">
      <c r="A29" s="145" t="s">
        <v>87</v>
      </c>
      <c r="B29" s="138" t="s">
        <v>86</v>
      </c>
      <c r="C29" s="138"/>
      <c r="D29" s="108">
        <v>50000</v>
      </c>
      <c r="E29" s="108">
        <v>0</v>
      </c>
      <c r="F29" s="108">
        <f t="shared" si="0"/>
        <v>-50000</v>
      </c>
      <c r="G29" s="66">
        <f t="shared" si="1"/>
        <v>-1</v>
      </c>
    </row>
    <row r="30" spans="1:9" x14ac:dyDescent="0.2">
      <c r="A30" s="145"/>
      <c r="B30" s="138" t="s">
        <v>4</v>
      </c>
      <c r="C30" s="138"/>
      <c r="D30" s="108">
        <v>-813808</v>
      </c>
      <c r="E30" s="108">
        <f>(VLOOKUP(B30,Sheet1!$A$11:$B$33,2,FALSE))*-1</f>
        <v>-2661026.4</v>
      </c>
      <c r="F30" s="108">
        <f t="shared" si="0"/>
        <v>-1847218.4</v>
      </c>
      <c r="G30" s="66">
        <f t="shared" si="1"/>
        <v>2.2698454672355148</v>
      </c>
    </row>
    <row r="31" spans="1:9" x14ac:dyDescent="0.2">
      <c r="A31" s="145"/>
      <c r="B31" s="138" t="s">
        <v>2002</v>
      </c>
      <c r="C31" s="138"/>
      <c r="D31" s="108">
        <v>336833.8</v>
      </c>
      <c r="E31" s="108">
        <f>(VLOOKUP(B31,Sheet8!$A$5:$B$33,2,FALSE))</f>
        <v>725000</v>
      </c>
      <c r="F31" s="108">
        <f t="shared" si="0"/>
        <v>388166.2</v>
      </c>
      <c r="G31" s="66">
        <f t="shared" si="1"/>
        <v>1.1523968200340939</v>
      </c>
    </row>
    <row r="32" spans="1:9" x14ac:dyDescent="0.2">
      <c r="A32" s="145"/>
      <c r="B32" s="138" t="s">
        <v>2001</v>
      </c>
      <c r="C32" s="138"/>
      <c r="D32" s="108">
        <v>-898990</v>
      </c>
      <c r="E32" s="110">
        <f>(VLOOKUP(B32,Sheet1!$A$11:$B$33,2,FALSE))*-1</f>
        <v>-149761.28</v>
      </c>
      <c r="F32" s="108">
        <f t="shared" si="0"/>
        <v>749228.72</v>
      </c>
      <c r="G32" s="66">
        <f t="shared" si="1"/>
        <v>-0.83341162860543494</v>
      </c>
    </row>
    <row r="33" spans="1:10" x14ac:dyDescent="0.2">
      <c r="A33" s="145"/>
      <c r="B33" s="138" t="s">
        <v>88</v>
      </c>
      <c r="C33" s="138"/>
      <c r="D33" s="108">
        <v>134</v>
      </c>
      <c r="E33" s="108">
        <f>(VLOOKUP(B33,Sheet1!$A$11:$B$37,2,FALSE))*-1</f>
        <v>130</v>
      </c>
      <c r="F33" s="108">
        <f t="shared" si="0"/>
        <v>-4</v>
      </c>
      <c r="G33" s="66">
        <f t="shared" si="1"/>
        <v>-2.9850746268656716E-2</v>
      </c>
    </row>
    <row r="34" spans="1:10" x14ac:dyDescent="0.2">
      <c r="A34" s="145"/>
      <c r="B34" s="138" t="s">
        <v>89</v>
      </c>
      <c r="C34" s="138"/>
      <c r="D34" s="108">
        <v>-40966</v>
      </c>
      <c r="E34" s="108">
        <f>(VLOOKUP(B34,Sheet1!$A$11:$B$33,2,FALSE))*-1</f>
        <v>-27847.13</v>
      </c>
      <c r="F34" s="108">
        <f t="shared" si="0"/>
        <v>13118.869999999999</v>
      </c>
      <c r="G34" s="66">
        <f t="shared" si="1"/>
        <v>-0.32023800224576476</v>
      </c>
    </row>
    <row r="35" spans="1:10" x14ac:dyDescent="0.2">
      <c r="A35" s="145"/>
      <c r="B35" s="144" t="s">
        <v>536</v>
      </c>
      <c r="C35" s="144"/>
      <c r="D35" s="112">
        <f>SUM(D29:D34)</f>
        <v>-1366796.2</v>
      </c>
      <c r="E35" s="112">
        <f>SUM(E29:E34)</f>
        <v>-2113504.81</v>
      </c>
      <c r="F35" s="112">
        <f t="shared" si="0"/>
        <v>-746708.6100000001</v>
      </c>
      <c r="G35" s="69">
        <f t="shared" si="1"/>
        <v>0.54632037314707205</v>
      </c>
      <c r="I35" s="26"/>
    </row>
    <row r="36" spans="1:10" x14ac:dyDescent="0.2">
      <c r="A36" s="142" t="s">
        <v>537</v>
      </c>
      <c r="B36" s="142"/>
      <c r="C36" s="142"/>
      <c r="D36" s="109">
        <f>D28+D35</f>
        <v>-876917.2</v>
      </c>
      <c r="E36" s="109">
        <f>E28+E35</f>
        <v>-1450663.1873545046</v>
      </c>
      <c r="F36" s="109">
        <f t="shared" si="0"/>
        <v>-573745.98735450464</v>
      </c>
      <c r="G36" s="67">
        <f t="shared" si="1"/>
        <v>0.65427612476355201</v>
      </c>
      <c r="H36" s="21"/>
      <c r="I36" s="21"/>
      <c r="J36" s="27"/>
    </row>
    <row r="37" spans="1:10" x14ac:dyDescent="0.2">
      <c r="A37" s="145" t="s">
        <v>104</v>
      </c>
      <c r="B37" s="138" t="s">
        <v>103</v>
      </c>
      <c r="C37" s="138"/>
      <c r="D37" s="108">
        <v>400000</v>
      </c>
      <c r="E37" s="108">
        <f>(VLOOKUP(B37,Sheet1!$A$11:$B$33,2,FALSE))*-1</f>
        <v>2085000</v>
      </c>
      <c r="F37" s="108">
        <f t="shared" si="0"/>
        <v>1685000</v>
      </c>
      <c r="G37" s="66">
        <f t="shared" si="1"/>
        <v>4.2125000000000004</v>
      </c>
      <c r="H37" s="21"/>
      <c r="I37" s="21"/>
      <c r="J37" s="27"/>
    </row>
    <row r="38" spans="1:10" x14ac:dyDescent="0.2">
      <c r="A38" s="145"/>
      <c r="B38" s="138" t="s">
        <v>105</v>
      </c>
      <c r="C38" s="138"/>
      <c r="D38" s="108">
        <v>-455090</v>
      </c>
      <c r="E38" s="108">
        <f>(VLOOKUP(B38,Sheet1!$A$11:$B$33,2,FALSE))*-1</f>
        <v>-686724.05</v>
      </c>
      <c r="F38" s="108">
        <f t="shared" si="0"/>
        <v>-231634.05000000005</v>
      </c>
      <c r="G38" s="66">
        <f t="shared" si="1"/>
        <v>0.50898514579533727</v>
      </c>
      <c r="H38" s="21"/>
      <c r="I38" s="21"/>
      <c r="J38" s="27"/>
    </row>
    <row r="39" spans="1:10" x14ac:dyDescent="0.2">
      <c r="A39" s="145"/>
      <c r="B39" s="144" t="s">
        <v>538</v>
      </c>
      <c r="C39" s="144"/>
      <c r="D39" s="112">
        <f>D37+D38</f>
        <v>-55090</v>
      </c>
      <c r="E39" s="112">
        <f>E37+E38</f>
        <v>1398275.95</v>
      </c>
      <c r="F39" s="112">
        <f t="shared" si="0"/>
        <v>1453365.95</v>
      </c>
      <c r="G39" s="69">
        <f t="shared" si="1"/>
        <v>-26.381665456525685</v>
      </c>
      <c r="H39" s="21"/>
      <c r="I39" s="21"/>
      <c r="J39" s="27"/>
    </row>
    <row r="40" spans="1:10" x14ac:dyDescent="0.2">
      <c r="A40" s="142" t="s">
        <v>539</v>
      </c>
      <c r="B40" s="142"/>
      <c r="C40" s="142"/>
      <c r="D40" s="109">
        <f>D36+D39</f>
        <v>-932007.2</v>
      </c>
      <c r="E40" s="109">
        <f>E36+E39</f>
        <v>-52387.237354504643</v>
      </c>
      <c r="F40" s="109">
        <f t="shared" si="0"/>
        <v>879619.96264549531</v>
      </c>
      <c r="G40" s="67">
        <f t="shared" si="1"/>
        <v>-0.94379095209296171</v>
      </c>
      <c r="H40" s="23"/>
      <c r="I40" s="23"/>
      <c r="J40" s="22"/>
    </row>
    <row r="41" spans="1:10" x14ac:dyDescent="0.2">
      <c r="A41" s="55" t="s">
        <v>540</v>
      </c>
      <c r="B41" s="55"/>
      <c r="C41" s="55"/>
      <c r="D41" s="109">
        <v>0</v>
      </c>
      <c r="E41" s="109">
        <v>0</v>
      </c>
      <c r="F41" s="109">
        <f t="shared" si="0"/>
        <v>0</v>
      </c>
      <c r="G41" s="67"/>
    </row>
    <row r="42" spans="1:10" x14ac:dyDescent="0.2">
      <c r="A42" s="138"/>
      <c r="B42" s="143" t="s">
        <v>68</v>
      </c>
      <c r="C42" s="19" t="s">
        <v>541</v>
      </c>
      <c r="D42" s="108">
        <v>47453</v>
      </c>
      <c r="E42" s="108">
        <f>(VLOOKUP(C42,Sheet2!$A$4:$B$47,2,FALSE))+VLOOKUP(C42,Sheet3!$A$3:$C$143,2,FALSE)+VLOOKUP(C42,Sheet3!$A$3:$C$143,3,FALSE)</f>
        <v>48283.040000000001</v>
      </c>
      <c r="F42" s="108">
        <f t="shared" si="0"/>
        <v>830.04000000000087</v>
      </c>
      <c r="G42" s="66">
        <f t="shared" si="1"/>
        <v>1.7491834025246053E-2</v>
      </c>
    </row>
    <row r="43" spans="1:10" x14ac:dyDescent="0.2">
      <c r="A43" s="138"/>
      <c r="B43" s="143"/>
      <c r="C43" s="19" t="s">
        <v>542</v>
      </c>
      <c r="D43" s="108">
        <v>555677</v>
      </c>
      <c r="E43" s="108">
        <f>(VLOOKUP(C43,Sheet2!$A$4:$B$47,2,FALSE))+VLOOKUP(C43,Sheet3!$A$3:$C$143,2,FALSE)+VLOOKUP(C43,Sheet3!$A$3:$C$143,3,FALSE)</f>
        <v>647405.68000000005</v>
      </c>
      <c r="F43" s="108">
        <f t="shared" si="0"/>
        <v>91728.680000000051</v>
      </c>
      <c r="G43" s="66">
        <f t="shared" si="1"/>
        <v>0.16507553848728676</v>
      </c>
      <c r="H43" s="61"/>
    </row>
    <row r="44" spans="1:10" x14ac:dyDescent="0.2">
      <c r="A44" s="138"/>
      <c r="B44" s="143"/>
      <c r="C44" s="19" t="s">
        <v>1084</v>
      </c>
      <c r="D44" s="108">
        <v>52637</v>
      </c>
      <c r="E44" s="108">
        <f>(VLOOKUP(C44,Sheet2!$A$4:$B$47,2,FALSE))</f>
        <v>84235.382710000005</v>
      </c>
      <c r="F44" s="108">
        <f t="shared" si="0"/>
        <v>31598.382710000005</v>
      </c>
      <c r="G44" s="66">
        <f t="shared" si="1"/>
        <v>0.60030743982369827</v>
      </c>
    </row>
    <row r="45" spans="1:10" x14ac:dyDescent="0.2">
      <c r="A45" s="138"/>
      <c r="B45" s="143"/>
      <c r="C45" s="19" t="s">
        <v>544</v>
      </c>
      <c r="D45" s="108">
        <v>42767</v>
      </c>
      <c r="E45" s="108">
        <f>VLOOKUP(C45,Sheet3!$A$3:$C$143,2,FALSE)+VLOOKUP(C45,Sheet3!$A$3:$C$143,3,FALSE)</f>
        <v>341.19</v>
      </c>
      <c r="F45" s="108">
        <f t="shared" si="0"/>
        <v>-42425.81</v>
      </c>
      <c r="G45" s="66">
        <f t="shared" si="1"/>
        <v>-0.99202211985876954</v>
      </c>
    </row>
    <row r="46" spans="1:10" x14ac:dyDescent="0.2">
      <c r="A46" s="138"/>
      <c r="B46" s="143"/>
      <c r="C46" s="19" t="s">
        <v>545</v>
      </c>
      <c r="D46" s="108">
        <v>40966</v>
      </c>
      <c r="E46" s="108">
        <f>VLOOKUP(C46,Sheet2!$A$4:$B$47,2,FALSE)</f>
        <v>27717.13</v>
      </c>
      <c r="F46" s="108">
        <f t="shared" si="0"/>
        <v>-13248.869999999999</v>
      </c>
      <c r="G46" s="66">
        <f t="shared" si="1"/>
        <v>-0.3234113655226285</v>
      </c>
    </row>
    <row r="47" spans="1:10" x14ac:dyDescent="0.2">
      <c r="A47" s="138"/>
      <c r="B47" s="143"/>
      <c r="C47" s="19" t="s">
        <v>1085</v>
      </c>
      <c r="D47" s="108">
        <v>34668</v>
      </c>
      <c r="E47" s="108">
        <f>VLOOKUP(C47,Sheet2!$A$4:$B$47,2,FALSE)</f>
        <v>28548</v>
      </c>
      <c r="F47" s="108">
        <f t="shared" si="0"/>
        <v>-6120</v>
      </c>
      <c r="G47" s="66">
        <f t="shared" si="1"/>
        <v>-0.17653167185877466</v>
      </c>
      <c r="H47" s="61"/>
    </row>
    <row r="48" spans="1:10" x14ac:dyDescent="0.2">
      <c r="A48" s="138"/>
      <c r="B48" s="143"/>
      <c r="C48" s="25" t="s">
        <v>546</v>
      </c>
      <c r="D48" s="112">
        <f>SUM(D42:D47)</f>
        <v>774168</v>
      </c>
      <c r="E48" s="112">
        <f>SUM(E42:E47)</f>
        <v>836530.42271000007</v>
      </c>
      <c r="F48" s="112">
        <f t="shared" si="0"/>
        <v>62362.422710000072</v>
      </c>
      <c r="G48" s="69">
        <f t="shared" si="1"/>
        <v>8.0554120953074876E-2</v>
      </c>
    </row>
    <row r="49" spans="1:8" x14ac:dyDescent="0.2">
      <c r="A49" s="138"/>
      <c r="B49" s="155" t="s">
        <v>70</v>
      </c>
      <c r="C49" s="57" t="s">
        <v>1086</v>
      </c>
      <c r="D49" s="110">
        <v>1000</v>
      </c>
      <c r="E49" s="110">
        <f>VLOOKUP(C49,Sheet2!$A$4:$B$47,2,FALSE)</f>
        <v>1000</v>
      </c>
      <c r="F49" s="110">
        <f t="shared" si="0"/>
        <v>0</v>
      </c>
      <c r="G49" s="71">
        <f t="shared" si="1"/>
        <v>0</v>
      </c>
      <c r="H49" s="61"/>
    </row>
    <row r="50" spans="1:8" x14ac:dyDescent="0.2">
      <c r="A50" s="138"/>
      <c r="B50" s="156"/>
      <c r="C50" s="56" t="s">
        <v>2007</v>
      </c>
      <c r="D50" s="112">
        <f>D49</f>
        <v>1000</v>
      </c>
      <c r="E50" s="112">
        <f>E49</f>
        <v>1000</v>
      </c>
      <c r="F50" s="112">
        <f t="shared" si="0"/>
        <v>0</v>
      </c>
      <c r="G50" s="69">
        <f t="shared" si="1"/>
        <v>0</v>
      </c>
    </row>
    <row r="51" spans="1:8" x14ac:dyDescent="0.2">
      <c r="A51" s="138"/>
      <c r="B51" s="143" t="s">
        <v>69</v>
      </c>
      <c r="C51" s="19" t="s">
        <v>547</v>
      </c>
      <c r="D51" s="108">
        <v>17887</v>
      </c>
      <c r="E51" s="108">
        <f>(VLOOKUP(C51,Sheet2!$A$4:$B$47,2,FALSE))+VLOOKUP(C51,Sheet3!$A$3:$C$143,2,FALSE)+VLOOKUP(C51,Sheet3!$A$3:$C$143,3,FALSE)</f>
        <v>19133.917831999999</v>
      </c>
      <c r="F51" s="108">
        <f t="shared" si="0"/>
        <v>1246.9178319999992</v>
      </c>
      <c r="G51" s="66">
        <f t="shared" si="1"/>
        <v>6.9710842064068829E-2</v>
      </c>
      <c r="H51" s="61"/>
    </row>
    <row r="52" spans="1:8" x14ac:dyDescent="0.2">
      <c r="A52" s="138"/>
      <c r="B52" s="143"/>
      <c r="C52" s="25" t="s">
        <v>548</v>
      </c>
      <c r="D52" s="112">
        <f>SUM(D51:D51)</f>
        <v>17887</v>
      </c>
      <c r="E52" s="112">
        <f>SUM(E51:E51)</f>
        <v>19133.917831999999</v>
      </c>
      <c r="F52" s="112">
        <f t="shared" si="0"/>
        <v>1246.9178319999992</v>
      </c>
      <c r="G52" s="69">
        <f t="shared" si="1"/>
        <v>6.9710842064068829E-2</v>
      </c>
      <c r="H52" s="21"/>
    </row>
    <row r="53" spans="1:8" x14ac:dyDescent="0.2">
      <c r="A53" s="138"/>
      <c r="B53" s="146" t="s">
        <v>71</v>
      </c>
      <c r="C53" s="19" t="s">
        <v>834</v>
      </c>
      <c r="D53" s="108">
        <v>582316</v>
      </c>
      <c r="E53" s="108">
        <f>(VLOOKUP(C53,Sheet2!$A$4:$B$47,2,FALSE))</f>
        <v>496305</v>
      </c>
      <c r="F53" s="108">
        <f t="shared" si="0"/>
        <v>-86011</v>
      </c>
      <c r="G53" s="66">
        <f t="shared" si="1"/>
        <v>-0.14770502613701153</v>
      </c>
    </row>
    <row r="54" spans="1:8" x14ac:dyDescent="0.2">
      <c r="A54" s="138"/>
      <c r="B54" s="147"/>
      <c r="C54" s="19" t="s">
        <v>549</v>
      </c>
      <c r="D54" s="108">
        <v>63536</v>
      </c>
      <c r="E54" s="108">
        <f>(VLOOKUP(C54,Sheet2!$A$4:$B$47,2,FALSE))+VLOOKUP(C54,Sheet3!$A$3:$C$143,2,FALSE)+VLOOKUP(C54,Sheet3!$A$3:$C$143,3,FALSE)</f>
        <v>64529.56</v>
      </c>
      <c r="F54" s="108">
        <f t="shared" si="0"/>
        <v>993.55999999999767</v>
      </c>
      <c r="G54" s="66">
        <f t="shared" si="1"/>
        <v>1.5637748677914846E-2</v>
      </c>
    </row>
    <row r="55" spans="1:8" x14ac:dyDescent="0.2">
      <c r="A55" s="138"/>
      <c r="B55" s="147"/>
      <c r="C55" s="19" t="s">
        <v>1088</v>
      </c>
      <c r="D55" s="108">
        <v>175870</v>
      </c>
      <c r="E55" s="108">
        <f>(VLOOKUP(C55,Sheet2!$A$4:$B$47,2,FALSE))+VLOOKUP(C55,Sheet3!$A$3:$C$143,2,FALSE)+VLOOKUP(C55,Sheet3!$A$3:$C$143,3,FALSE)</f>
        <v>230439.72</v>
      </c>
      <c r="F55" s="108">
        <f t="shared" si="0"/>
        <v>54569.72</v>
      </c>
      <c r="G55" s="66">
        <f t="shared" si="1"/>
        <v>0.31028441462443851</v>
      </c>
      <c r="H55" s="61"/>
    </row>
    <row r="56" spans="1:8" x14ac:dyDescent="0.2">
      <c r="A56" s="138"/>
      <c r="B56" s="148"/>
      <c r="C56" s="25" t="s">
        <v>550</v>
      </c>
      <c r="D56" s="112">
        <f>SUM(D53:D55)</f>
        <v>821722</v>
      </c>
      <c r="E56" s="112">
        <f>SUM(E53:E55)</f>
        <v>791274.28</v>
      </c>
      <c r="F56" s="112">
        <f t="shared" si="0"/>
        <v>-30447.719999999972</v>
      </c>
      <c r="G56" s="69">
        <f t="shared" si="1"/>
        <v>-3.7053553391536279E-2</v>
      </c>
    </row>
    <row r="57" spans="1:8" x14ac:dyDescent="0.2">
      <c r="A57" s="138"/>
      <c r="B57" s="146" t="s">
        <v>72</v>
      </c>
      <c r="C57" s="19" t="s">
        <v>551</v>
      </c>
      <c r="D57" s="108">
        <v>1500</v>
      </c>
      <c r="E57" s="108">
        <f>VLOOKUP(C57,Sheet2!$A$4:$B$47,2,FALSE)</f>
        <v>2446.4</v>
      </c>
      <c r="F57" s="108">
        <f t="shared" si="0"/>
        <v>946.40000000000009</v>
      </c>
      <c r="G57" s="66">
        <f t="shared" si="1"/>
        <v>0.63093333333333335</v>
      </c>
    </row>
    <row r="58" spans="1:8" x14ac:dyDescent="0.2">
      <c r="A58" s="138"/>
      <c r="B58" s="147"/>
      <c r="C58" s="19" t="s">
        <v>1089</v>
      </c>
      <c r="D58" s="108">
        <v>11500</v>
      </c>
      <c r="E58" s="108">
        <f>VLOOKUP(C58,Sheet2!$A$4:$B$47,2,FALSE)</f>
        <v>9500</v>
      </c>
      <c r="F58" s="108">
        <f t="shared" si="0"/>
        <v>-2000</v>
      </c>
      <c r="G58" s="66">
        <f t="shared" si="1"/>
        <v>-0.17391304347826086</v>
      </c>
    </row>
    <row r="59" spans="1:8" x14ac:dyDescent="0.2">
      <c r="A59" s="138"/>
      <c r="B59" s="148"/>
      <c r="C59" s="25" t="s">
        <v>552</v>
      </c>
      <c r="D59" s="112">
        <f>D57+D58</f>
        <v>13000</v>
      </c>
      <c r="E59" s="112">
        <f>E57+E58</f>
        <v>11946.4</v>
      </c>
      <c r="F59" s="112">
        <f t="shared" si="0"/>
        <v>-1053.6000000000004</v>
      </c>
      <c r="G59" s="69">
        <f t="shared" si="1"/>
        <v>-8.1046153846153879E-2</v>
      </c>
    </row>
    <row r="60" spans="1:8" x14ac:dyDescent="0.2">
      <c r="A60" s="138"/>
      <c r="B60" s="143" t="s">
        <v>73</v>
      </c>
      <c r="C60" s="19" t="s">
        <v>553</v>
      </c>
      <c r="D60" s="108">
        <v>0</v>
      </c>
      <c r="E60" s="110">
        <f>VLOOKUP(C60,Sheet2!$A$4:$B$47,2,FALSE)</f>
        <v>268000</v>
      </c>
      <c r="F60" s="108">
        <f t="shared" si="0"/>
        <v>268000</v>
      </c>
      <c r="G60" s="66">
        <v>1</v>
      </c>
    </row>
    <row r="61" spans="1:8" x14ac:dyDescent="0.2">
      <c r="A61" s="138"/>
      <c r="B61" s="143"/>
      <c r="C61" s="19" t="s">
        <v>554</v>
      </c>
      <c r="D61" s="108">
        <v>83000</v>
      </c>
      <c r="E61" s="108">
        <f>VLOOKUP(C61,Sheet2!$A$4:$B$47,2,FALSE)</f>
        <v>753000</v>
      </c>
      <c r="F61" s="108">
        <f t="shared" si="0"/>
        <v>670000</v>
      </c>
      <c r="G61" s="66">
        <f t="shared" si="1"/>
        <v>8.0722891566265051</v>
      </c>
    </row>
    <row r="62" spans="1:8" x14ac:dyDescent="0.2">
      <c r="A62" s="138"/>
      <c r="B62" s="143"/>
      <c r="C62" s="19" t="s">
        <v>555</v>
      </c>
      <c r="D62" s="108">
        <f>803120+27</f>
        <v>803147</v>
      </c>
      <c r="E62" s="108">
        <f>(VLOOKUP(C62,Sheet2!$A$4:$B$47,2,FALSE))+VLOOKUP(C62,Sheet3!$A$3:$C$143,2,FALSE)+VLOOKUP(C62,Sheet3!$A$3:$C$143,3,FALSE)</f>
        <v>724397.24839999992</v>
      </c>
      <c r="F62" s="108">
        <f t="shared" si="0"/>
        <v>-78749.751600000076</v>
      </c>
      <c r="G62" s="66">
        <f t="shared" si="1"/>
        <v>-9.8051479492546292E-2</v>
      </c>
      <c r="H62" s="61"/>
    </row>
    <row r="63" spans="1:8" x14ac:dyDescent="0.2">
      <c r="A63" s="138"/>
      <c r="B63" s="143"/>
      <c r="C63" s="120" t="s">
        <v>2199</v>
      </c>
      <c r="D63" s="136">
        <v>155166</v>
      </c>
      <c r="E63" s="136">
        <f>VLOOKUP(C63,'Lisa 1 Investeeringud'!$A$4:$B$54,2,FALSE)+VLOOKUP(C63,'Lisa2 Majandamiskulu, Toetused'!$A$7:$B$204,2,FALSE)+VLOOKUP(C63,'Lisa 3 Personalikulud'!$A$4:$B$125,2,FALSE)</f>
        <v>183989.36800000002</v>
      </c>
      <c r="F63" s="108">
        <f t="shared" si="0"/>
        <v>28823.368000000017</v>
      </c>
      <c r="G63" s="66">
        <f t="shared" si="1"/>
        <v>0.18575827178634505</v>
      </c>
      <c r="H63" s="61"/>
    </row>
    <row r="64" spans="1:8" x14ac:dyDescent="0.2">
      <c r="A64" s="138"/>
      <c r="B64" s="143"/>
      <c r="C64" s="120" t="s">
        <v>2219</v>
      </c>
      <c r="D64" s="136">
        <v>214347</v>
      </c>
      <c r="E64" s="136">
        <f>VLOOKUP(C64,'Lisa2 Majandamiskulu, Toetused'!$A$7:$B$204,2,FALSE)+VLOOKUP(C64,'Lisa 3 Personalikulud'!$A$4:$B$125,2,FALSE)</f>
        <v>198174.97639999999</v>
      </c>
      <c r="F64" s="108">
        <f t="shared" si="0"/>
        <v>-16172.023600000015</v>
      </c>
      <c r="G64" s="66">
        <f t="shared" si="1"/>
        <v>-7.5447865377168868E-2</v>
      </c>
      <c r="H64" s="61"/>
    </row>
    <row r="65" spans="1:10" x14ac:dyDescent="0.2">
      <c r="A65" s="138"/>
      <c r="B65" s="143"/>
      <c r="C65" s="120" t="s">
        <v>2198</v>
      </c>
      <c r="D65" s="136">
        <v>364852</v>
      </c>
      <c r="E65" s="136">
        <f>VLOOKUP(C65,'Lisa2 Majandamiskulu, Toetused'!$A$7:$B$204,2,FALSE)+VLOOKUP(C65,'Lisa 3 Personalikulud'!$A$4:$B$125,2,FALSE)</f>
        <v>252151.31200000001</v>
      </c>
      <c r="F65" s="108">
        <f t="shared" si="0"/>
        <v>-112700.68799999999</v>
      </c>
      <c r="G65" s="66">
        <f t="shared" si="1"/>
        <v>-0.30889425849385505</v>
      </c>
      <c r="H65" s="61"/>
    </row>
    <row r="66" spans="1:10" x14ac:dyDescent="0.2">
      <c r="A66" s="138"/>
      <c r="B66" s="143"/>
      <c r="C66" s="120" t="s">
        <v>263</v>
      </c>
      <c r="D66" s="136">
        <v>27222</v>
      </c>
      <c r="E66" s="136">
        <f>VLOOKUP(C66,'Lisa2 Majandamiskulu, Toetused'!$A$7:$B$204,2,FALSE)+VLOOKUP(C66,'Lisa 3 Personalikulud'!$A$4:$B$125,2,FALSE)</f>
        <v>46712.36</v>
      </c>
      <c r="F66" s="108">
        <f t="shared" si="0"/>
        <v>19490.36</v>
      </c>
      <c r="G66" s="66">
        <f t="shared" si="1"/>
        <v>0.71597825288369699</v>
      </c>
      <c r="H66" s="61"/>
    </row>
    <row r="67" spans="1:10" x14ac:dyDescent="0.2">
      <c r="A67" s="138"/>
      <c r="B67" s="143"/>
      <c r="C67" s="120" t="s">
        <v>261</v>
      </c>
      <c r="D67" s="136">
        <v>34533</v>
      </c>
      <c r="E67" s="136">
        <f>VLOOKUP(C67,'Lisa2 Majandamiskulu, Toetused'!$A$7:$B$204,2,FALSE)+VLOOKUP(C67,'Lisa 3 Personalikulud'!$A$4:$B$125,2,FALSE)</f>
        <v>32869.232000000004</v>
      </c>
      <c r="F67" s="108">
        <f t="shared" si="0"/>
        <v>-1663.7679999999964</v>
      </c>
      <c r="G67" s="66">
        <f t="shared" si="1"/>
        <v>-4.8179075087597265E-2</v>
      </c>
      <c r="H67" s="61"/>
    </row>
    <row r="68" spans="1:10" x14ac:dyDescent="0.2">
      <c r="A68" s="138"/>
      <c r="B68" s="143"/>
      <c r="C68" s="120" t="s">
        <v>265</v>
      </c>
      <c r="D68" s="136">
        <v>7000</v>
      </c>
      <c r="E68" s="136">
        <f>VLOOKUP(C68,'Lisa2 Majandamiskulu, Toetused'!$A$7:$B$204,2,FALSE)</f>
        <v>10500</v>
      </c>
      <c r="F68" s="108">
        <f t="shared" si="0"/>
        <v>3500</v>
      </c>
      <c r="G68" s="66">
        <f t="shared" si="1"/>
        <v>0.5</v>
      </c>
      <c r="H68" s="61"/>
    </row>
    <row r="69" spans="1:10" x14ac:dyDescent="0.2">
      <c r="A69" s="138"/>
      <c r="B69" s="143"/>
      <c r="C69" s="25" t="s">
        <v>556</v>
      </c>
      <c r="D69" s="112">
        <f>SUM(D60:D62)</f>
        <v>886147</v>
      </c>
      <c r="E69" s="134">
        <f>SUM(E60:E62)</f>
        <v>1745397.2483999999</v>
      </c>
      <c r="F69" s="112">
        <f t="shared" si="0"/>
        <v>859250.24839999992</v>
      </c>
      <c r="G69" s="69">
        <f t="shared" si="1"/>
        <v>0.96964752845746804</v>
      </c>
      <c r="I69" s="133"/>
    </row>
    <row r="70" spans="1:10" x14ac:dyDescent="0.2">
      <c r="A70" s="138"/>
      <c r="B70" s="149" t="s">
        <v>90</v>
      </c>
      <c r="C70" s="19" t="s">
        <v>2016</v>
      </c>
      <c r="D70" s="108">
        <v>35640</v>
      </c>
      <c r="E70" s="108">
        <f>VLOOKUP(C70,Sheet2!$A$4:$B$47,2,FALSE)</f>
        <v>42977</v>
      </c>
      <c r="F70" s="108">
        <f t="shared" si="0"/>
        <v>7337</v>
      </c>
      <c r="G70" s="66">
        <f t="shared" si="1"/>
        <v>0.20586419753086418</v>
      </c>
      <c r="J70" s="22"/>
    </row>
    <row r="71" spans="1:10" x14ac:dyDescent="0.2">
      <c r="A71" s="138"/>
      <c r="B71" s="150"/>
      <c r="C71" s="25" t="s">
        <v>557</v>
      </c>
      <c r="D71" s="112">
        <f>D70</f>
        <v>35640</v>
      </c>
      <c r="E71" s="112">
        <f>E70</f>
        <v>42977</v>
      </c>
      <c r="F71" s="112">
        <f t="shared" si="0"/>
        <v>7337</v>
      </c>
      <c r="G71" s="69">
        <f t="shared" si="1"/>
        <v>0.20586419753086418</v>
      </c>
      <c r="H71" s="21"/>
      <c r="I71" s="21"/>
      <c r="J71" s="27"/>
    </row>
    <row r="72" spans="1:10" x14ac:dyDescent="0.2">
      <c r="A72" s="138"/>
      <c r="B72" s="151" t="s">
        <v>558</v>
      </c>
      <c r="C72" s="19" t="s">
        <v>751</v>
      </c>
      <c r="D72" s="108">
        <v>935099</v>
      </c>
      <c r="E72" s="108">
        <f>(VLOOKUP(C72,Sheet2!$A$4:$B$47,2,FALSE))+VLOOKUP(C72,Sheet3!$A$3:$C$143,2,FALSE)+VLOOKUP(C72,Sheet3!$A$3:$C$143,3,FALSE)</f>
        <v>284074.45399999997</v>
      </c>
      <c r="F72" s="108">
        <f t="shared" si="0"/>
        <v>-651024.54600000009</v>
      </c>
      <c r="G72" s="66">
        <f t="shared" si="1"/>
        <v>-0.69620922062797641</v>
      </c>
      <c r="H72" s="21"/>
      <c r="I72" s="21"/>
      <c r="J72" s="27"/>
    </row>
    <row r="73" spans="1:10" s="125" customFormat="1" x14ac:dyDescent="0.2">
      <c r="A73" s="138"/>
      <c r="B73" s="152"/>
      <c r="C73" s="120" t="s">
        <v>267</v>
      </c>
      <c r="D73" s="135">
        <v>804077</v>
      </c>
      <c r="E73" s="135">
        <f>VLOOKUP(C73,'Lisa2 Majandamiskulu, Toetused'!$A$7:$B$204,2,FALSE)</f>
        <v>120000</v>
      </c>
      <c r="F73" s="121">
        <f t="shared" si="0"/>
        <v>-684077</v>
      </c>
      <c r="G73" s="122">
        <f t="shared" si="1"/>
        <v>-0.8507605614885142</v>
      </c>
      <c r="H73" s="123"/>
      <c r="I73" s="123"/>
      <c r="J73" s="124"/>
    </row>
    <row r="74" spans="1:10" s="125" customFormat="1" x14ac:dyDescent="0.2">
      <c r="A74" s="138"/>
      <c r="B74" s="152"/>
      <c r="C74" s="120" t="s">
        <v>269</v>
      </c>
      <c r="D74" s="135">
        <v>42248</v>
      </c>
      <c r="E74" s="135">
        <f>VLOOKUP(C74,'Lisa2 Majandamiskulu, Toetused'!$A$7:$B$204,2,FALSE)+VLOOKUP(C74,'Lisa 3 Personalikulud'!$A$4:$B$125,2,FALSE)</f>
        <v>38896.654000000002</v>
      </c>
      <c r="F74" s="121">
        <f t="shared" si="0"/>
        <v>-3351.3459999999977</v>
      </c>
      <c r="G74" s="122">
        <f t="shared" si="1"/>
        <v>-7.9325553872372598E-2</v>
      </c>
      <c r="H74" s="123"/>
      <c r="I74" s="123"/>
      <c r="J74" s="124"/>
    </row>
    <row r="75" spans="1:10" s="125" customFormat="1" x14ac:dyDescent="0.2">
      <c r="A75" s="138"/>
      <c r="B75" s="152"/>
      <c r="C75" s="120" t="s">
        <v>271</v>
      </c>
      <c r="D75" s="135">
        <v>12274</v>
      </c>
      <c r="E75" s="135">
        <f>VLOOKUP(C75,'Lisa2 Majandamiskulu, Toetused'!$A$7:$B$204,2,FALSE)+VLOOKUP(C75,'Lisa 3 Personalikulud'!$A$4:$B$125,2,FALSE)</f>
        <v>12343.52</v>
      </c>
      <c r="F75" s="121">
        <f t="shared" si="0"/>
        <v>69.520000000000437</v>
      </c>
      <c r="G75" s="122">
        <f t="shared" si="1"/>
        <v>5.6640052142741112E-3</v>
      </c>
      <c r="H75" s="123"/>
      <c r="I75" s="123"/>
      <c r="J75" s="124"/>
    </row>
    <row r="76" spans="1:10" x14ac:dyDescent="0.2">
      <c r="A76" s="138"/>
      <c r="B76" s="152"/>
      <c r="C76" s="19" t="s">
        <v>559</v>
      </c>
      <c r="D76" s="108">
        <v>124386</v>
      </c>
      <c r="E76" s="108">
        <f>(VLOOKUP(C76,Sheet2!$A$4:$B$47,2,FALSE))+VLOOKUP(C76,Sheet3!$A$3:$C$143,2,FALSE)+VLOOKUP(C76,Sheet3!$A$3:$C$143,3,FALSE)</f>
        <v>139469.35542000001</v>
      </c>
      <c r="F76" s="108">
        <f t="shared" si="0"/>
        <v>15083.355420000007</v>
      </c>
      <c r="G76" s="66">
        <f t="shared" si="1"/>
        <v>0.12126248468477166</v>
      </c>
      <c r="H76" s="21"/>
      <c r="I76" s="21"/>
      <c r="J76" s="27"/>
    </row>
    <row r="77" spans="1:10" x14ac:dyDescent="0.2">
      <c r="A77" s="138"/>
      <c r="B77" s="152"/>
      <c r="C77" s="19" t="s">
        <v>771</v>
      </c>
      <c r="D77" s="108">
        <v>372975</v>
      </c>
      <c r="E77" s="108">
        <f>(VLOOKUP(C77,Sheet2!$A$4:$B$47,2,FALSE))+VLOOKUP(C77,Sheet3!$A$3:$C$143,2,FALSE)+VLOOKUP(C77,Sheet3!$A$3:$C$143,3,FALSE)</f>
        <v>335845.386</v>
      </c>
      <c r="F77" s="108">
        <f t="shared" si="0"/>
        <v>-37129.614000000001</v>
      </c>
      <c r="G77" s="66">
        <f t="shared" si="1"/>
        <v>-9.9549873315905896E-2</v>
      </c>
      <c r="H77" s="62"/>
      <c r="I77" s="21"/>
      <c r="J77" s="27"/>
    </row>
    <row r="78" spans="1:10" x14ac:dyDescent="0.2">
      <c r="A78" s="138"/>
      <c r="B78" s="152"/>
      <c r="C78" s="19" t="s">
        <v>442</v>
      </c>
      <c r="D78" s="108">
        <v>202916</v>
      </c>
      <c r="E78" s="108">
        <f>(VLOOKUP(C78,Sheet2!$A$4:$B$47,2,FALSE))+VLOOKUP(C78,Sheet3!$A$3:$C$143,2,FALSE)+VLOOKUP(C78,Sheet3!$A$3:$C$143,3,FALSE)</f>
        <v>336236.49400000006</v>
      </c>
      <c r="F78" s="108">
        <f t="shared" si="0"/>
        <v>133320.49400000006</v>
      </c>
      <c r="G78" s="66">
        <f t="shared" si="1"/>
        <v>0.65702307358710044</v>
      </c>
      <c r="H78" s="21"/>
      <c r="I78" s="21"/>
      <c r="J78" s="27"/>
    </row>
    <row r="79" spans="1:10" s="125" customFormat="1" x14ac:dyDescent="0.2">
      <c r="A79" s="138"/>
      <c r="B79" s="152"/>
      <c r="C79" s="120" t="s">
        <v>2205</v>
      </c>
      <c r="D79" s="135">
        <v>69173</v>
      </c>
      <c r="E79" s="135">
        <f>VLOOKUP(C79,'Lisa2 Majandamiskulu, Toetused'!$A$7:$B$204,2,FALSE)+VLOOKUP(C79,'Lisa 3 Personalikulud'!$A$4:$B$125,2,FALSE)</f>
        <v>69002.846000000005</v>
      </c>
      <c r="F79" s="121">
        <f t="shared" si="0"/>
        <v>-170.15399999999499</v>
      </c>
      <c r="G79" s="122">
        <f t="shared" si="1"/>
        <v>-2.4598325936419554E-3</v>
      </c>
      <c r="H79" s="123"/>
      <c r="I79" s="123"/>
      <c r="J79" s="124"/>
    </row>
    <row r="80" spans="1:10" s="125" customFormat="1" x14ac:dyDescent="0.2">
      <c r="A80" s="138"/>
      <c r="B80" s="152"/>
      <c r="C80" s="120" t="s">
        <v>2204</v>
      </c>
      <c r="D80" s="135">
        <v>19355</v>
      </c>
      <c r="E80" s="136">
        <f>VLOOKUP(C80,'Lisa 1 Investeeringud'!$A$4:$B$54,2,FALSE)+VLOOKUP(C80,'Lisa2 Majandamiskulu, Toetused'!$A$7:$B$204,2,FALSE)+VLOOKUP(C80,'Lisa 3 Personalikulud'!$A$4:$B$125,2,FALSE)</f>
        <v>149755.03200000001</v>
      </c>
      <c r="F80" s="121">
        <f t="shared" si="0"/>
        <v>130400.03200000001</v>
      </c>
      <c r="G80" s="122">
        <f t="shared" si="1"/>
        <v>6.7372788426763117</v>
      </c>
      <c r="H80" s="123"/>
      <c r="I80" s="123"/>
      <c r="J80" s="124"/>
    </row>
    <row r="81" spans="1:10" s="125" customFormat="1" x14ac:dyDescent="0.2">
      <c r="A81" s="138"/>
      <c r="B81" s="152"/>
      <c r="C81" s="120" t="s">
        <v>2203</v>
      </c>
      <c r="D81" s="135">
        <v>18840</v>
      </c>
      <c r="E81" s="135">
        <f>VLOOKUP(C81,'Lisa2 Majandamiskulu, Toetused'!$A$7:$B$204,2,FALSE)+VLOOKUP(C81,'Lisa 3 Personalikulud'!$A$4:$B$125,2,FALSE)</f>
        <v>19434.671999999999</v>
      </c>
      <c r="F81" s="121">
        <f t="shared" si="0"/>
        <v>594.67199999999866</v>
      </c>
      <c r="G81" s="122">
        <f t="shared" si="1"/>
        <v>3.1564331210191011E-2</v>
      </c>
      <c r="H81" s="123"/>
      <c r="I81" s="123"/>
      <c r="J81" s="124"/>
    </row>
    <row r="82" spans="1:10" s="125" customFormat="1" x14ac:dyDescent="0.2">
      <c r="A82" s="138"/>
      <c r="B82" s="152"/>
      <c r="C82" s="120" t="s">
        <v>2201</v>
      </c>
      <c r="D82" s="135">
        <v>12519</v>
      </c>
      <c r="E82" s="135">
        <f>VLOOKUP(C82,'Lisa2 Majandamiskulu, Toetused'!$A$7:$B$204,2,FALSE)+VLOOKUP(C82,'Lisa 3 Personalikulud'!$A$4:$B$125,2,FALSE)</f>
        <v>13654.096</v>
      </c>
      <c r="F82" s="121">
        <f t="shared" si="0"/>
        <v>1135.0959999999995</v>
      </c>
      <c r="G82" s="122">
        <f t="shared" si="1"/>
        <v>9.0669861810048685E-2</v>
      </c>
      <c r="H82" s="123"/>
      <c r="I82" s="123"/>
      <c r="J82" s="124"/>
    </row>
    <row r="83" spans="1:10" s="125" customFormat="1" x14ac:dyDescent="0.2">
      <c r="A83" s="138"/>
      <c r="B83" s="152"/>
      <c r="C83" s="120" t="s">
        <v>2202</v>
      </c>
      <c r="D83" s="135">
        <v>23382</v>
      </c>
      <c r="E83" s="135">
        <f>VLOOKUP(C83,'Lisa2 Majandamiskulu, Toetused'!$A$7:$B$204,2,FALSE)+VLOOKUP(C83,'Lisa 3 Personalikulud'!$A$4:$B$125,2,FALSE)</f>
        <v>27743.536</v>
      </c>
      <c r="F83" s="121">
        <f t="shared" si="0"/>
        <v>4361.5360000000001</v>
      </c>
      <c r="G83" s="122">
        <f t="shared" si="1"/>
        <v>0.18653391497733299</v>
      </c>
      <c r="H83" s="123"/>
      <c r="I83" s="123"/>
      <c r="J83" s="124"/>
    </row>
    <row r="84" spans="1:10" s="125" customFormat="1" x14ac:dyDescent="0.2">
      <c r="A84" s="138"/>
      <c r="B84" s="152"/>
      <c r="C84" s="120" t="s">
        <v>2200</v>
      </c>
      <c r="D84" s="135">
        <v>59647</v>
      </c>
      <c r="E84" s="135">
        <f>VLOOKUP(C84,'Lisa2 Majandamiskulu, Toetused'!$A$7:$B$204,2,FALSE)+VLOOKUP(C84,'Lisa 3 Personalikulud'!$A$4:$B$125,2,FALSE)</f>
        <v>56646.312000000005</v>
      </c>
      <c r="F84" s="121">
        <f t="shared" si="0"/>
        <v>-3000.6879999999946</v>
      </c>
      <c r="G84" s="122">
        <f t="shared" si="1"/>
        <v>-5.0307442117792929E-2</v>
      </c>
      <c r="H84" s="123"/>
      <c r="I84" s="123"/>
      <c r="J84" s="124"/>
    </row>
    <row r="85" spans="1:10" x14ac:dyDescent="0.2">
      <c r="A85" s="138"/>
      <c r="B85" s="152"/>
      <c r="C85" s="19" t="s">
        <v>560</v>
      </c>
      <c r="D85" s="108">
        <v>389933</v>
      </c>
      <c r="E85" s="108">
        <f>(VLOOKUP(C85,Sheet2!$A$4:$B$47,2,FALSE))+VLOOKUP(C85,Sheet3!$A$3:$C$143,2,FALSE)+VLOOKUP(C85,Sheet3!$A$3:$C$143,3,FALSE)</f>
        <v>485199.93718000001</v>
      </c>
      <c r="F85" s="108">
        <f t="shared" si="0"/>
        <v>95266.937180000008</v>
      </c>
      <c r="G85" s="66">
        <f t="shared" si="1"/>
        <v>0.2443161701625664</v>
      </c>
      <c r="H85" s="62"/>
      <c r="I85" s="21"/>
      <c r="J85" s="27"/>
    </row>
    <row r="86" spans="1:10" s="131" customFormat="1" x14ac:dyDescent="0.2">
      <c r="A86" s="138"/>
      <c r="B86" s="152"/>
      <c r="C86" s="127" t="s">
        <v>300</v>
      </c>
      <c r="D86" s="135">
        <v>30832</v>
      </c>
      <c r="E86" s="135">
        <f>VLOOKUP(C86,'Lisa2 Majandamiskulu, Toetused'!$A$7:$B$204,2,FALSE)+VLOOKUP(C86,'Lisa 3 Personalikulud'!$A$4:$B$125,2,FALSE)</f>
        <v>14734.103999999999</v>
      </c>
      <c r="F86" s="121">
        <f t="shared" si="0"/>
        <v>-16097.896000000001</v>
      </c>
      <c r="G86" s="122">
        <f t="shared" si="1"/>
        <v>-0.5221165023352361</v>
      </c>
      <c r="H86" s="128"/>
      <c r="I86" s="129"/>
      <c r="J86" s="130"/>
    </row>
    <row r="87" spans="1:10" s="131" customFormat="1" x14ac:dyDescent="0.2">
      <c r="A87" s="138"/>
      <c r="B87" s="152"/>
      <c r="C87" s="127" t="s">
        <v>302</v>
      </c>
      <c r="D87" s="135">
        <v>62884</v>
      </c>
      <c r="E87" s="136">
        <f>VLOOKUP(C87,'Lisa 1 Investeeringud'!$A$4:$B$54,2,FALSE)+VLOOKUP(C87,'Lisa2 Majandamiskulu, Toetused'!$A$7:$B$204,2,FALSE)+VLOOKUP(C87,'Lisa 3 Personalikulud'!$A$4:$B$125,2,FALSE)</f>
        <v>117954.326</v>
      </c>
      <c r="F87" s="121">
        <f t="shared" si="0"/>
        <v>55070.326000000001</v>
      </c>
      <c r="G87" s="122">
        <f t="shared" si="1"/>
        <v>0.87574464092614979</v>
      </c>
      <c r="H87" s="128"/>
      <c r="I87" s="129"/>
      <c r="J87" s="130"/>
    </row>
    <row r="88" spans="1:10" s="131" customFormat="1" x14ac:dyDescent="0.2">
      <c r="A88" s="138"/>
      <c r="B88" s="152"/>
      <c r="C88" s="127" t="s">
        <v>304</v>
      </c>
      <c r="D88" s="135">
        <v>106995</v>
      </c>
      <c r="E88" s="135">
        <f>VLOOKUP(C88,'Lisa2 Majandamiskulu, Toetused'!$A$7:$B$204,2,FALSE)+VLOOKUP(C88,'Lisa 3 Personalikulud'!$A$4:$B$125,2,FALSE)</f>
        <v>70924.63</v>
      </c>
      <c r="F88" s="121">
        <f t="shared" si="0"/>
        <v>-36070.369999999995</v>
      </c>
      <c r="G88" s="122">
        <f t="shared" si="1"/>
        <v>-0.33712201504743206</v>
      </c>
      <c r="H88" s="128"/>
      <c r="I88" s="129"/>
      <c r="J88" s="130"/>
    </row>
    <row r="89" spans="1:10" s="131" customFormat="1" x14ac:dyDescent="0.2">
      <c r="A89" s="138"/>
      <c r="B89" s="152"/>
      <c r="C89" s="127" t="s">
        <v>1820</v>
      </c>
      <c r="D89" s="135">
        <v>7101</v>
      </c>
      <c r="E89" s="135">
        <f>VLOOKUP(C89,'Lisa 3 Personalikulud'!$A$4:$B$125,2,FALSE)</f>
        <v>5009.4719999999998</v>
      </c>
      <c r="F89" s="121">
        <f t="shared" si="0"/>
        <v>-2091.5280000000002</v>
      </c>
      <c r="G89" s="122">
        <f t="shared" si="1"/>
        <v>-0.29453992395437267</v>
      </c>
      <c r="H89" s="128"/>
      <c r="I89" s="129"/>
      <c r="J89" s="130"/>
    </row>
    <row r="90" spans="1:10" s="131" customFormat="1" x14ac:dyDescent="0.2">
      <c r="A90" s="138"/>
      <c r="B90" s="152"/>
      <c r="C90" s="127" t="s">
        <v>2206</v>
      </c>
      <c r="D90" s="135">
        <v>100740</v>
      </c>
      <c r="E90" s="136">
        <f>VLOOKUP(C90,'Lisa 1 Investeeringud'!$A$4:$B$54,2,FALSE)+VLOOKUP(C90,'Lisa2 Majandamiskulu, Toetused'!$A$7:$B$204,2,FALSE)+VLOOKUP(C90,'Lisa 3 Personalikulud'!$A$4:$B$125,2,FALSE)</f>
        <v>204391.00518000001</v>
      </c>
      <c r="F90" s="121">
        <f t="shared" si="0"/>
        <v>103651.00518000001</v>
      </c>
      <c r="G90" s="122">
        <f t="shared" si="1"/>
        <v>1.0288962197736748</v>
      </c>
      <c r="H90" s="128"/>
      <c r="I90" s="129"/>
      <c r="J90" s="130"/>
    </row>
    <row r="91" spans="1:10" s="131" customFormat="1" x14ac:dyDescent="0.2">
      <c r="A91" s="138"/>
      <c r="B91" s="152"/>
      <c r="C91" s="127" t="s">
        <v>2207</v>
      </c>
      <c r="D91" s="135">
        <v>24398</v>
      </c>
      <c r="E91" s="135">
        <f>VLOOKUP(C91,'Lisa2 Majandamiskulu, Toetused'!$A$7:$B$204,2,FALSE)+VLOOKUP(C91,'Lisa 3 Personalikulud'!$A$4:$B$125,2,FALSE)</f>
        <v>24398.34</v>
      </c>
      <c r="F91" s="121">
        <f t="shared" si="0"/>
        <v>0.34000000000014552</v>
      </c>
      <c r="G91" s="122">
        <f t="shared" si="1"/>
        <v>1.3935568489226393E-5</v>
      </c>
      <c r="H91" s="128"/>
      <c r="I91" s="129"/>
      <c r="J91" s="130"/>
    </row>
    <row r="92" spans="1:10" s="131" customFormat="1" x14ac:dyDescent="0.2">
      <c r="A92" s="138"/>
      <c r="B92" s="152"/>
      <c r="C92" s="127" t="s">
        <v>2208</v>
      </c>
      <c r="D92" s="135">
        <v>56983</v>
      </c>
      <c r="E92" s="135">
        <f>VLOOKUP(C92,'Lisa2 Majandamiskulu, Toetused'!$A$7:$B$204,2,FALSE)+VLOOKUP(C92,'Lisa 3 Personalikulud'!$A$4:$B$125,2,FALSE)</f>
        <v>47788.06</v>
      </c>
      <c r="F92" s="121">
        <f t="shared" si="0"/>
        <v>-9194.9400000000023</v>
      </c>
      <c r="G92" s="122">
        <f t="shared" si="1"/>
        <v>-0.16136286260814633</v>
      </c>
      <c r="H92" s="128"/>
      <c r="I92" s="129"/>
      <c r="J92" s="130"/>
    </row>
    <row r="93" spans="1:10" x14ac:dyDescent="0.2">
      <c r="A93" s="138"/>
      <c r="B93" s="152"/>
      <c r="C93" s="59" t="s">
        <v>2052</v>
      </c>
      <c r="D93" s="108">
        <v>0</v>
      </c>
      <c r="E93" s="108">
        <f>(VLOOKUP(C93,Sheet2!$A$4:$B$47,2,FALSE))+VLOOKUP(C93,Sheet3!$A$3:$C$143,2,FALSE)+VLOOKUP(C93,Sheet3!$A$3:$C$143,3,FALSE)</f>
        <v>58652.356255999999</v>
      </c>
      <c r="F93" s="108">
        <f t="shared" si="0"/>
        <v>58652.356255999999</v>
      </c>
      <c r="G93" s="66">
        <v>1</v>
      </c>
      <c r="H93" s="62"/>
      <c r="I93" s="21"/>
      <c r="J93" s="27"/>
    </row>
    <row r="94" spans="1:10" s="125" customFormat="1" x14ac:dyDescent="0.2">
      <c r="A94" s="138"/>
      <c r="B94" s="152"/>
      <c r="C94" s="120" t="s">
        <v>2053</v>
      </c>
      <c r="D94" s="121"/>
      <c r="E94" s="121">
        <f>VLOOKUP(C94,'Lisa2 Majandamiskulu, Toetused'!$A$7:$B$204,2,FALSE)+VLOOKUP(C94,'Lisa 3 Personalikulud'!$A$4:$B$125,2,FALSE)</f>
        <v>58652.356255999999</v>
      </c>
      <c r="F94" s="121">
        <f t="shared" si="0"/>
        <v>58652.356255999999</v>
      </c>
      <c r="G94" s="122">
        <v>1</v>
      </c>
      <c r="H94" s="126"/>
      <c r="I94" s="123"/>
      <c r="J94" s="124"/>
    </row>
    <row r="95" spans="1:10" x14ac:dyDescent="0.2">
      <c r="A95" s="138"/>
      <c r="B95" s="152"/>
      <c r="C95" s="19" t="s">
        <v>561</v>
      </c>
      <c r="D95" s="108">
        <v>18000</v>
      </c>
      <c r="E95" s="108">
        <f>VLOOKUP(C95,Sheet2!$A$4:$B$47,2,FALSE)</f>
        <v>14000</v>
      </c>
      <c r="F95" s="108">
        <f t="shared" si="0"/>
        <v>-4000</v>
      </c>
      <c r="G95" s="66">
        <f t="shared" si="1"/>
        <v>-0.22222222222222221</v>
      </c>
      <c r="H95" s="21"/>
      <c r="I95" s="21"/>
      <c r="J95" s="27"/>
    </row>
    <row r="96" spans="1:10" x14ac:dyDescent="0.2">
      <c r="A96" s="138"/>
      <c r="B96" s="152"/>
      <c r="C96" s="19" t="s">
        <v>625</v>
      </c>
      <c r="D96" s="108">
        <v>34666</v>
      </c>
      <c r="E96" s="108">
        <f>(VLOOKUP(C96,Sheet2!$A$4:$B$47,2,FALSE))+VLOOKUP(C96,Sheet3!$A$3:$C$143,2,FALSE)+VLOOKUP(C96,Sheet3!$A$3:$C$143,3,FALSE)</f>
        <v>47167.360000000001</v>
      </c>
      <c r="F96" s="108">
        <f t="shared" ref="F96:F141" si="2">E96-D96</f>
        <v>12501.36</v>
      </c>
      <c r="G96" s="66">
        <f t="shared" ref="G96:G137" si="3">(E96-D96)/D96</f>
        <v>0.36062308890555589</v>
      </c>
      <c r="H96" s="62"/>
      <c r="I96" s="62"/>
      <c r="J96" s="27"/>
    </row>
    <row r="97" spans="1:10" x14ac:dyDescent="0.2">
      <c r="A97" s="138"/>
      <c r="B97" s="153"/>
      <c r="C97" s="25" t="s">
        <v>562</v>
      </c>
      <c r="D97" s="112">
        <f>D72+D76+D77+D78+D85+D93+D95+D96</f>
        <v>2077975</v>
      </c>
      <c r="E97" s="112">
        <f>E72+E76+E77+E78+E85+E93+E95+E96</f>
        <v>1700645.3428560002</v>
      </c>
      <c r="F97" s="112">
        <f t="shared" si="2"/>
        <v>-377329.65714399982</v>
      </c>
      <c r="G97" s="69">
        <f t="shared" si="3"/>
        <v>-0.18158527275063455</v>
      </c>
      <c r="H97" s="21"/>
      <c r="I97" s="21"/>
      <c r="J97" s="27"/>
    </row>
    <row r="98" spans="1:10" x14ac:dyDescent="0.2">
      <c r="A98" s="138"/>
      <c r="B98" s="149" t="s">
        <v>74</v>
      </c>
      <c r="C98" s="19" t="s">
        <v>563</v>
      </c>
      <c r="D98" s="110">
        <v>1471635</v>
      </c>
      <c r="E98" s="108">
        <f>(VLOOKUP(C98,Sheet2!$A$4:$B$47,2,FALSE))+VLOOKUP(C98,Sheet3!$A$3:$C$143,2,FALSE)+VLOOKUP(C98,Sheet3!$A$3:$C$143,3,FALSE)</f>
        <v>1639251.609502672</v>
      </c>
      <c r="F98" s="108">
        <f t="shared" si="2"/>
        <v>167616.60950267198</v>
      </c>
      <c r="G98" s="66">
        <f t="shared" si="3"/>
        <v>0.11389822170760548</v>
      </c>
      <c r="I98" s="21"/>
      <c r="J98" s="27"/>
    </row>
    <row r="99" spans="1:10" s="131" customFormat="1" x14ac:dyDescent="0.2">
      <c r="A99" s="138"/>
      <c r="B99" s="154"/>
      <c r="C99" s="127" t="s">
        <v>310</v>
      </c>
      <c r="D99" s="137">
        <v>537841</v>
      </c>
      <c r="E99" s="135">
        <f>VLOOKUP(C99,'Lisa2 Majandamiskulu, Toetused'!$A$7:$B$204,2,FALSE)+VLOOKUP(C99,'Lisa 3 Personalikulud'!$A$4:$B$125,2,FALSE)</f>
        <v>544262.82984000002</v>
      </c>
      <c r="F99" s="121">
        <f t="shared" si="2"/>
        <v>6421.8298400000203</v>
      </c>
      <c r="G99" s="122">
        <f t="shared" si="3"/>
        <v>1.1940015432070111E-2</v>
      </c>
      <c r="I99" s="129"/>
      <c r="J99" s="130"/>
    </row>
    <row r="100" spans="1:10" s="131" customFormat="1" x14ac:dyDescent="0.2">
      <c r="A100" s="138"/>
      <c r="B100" s="154"/>
      <c r="C100" s="127" t="s">
        <v>312</v>
      </c>
      <c r="D100" s="137">
        <v>296334</v>
      </c>
      <c r="E100" s="136">
        <f>VLOOKUP(C100,'Lisa 1 Investeeringud'!$A$4:$B$54,2,FALSE)+VLOOKUP(C100,'Lisa2 Majandamiskulu, Toetused'!$A$7:$B$204,2,FALSE)+VLOOKUP(C100,'Lisa 3 Personalikulud'!$A$4:$B$125,2,FALSE)</f>
        <v>333380.56513</v>
      </c>
      <c r="F100" s="121">
        <f t="shared" si="2"/>
        <v>37046.565130000003</v>
      </c>
      <c r="G100" s="122">
        <f t="shared" si="3"/>
        <v>0.12501624899606525</v>
      </c>
      <c r="I100" s="129"/>
      <c r="J100" s="130"/>
    </row>
    <row r="101" spans="1:10" s="131" customFormat="1" x14ac:dyDescent="0.2">
      <c r="A101" s="138"/>
      <c r="B101" s="154"/>
      <c r="C101" s="127" t="s">
        <v>314</v>
      </c>
      <c r="D101" s="137">
        <v>262266</v>
      </c>
      <c r="E101" s="136">
        <f>VLOOKUP(C101,'Lisa 1 Investeeringud'!$A$4:$B$54,2,FALSE)+VLOOKUP(C101,'Lisa2 Majandamiskulu, Toetused'!$A$7:$B$204,2,FALSE)+VLOOKUP(C101,'Lisa 3 Personalikulud'!$A$4:$B$125,2,FALSE)</f>
        <v>192815.90400000001</v>
      </c>
      <c r="F101" s="121">
        <f t="shared" si="2"/>
        <v>-69450.09599999999</v>
      </c>
      <c r="G101" s="122">
        <f t="shared" si="3"/>
        <v>-0.26480785157054287</v>
      </c>
      <c r="I101" s="129"/>
      <c r="J101" s="130"/>
    </row>
    <row r="102" spans="1:10" s="131" customFormat="1" x14ac:dyDescent="0.2">
      <c r="A102" s="138"/>
      <c r="B102" s="154"/>
      <c r="C102" s="127" t="s">
        <v>316</v>
      </c>
      <c r="D102" s="137">
        <v>0</v>
      </c>
      <c r="E102" s="135">
        <f>VLOOKUP(C102,'Lisa2 Majandamiskulu, Toetused'!$A$7:$B$204,2,FALSE)+VLOOKUP(C102,'Lisa 3 Personalikulud'!$A$4:$B$125,2,FALSE)</f>
        <v>58902.766532672016</v>
      </c>
      <c r="F102" s="121">
        <f t="shared" si="2"/>
        <v>58902.766532672016</v>
      </c>
      <c r="G102" s="122" t="e">
        <f t="shared" si="3"/>
        <v>#DIV/0!</v>
      </c>
      <c r="I102" s="129"/>
      <c r="J102" s="130"/>
    </row>
    <row r="103" spans="1:10" s="131" customFormat="1" x14ac:dyDescent="0.2">
      <c r="A103" s="138"/>
      <c r="B103" s="154"/>
      <c r="C103" s="127" t="s">
        <v>318</v>
      </c>
      <c r="D103" s="137">
        <v>140824</v>
      </c>
      <c r="E103" s="135">
        <f>VLOOKUP(C103,'Lisa2 Majandamiskulu, Toetused'!$A$7:$B$204,2,FALSE)+VLOOKUP(C103,'Lisa 3 Personalikulud'!$A$4:$B$125,2,FALSE)</f>
        <v>148801.33740000002</v>
      </c>
      <c r="F103" s="121">
        <f t="shared" si="2"/>
        <v>7977.3374000000185</v>
      </c>
      <c r="G103" s="122">
        <f t="shared" si="3"/>
        <v>5.6647570016474594E-2</v>
      </c>
      <c r="I103" s="129"/>
      <c r="J103" s="130"/>
    </row>
    <row r="104" spans="1:10" s="131" customFormat="1" x14ac:dyDescent="0.2">
      <c r="A104" s="138"/>
      <c r="B104" s="154"/>
      <c r="C104" s="127" t="s">
        <v>320</v>
      </c>
      <c r="D104" s="137">
        <v>193066</v>
      </c>
      <c r="E104" s="135">
        <f>VLOOKUP(C104,'Lisa2 Majandamiskulu, Toetused'!$A$7:$B$204,2,FALSE)+VLOOKUP(C104,'Lisa 3 Personalikulud'!$A$4:$B$125,2,FALSE)</f>
        <v>195665.26500000001</v>
      </c>
      <c r="F104" s="121">
        <f t="shared" si="2"/>
        <v>2599.265000000014</v>
      </c>
      <c r="G104" s="122">
        <f t="shared" si="3"/>
        <v>1.3463090342162856E-2</v>
      </c>
      <c r="I104" s="129"/>
      <c r="J104" s="130"/>
    </row>
    <row r="105" spans="1:10" s="131" customFormat="1" x14ac:dyDescent="0.2">
      <c r="A105" s="138"/>
      <c r="B105" s="154"/>
      <c r="C105" s="127" t="s">
        <v>321</v>
      </c>
      <c r="D105" s="137">
        <v>0</v>
      </c>
      <c r="E105" s="135">
        <f>VLOOKUP(C105,'Lisa2 Majandamiskulu, Toetused'!$A$7:$B$204,2,FALSE)+VLOOKUP(C105,'Lisa 3 Personalikulud'!$A$4:$B$125,2,FALSE)</f>
        <v>119173.50160000002</v>
      </c>
      <c r="F105" s="121">
        <f t="shared" si="2"/>
        <v>119173.50160000002</v>
      </c>
      <c r="G105" s="122" t="e">
        <f t="shared" si="3"/>
        <v>#DIV/0!</v>
      </c>
      <c r="I105" s="129"/>
      <c r="J105" s="130"/>
    </row>
    <row r="106" spans="1:10" x14ac:dyDescent="0.2">
      <c r="A106" s="138"/>
      <c r="B106" s="154"/>
      <c r="C106" s="19" t="s">
        <v>564</v>
      </c>
      <c r="D106" s="108">
        <v>3373219</v>
      </c>
      <c r="E106" s="110">
        <f>(VLOOKUP(C106,Sheet2!$A$4:$B$47,2,FALSE))+VLOOKUP(C106,Sheet3!$A$3:$C$143,2,FALSE)+VLOOKUP(C106,Sheet3!$A$3:$C$143,3,FALSE)</f>
        <v>3828559.2711302321</v>
      </c>
      <c r="F106" s="108">
        <f t="shared" si="2"/>
        <v>455340.27113023214</v>
      </c>
      <c r="G106" s="66">
        <f t="shared" si="3"/>
        <v>0.13498686896114132</v>
      </c>
      <c r="H106" s="61"/>
    </row>
    <row r="107" spans="1:10" s="131" customFormat="1" x14ac:dyDescent="0.2">
      <c r="A107" s="138"/>
      <c r="B107" s="154"/>
      <c r="C107" s="127" t="s">
        <v>326</v>
      </c>
      <c r="D107" s="135">
        <v>598148</v>
      </c>
      <c r="E107" s="137">
        <f>VLOOKUP(C107,'Lisa 1 Investeeringud'!$A$4:$B$54,2,FALSE)+VLOOKUP(C107,'Lisa2 Majandamiskulu, Toetused'!$A$7:$B$204,2,FALSE)+VLOOKUP(C107,'Lisa 3 Personalikulud'!$A$4:$B$125,2,FALSE)</f>
        <v>593130.51162800007</v>
      </c>
      <c r="F107" s="121">
        <f t="shared" si="2"/>
        <v>-5017.4883719999343</v>
      </c>
      <c r="G107" s="122">
        <f t="shared" si="3"/>
        <v>-8.3883727304946837E-3</v>
      </c>
      <c r="H107" s="132"/>
    </row>
    <row r="108" spans="1:10" s="131" customFormat="1" x14ac:dyDescent="0.2">
      <c r="A108" s="138"/>
      <c r="B108" s="154"/>
      <c r="C108" s="127" t="s">
        <v>328</v>
      </c>
      <c r="D108" s="135">
        <v>251870</v>
      </c>
      <c r="E108" s="137">
        <f>VLOOKUP(C108,'Lisa 1 Investeeringud'!$A$4:$B$54,2,FALSE)+VLOOKUP(C108,'Lisa2 Majandamiskulu, Toetused'!$A$7:$B$204,2,FALSE)+VLOOKUP(C108,'Lisa 3 Personalikulud'!$A$4:$B$125,2,FALSE)</f>
        <v>247236.19753663201</v>
      </c>
      <c r="F108" s="121">
        <f t="shared" si="2"/>
        <v>-4633.8024633679888</v>
      </c>
      <c r="G108" s="122">
        <f t="shared" si="3"/>
        <v>-1.8397595836614083E-2</v>
      </c>
      <c r="H108" s="132"/>
    </row>
    <row r="109" spans="1:10" s="131" customFormat="1" x14ac:dyDescent="0.2">
      <c r="A109" s="138"/>
      <c r="B109" s="154"/>
      <c r="C109" s="127" t="s">
        <v>2225</v>
      </c>
      <c r="D109" s="135">
        <v>1414789</v>
      </c>
      <c r="E109" s="137">
        <f>VLOOKUP(C109,'Lisa 1 Investeeringud'!$A$4:$B$54,2,FALSE)+VLOOKUP(C109,'Lisa2 Majandamiskulu, Toetused'!$A$7:$B$204,2,FALSE)+VLOOKUP(C109,'Lisa 3 Personalikulud'!$A$4:$B$125,2,FALSE)</f>
        <v>1678425.5001079999</v>
      </c>
      <c r="F109" s="121">
        <f t="shared" si="2"/>
        <v>263636.50010799989</v>
      </c>
      <c r="G109" s="122">
        <f t="shared" si="3"/>
        <v>0.1863433346654518</v>
      </c>
      <c r="H109" s="132"/>
    </row>
    <row r="110" spans="1:10" s="131" customFormat="1" x14ac:dyDescent="0.2">
      <c r="A110" s="138"/>
      <c r="B110" s="154"/>
      <c r="C110" s="127" t="s">
        <v>333</v>
      </c>
      <c r="D110" s="135">
        <v>216324</v>
      </c>
      <c r="E110" s="137">
        <f>VLOOKUP(C110,'Lisa2 Majandamiskulu, Toetused'!$A$7:$B$204,2,FALSE)+VLOOKUP(C110,'Lisa 3 Personalikulud'!$A$4:$B$125,2,FALSE)</f>
        <v>181725.8497476</v>
      </c>
      <c r="F110" s="121">
        <f t="shared" si="2"/>
        <v>-34598.150252399995</v>
      </c>
      <c r="G110" s="122">
        <f t="shared" si="3"/>
        <v>-0.15993671646419258</v>
      </c>
      <c r="H110" s="132"/>
    </row>
    <row r="111" spans="1:10" s="131" customFormat="1" x14ac:dyDescent="0.2">
      <c r="A111" s="138"/>
      <c r="B111" s="154"/>
      <c r="C111" s="127" t="s">
        <v>2227</v>
      </c>
      <c r="D111" s="135">
        <v>806612</v>
      </c>
      <c r="E111" s="137">
        <f>VLOOKUP(C111,'Lisa 1 Investeeringud'!$A$4:$B$54,2,FALSE)+VLOOKUP(C111,'Lisa2 Majandamiskulu, Toetused'!$A$7:$B$204,2,FALSE)+VLOOKUP(C111,'Lisa 3 Personalikulud'!$A$4:$B$125,2,FALSE)</f>
        <v>1040462.21211</v>
      </c>
      <c r="F111" s="121">
        <f t="shared" si="2"/>
        <v>233850.21210999996</v>
      </c>
      <c r="G111" s="122">
        <f t="shared" si="3"/>
        <v>0.28991660440211647</v>
      </c>
      <c r="H111" s="132"/>
    </row>
    <row r="112" spans="1:10" x14ac:dyDescent="0.2">
      <c r="A112" s="138"/>
      <c r="B112" s="154"/>
      <c r="C112" s="19" t="s">
        <v>565</v>
      </c>
      <c r="D112" s="108">
        <v>212638</v>
      </c>
      <c r="E112" s="110">
        <f>(VLOOKUP(C112,Sheet2!$A$4:$B$47,2,FALSE))+VLOOKUP(C112,Sheet3!$A$3:$C$143,2,FALSE)+VLOOKUP(C112,Sheet3!$A$3:$C$143,3,FALSE)</f>
        <v>174504.40031799997</v>
      </c>
      <c r="F112" s="108">
        <f t="shared" si="2"/>
        <v>-38133.599682000029</v>
      </c>
      <c r="G112" s="66">
        <f t="shared" si="3"/>
        <v>-0.17933577103810244</v>
      </c>
      <c r="H112" s="61"/>
    </row>
    <row r="113" spans="1:8" s="131" customFormat="1" x14ac:dyDescent="0.2">
      <c r="A113" s="138"/>
      <c r="B113" s="154"/>
      <c r="C113" s="127" t="s">
        <v>2225</v>
      </c>
      <c r="D113" s="135">
        <v>154177</v>
      </c>
      <c r="E113" s="137">
        <f>VLOOKUP(C113,'Lisa 3 Personalikulud'!A90:B125,2,FALSE)</f>
        <v>110400.00031799999</v>
      </c>
      <c r="F113" s="121">
        <f t="shared" si="2"/>
        <v>-43776.999682000009</v>
      </c>
      <c r="G113" s="122">
        <f t="shared" si="3"/>
        <v>-0.28393988520985625</v>
      </c>
      <c r="H113" s="132"/>
    </row>
    <row r="114" spans="1:8" x14ac:dyDescent="0.2">
      <c r="A114" s="138"/>
      <c r="B114" s="154"/>
      <c r="C114" s="19" t="s">
        <v>566</v>
      </c>
      <c r="D114" s="108">
        <v>222841</v>
      </c>
      <c r="E114" s="108">
        <f>(VLOOKUP(C114,Sheet2!$A$4:$B$47,2,FALSE))+VLOOKUP(C114,Sheet3!$A$3:$C$143,2,FALSE)+VLOOKUP(C114,Sheet3!$A$3:$C$143,3,FALSE)</f>
        <v>226973.43660000002</v>
      </c>
      <c r="F114" s="108">
        <f t="shared" si="2"/>
        <v>4132.4366000000155</v>
      </c>
      <c r="G114" s="66">
        <f t="shared" si="3"/>
        <v>1.8544328018632188E-2</v>
      </c>
    </row>
    <row r="115" spans="1:8" x14ac:dyDescent="0.2">
      <c r="A115" s="138"/>
      <c r="B115" s="154"/>
      <c r="C115" s="19" t="s">
        <v>567</v>
      </c>
      <c r="D115" s="108">
        <v>209172</v>
      </c>
      <c r="E115" s="108">
        <f>(VLOOKUP(C115,Sheet2!$A$4:$B$47,2,FALSE))+VLOOKUP(C115,Sheet3!$A$3:$C$143,2,FALSE)+VLOOKUP(C115,Sheet3!$A$3:$C$143,3,FALSE)</f>
        <v>209236.4</v>
      </c>
      <c r="F115" s="108">
        <f t="shared" si="2"/>
        <v>64.399999999994179</v>
      </c>
      <c r="G115" s="66">
        <f t="shared" si="3"/>
        <v>3.078805958732248E-4</v>
      </c>
    </row>
    <row r="116" spans="1:8" x14ac:dyDescent="0.2">
      <c r="A116" s="138"/>
      <c r="B116" s="154"/>
      <c r="C116" s="19" t="s">
        <v>568</v>
      </c>
      <c r="D116" s="108">
        <v>43183</v>
      </c>
      <c r="E116" s="108">
        <f>(VLOOKUP(C116,Sheet2!$A$4:$B$47,2,FALSE))+VLOOKUP(C116,Sheet3!$A$3:$C$143,2,FALSE)+VLOOKUP(C116,Sheet3!$A$3:$C$143,3,FALSE)</f>
        <v>41910.400000000001</v>
      </c>
      <c r="F116" s="108">
        <f t="shared" si="2"/>
        <v>-1272.5999999999985</v>
      </c>
      <c r="G116" s="66">
        <f t="shared" si="3"/>
        <v>-2.9469930296644478E-2</v>
      </c>
    </row>
    <row r="117" spans="1:8" s="131" customFormat="1" x14ac:dyDescent="0.2">
      <c r="A117" s="138"/>
      <c r="B117" s="154"/>
      <c r="C117" s="127" t="s">
        <v>338</v>
      </c>
      <c r="D117" s="135">
        <v>43183</v>
      </c>
      <c r="E117" s="135">
        <f>VLOOKUP(C117,'Lisa2 Majandamiskulu, Toetused'!$A$7:$B$204,2,FALSE)+VLOOKUP(C117,'Lisa 3 Personalikulud'!$A$4:$B$125,2,FALSE)</f>
        <v>41910.400000000001</v>
      </c>
      <c r="F117" s="121">
        <f t="shared" si="2"/>
        <v>-1272.5999999999985</v>
      </c>
      <c r="G117" s="122">
        <f t="shared" si="3"/>
        <v>-2.9469930296644478E-2</v>
      </c>
    </row>
    <row r="118" spans="1:8" x14ac:dyDescent="0.2">
      <c r="A118" s="138"/>
      <c r="B118" s="154"/>
      <c r="C118" s="19" t="s">
        <v>1522</v>
      </c>
      <c r="D118" s="108">
        <v>240818</v>
      </c>
      <c r="E118" s="110">
        <f>(VLOOKUP(C118,Sheet2!$A$4:$B$47,2,FALSE))+VLOOKUP(C118,Sheet3!$A$3:$C$143,2,FALSE)+VLOOKUP(C118,Sheet3!$A$3:$C$143,3,FALSE)</f>
        <v>225695.76128000001</v>
      </c>
      <c r="F118" s="108">
        <f t="shared" si="2"/>
        <v>-15122.238719999994</v>
      </c>
      <c r="G118" s="66">
        <f t="shared" si="3"/>
        <v>-6.2795300683503696E-2</v>
      </c>
      <c r="H118" s="61"/>
    </row>
    <row r="119" spans="1:8" x14ac:dyDescent="0.2">
      <c r="A119" s="138"/>
      <c r="B119" s="150"/>
      <c r="C119" s="25" t="s">
        <v>569</v>
      </c>
      <c r="D119" s="112">
        <f>D98+D106+D112+D114+D115+D116+D118</f>
        <v>5773506</v>
      </c>
      <c r="E119" s="112">
        <f>E98+E106+E112+E114+E115+E116+E118</f>
        <v>6346131.2788309045</v>
      </c>
      <c r="F119" s="112">
        <f t="shared" si="2"/>
        <v>572625.27883090451</v>
      </c>
      <c r="G119" s="69">
        <f t="shared" si="3"/>
        <v>9.9181550834259891E-2</v>
      </c>
    </row>
    <row r="120" spans="1:8" x14ac:dyDescent="0.2">
      <c r="A120" s="138"/>
      <c r="B120" s="149" t="s">
        <v>75</v>
      </c>
      <c r="C120" s="60" t="s">
        <v>2015</v>
      </c>
      <c r="D120" s="110">
        <v>0</v>
      </c>
      <c r="E120" s="108">
        <f>VLOOKUP(C120,Sheet2!$A$4:$B$47,2,FALSE)</f>
        <v>8250</v>
      </c>
      <c r="F120" s="108">
        <f t="shared" si="2"/>
        <v>8250</v>
      </c>
      <c r="G120" s="66">
        <v>1</v>
      </c>
    </row>
    <row r="121" spans="1:8" x14ac:dyDescent="0.2">
      <c r="A121" s="138"/>
      <c r="B121" s="154"/>
      <c r="C121" s="60" t="s">
        <v>715</v>
      </c>
      <c r="D121" s="110">
        <v>15663</v>
      </c>
      <c r="E121" s="108">
        <f>(VLOOKUP(C121,Sheet2!$A$4:$B$47,2,FALSE))+VLOOKUP(C121,Sheet3!$A$3:$C$143,2,FALSE)+VLOOKUP(C121,Sheet3!$A$3:$C$143,3,FALSE)</f>
        <v>24917.995280000003</v>
      </c>
      <c r="F121" s="108">
        <f t="shared" si="2"/>
        <v>9254.9952800000028</v>
      </c>
      <c r="G121" s="66">
        <v>1</v>
      </c>
    </row>
    <row r="122" spans="1:8" x14ac:dyDescent="0.2">
      <c r="A122" s="138"/>
      <c r="B122" s="154"/>
      <c r="C122" s="19" t="s">
        <v>570</v>
      </c>
      <c r="D122" s="108">
        <v>247345</v>
      </c>
      <c r="E122" s="108">
        <f>(VLOOKUP(C122,Sheet2!$A$4:$B$47,2,FALSE))+VLOOKUP(C122,Sheet3!$A$3:$C$143,2,FALSE)+VLOOKUP(C122,Sheet3!$A$3:$C$143,3,FALSE)</f>
        <v>265440.99624000001</v>
      </c>
      <c r="F122" s="108">
        <f t="shared" si="2"/>
        <v>18095.996240000008</v>
      </c>
      <c r="G122" s="66">
        <f t="shared" si="3"/>
        <v>7.3160954294608782E-2</v>
      </c>
      <c r="H122" s="61"/>
    </row>
    <row r="123" spans="1:8" x14ac:dyDescent="0.2">
      <c r="A123" s="138"/>
      <c r="B123" s="154"/>
      <c r="C123" s="19" t="s">
        <v>571</v>
      </c>
      <c r="D123" s="108">
        <v>539978</v>
      </c>
      <c r="E123" s="110">
        <f>(VLOOKUP(C123,Sheet2!$A$4:$B$47,2,FALSE))+VLOOKUP(C123,Sheet3!$A$3:$C$143,2,FALSE)+VLOOKUP(C123,Sheet3!$A$3:$C$143,3,FALSE)</f>
        <v>900532.00560560008</v>
      </c>
      <c r="F123" s="108">
        <f t="shared" si="2"/>
        <v>360554.00560560008</v>
      </c>
      <c r="G123" s="66">
        <f t="shared" si="3"/>
        <v>0.66771980637285233</v>
      </c>
      <c r="H123" s="61"/>
    </row>
    <row r="124" spans="1:8" s="131" customFormat="1" x14ac:dyDescent="0.2">
      <c r="A124" s="138"/>
      <c r="B124" s="154"/>
      <c r="C124" s="127" t="s">
        <v>357</v>
      </c>
      <c r="D124" s="135">
        <v>180558</v>
      </c>
      <c r="E124" s="137">
        <f>VLOOKUP(C124,'Lisa2 Majandamiskulu, Toetused'!$A$7:$B$204,2,FALSE)+VLOOKUP(C124,'Lisa 3 Personalikulud'!$A$4:$B$125,2,FALSE)</f>
        <v>174328.3</v>
      </c>
      <c r="F124" s="121">
        <f t="shared" si="2"/>
        <v>-6229.7000000000116</v>
      </c>
      <c r="G124" s="122">
        <f t="shared" si="3"/>
        <v>-3.4502486735564261E-2</v>
      </c>
      <c r="H124" s="132"/>
    </row>
    <row r="125" spans="1:8" s="131" customFormat="1" x14ac:dyDescent="0.2">
      <c r="A125" s="138"/>
      <c r="B125" s="154"/>
      <c r="C125" s="127" t="s">
        <v>2209</v>
      </c>
      <c r="D125" s="135">
        <v>277355</v>
      </c>
      <c r="E125" s="137">
        <f>VLOOKUP(C125,'Lisa 1 Investeeringud'!$A$4:$B$54,2,FALSE)+VLOOKUP(C125,'Lisa2 Majandamiskulu, Toetused'!$A$7:$B$204,2,FALSE)+VLOOKUP(C125,'Lisa 3 Personalikulud'!$A$4:$B$125,2,FALSE)</f>
        <v>642737.0016056</v>
      </c>
      <c r="F125" s="121">
        <f t="shared" si="2"/>
        <v>365382.0016056</v>
      </c>
      <c r="G125" s="122">
        <f t="shared" si="3"/>
        <v>1.3173802585336483</v>
      </c>
      <c r="H125" s="132"/>
    </row>
    <row r="126" spans="1:8" s="131" customFormat="1" x14ac:dyDescent="0.2">
      <c r="A126" s="138"/>
      <c r="B126" s="154"/>
      <c r="C126" s="127" t="s">
        <v>2248</v>
      </c>
      <c r="D126" s="135">
        <v>12065</v>
      </c>
      <c r="E126" s="137">
        <f>VLOOKUP(C126,'Lisa2 Majandamiskulu, Toetused'!$A$7:$B$204,2,FALSE)+VLOOKUP(C126,'Lisa 3 Personalikulud'!$A$4:$B$125,2,FALSE)</f>
        <v>13466.704</v>
      </c>
      <c r="F126" s="121">
        <f t="shared" si="2"/>
        <v>1401.7039999999997</v>
      </c>
      <c r="G126" s="122">
        <f t="shared" si="3"/>
        <v>0.1161793617903025</v>
      </c>
      <c r="H126" s="132"/>
    </row>
    <row r="127" spans="1:8" x14ac:dyDescent="0.2">
      <c r="A127" s="138"/>
      <c r="B127" s="154"/>
      <c r="C127" s="19" t="s">
        <v>572</v>
      </c>
      <c r="D127" s="108">
        <v>101304</v>
      </c>
      <c r="E127" s="108">
        <f>(VLOOKUP(C127,Sheet2!$A$4:$B$47,2,FALSE))+VLOOKUP(C127,Sheet3!$A$3:$C$143,2,FALSE)+VLOOKUP(C127,Sheet3!$A$3:$C$143,3,FALSE)</f>
        <v>82974.597999999998</v>
      </c>
      <c r="F127" s="108">
        <f t="shared" si="2"/>
        <v>-18329.402000000002</v>
      </c>
      <c r="G127" s="66">
        <f t="shared" si="3"/>
        <v>-0.18093463239358765</v>
      </c>
      <c r="H127" s="61"/>
    </row>
    <row r="128" spans="1:8" x14ac:dyDescent="0.2">
      <c r="A128" s="138"/>
      <c r="B128" s="154"/>
      <c r="C128" s="19" t="s">
        <v>573</v>
      </c>
      <c r="D128" s="108">
        <v>698999</v>
      </c>
      <c r="E128" s="108">
        <f>(VLOOKUP(C128,Sheet2!$A$4:$B$47,2,FALSE))+VLOOKUP(C128,Sheet3!$A$3:$C$143,2,FALSE)+VLOOKUP(C128,Sheet3!$A$3:$C$143,3,FALSE)</f>
        <v>759758</v>
      </c>
      <c r="F128" s="108">
        <f t="shared" si="2"/>
        <v>60759</v>
      </c>
      <c r="G128" s="66">
        <f t="shared" si="3"/>
        <v>8.6922871134293464E-2</v>
      </c>
      <c r="H128" s="61"/>
    </row>
    <row r="129" spans="1:8" s="131" customFormat="1" x14ac:dyDescent="0.2">
      <c r="A129" s="138"/>
      <c r="B129" s="154"/>
      <c r="C129" s="127" t="s">
        <v>367</v>
      </c>
      <c r="D129" s="135">
        <v>528500</v>
      </c>
      <c r="E129" s="135">
        <f>VLOOKUP(C129,'Lisa2 Majandamiskulu, Toetused'!$A$7:$B$204,2,FALSE)+VLOOKUP(C129,'Lisa 3 Personalikulud'!$A$4:$B$125,2,FALSE)</f>
        <v>587987.4</v>
      </c>
      <c r="F129" s="121">
        <f t="shared" si="2"/>
        <v>59487.400000000023</v>
      </c>
      <c r="G129" s="122">
        <f t="shared" si="3"/>
        <v>0.11255894039735104</v>
      </c>
      <c r="H129" s="132"/>
    </row>
    <row r="130" spans="1:8" x14ac:dyDescent="0.2">
      <c r="A130" s="138"/>
      <c r="B130" s="154"/>
      <c r="C130" s="19" t="s">
        <v>574</v>
      </c>
      <c r="D130" s="108">
        <v>104416</v>
      </c>
      <c r="E130" s="108">
        <f>(VLOOKUP(C130,Sheet2!$A$4:$B$47,2,FALSE))+VLOOKUP(C130,Sheet3!$A$3:$C$143,2,FALSE)+VLOOKUP(C130,Sheet3!$A$3:$C$143,3,FALSE)</f>
        <v>182727.12360000002</v>
      </c>
      <c r="F130" s="108">
        <f t="shared" si="2"/>
        <v>78311.123600000021</v>
      </c>
      <c r="G130" s="66">
        <f t="shared" si="3"/>
        <v>0.74999160665032194</v>
      </c>
      <c r="H130" s="61"/>
    </row>
    <row r="131" spans="1:8" x14ac:dyDescent="0.2">
      <c r="A131" s="138"/>
      <c r="B131" s="154"/>
      <c r="C131" s="19" t="s">
        <v>575</v>
      </c>
      <c r="D131" s="108">
        <v>1000</v>
      </c>
      <c r="E131" s="108">
        <f>VLOOKUP(C131,Sheet2!$A$4:$B$47,2,FALSE)</f>
        <v>5400</v>
      </c>
      <c r="F131" s="108">
        <f t="shared" si="2"/>
        <v>4400</v>
      </c>
      <c r="G131" s="66">
        <f t="shared" si="3"/>
        <v>4.4000000000000004</v>
      </c>
    </row>
    <row r="132" spans="1:8" x14ac:dyDescent="0.2">
      <c r="A132" s="138"/>
      <c r="B132" s="154"/>
      <c r="C132" s="19" t="s">
        <v>576</v>
      </c>
      <c r="D132" s="108">
        <v>39000</v>
      </c>
      <c r="E132" s="108">
        <f>VLOOKUP(C132,Sheet2!$A$4:$B$47,2,FALSE)</f>
        <v>34385</v>
      </c>
      <c r="F132" s="108">
        <f t="shared" si="2"/>
        <v>-4615</v>
      </c>
      <c r="G132" s="66">
        <f t="shared" si="3"/>
        <v>-0.11833333333333333</v>
      </c>
    </row>
    <row r="133" spans="1:8" x14ac:dyDescent="0.2">
      <c r="A133" s="138"/>
      <c r="B133" s="154"/>
      <c r="C133" s="19" t="s">
        <v>577</v>
      </c>
      <c r="D133" s="108">
        <v>80465</v>
      </c>
      <c r="E133" s="108">
        <f>VLOOKUP(C133,Sheet2!$A$4:$B$47,2,FALSE)</f>
        <v>77321</v>
      </c>
      <c r="F133" s="108">
        <f t="shared" si="2"/>
        <v>-3144</v>
      </c>
      <c r="G133" s="66">
        <f t="shared" si="3"/>
        <v>-3.9072888833654382E-2</v>
      </c>
    </row>
    <row r="134" spans="1:8" x14ac:dyDescent="0.2">
      <c r="A134" s="138"/>
      <c r="B134" s="154"/>
      <c r="C134" s="19" t="s">
        <v>578</v>
      </c>
      <c r="D134" s="108">
        <v>38400</v>
      </c>
      <c r="E134" s="108">
        <f>VLOOKUP(C134,Sheet2!$A$4:$B$47,2,FALSE)</f>
        <v>38240</v>
      </c>
      <c r="F134" s="108">
        <f t="shared" si="2"/>
        <v>-160</v>
      </c>
      <c r="G134" s="66">
        <f t="shared" si="3"/>
        <v>-4.1666666666666666E-3</v>
      </c>
    </row>
    <row r="135" spans="1:8" x14ac:dyDescent="0.2">
      <c r="A135" s="138"/>
      <c r="B135" s="154"/>
      <c r="C135" s="19" t="s">
        <v>668</v>
      </c>
      <c r="D135" s="108">
        <v>160102</v>
      </c>
      <c r="E135" s="108">
        <f>(VLOOKUP(C135,Sheet2!$A$4:$B$47,2,FALSE))+VLOOKUP(C135,Sheet3!$A$3:$C$143,2,FALSE)+VLOOKUP(C135,Sheet3!$A$3:$C$143,3,FALSE)</f>
        <v>147757.12</v>
      </c>
      <c r="F135" s="108">
        <f t="shared" si="2"/>
        <v>-12344.880000000005</v>
      </c>
      <c r="G135" s="66">
        <f t="shared" si="3"/>
        <v>-7.7106344705250435E-2</v>
      </c>
    </row>
    <row r="136" spans="1:8" x14ac:dyDescent="0.2">
      <c r="A136" s="138"/>
      <c r="B136" s="150"/>
      <c r="C136" s="25" t="s">
        <v>579</v>
      </c>
      <c r="D136" s="112">
        <f>SUM(D120:D123)+D127+D128+SUM(D130:D135)</f>
        <v>2026672</v>
      </c>
      <c r="E136" s="112">
        <f>SUM(E120:E123)+E127+E128+SUM(E130:E135)</f>
        <v>2527703.8387255999</v>
      </c>
      <c r="F136" s="112">
        <f t="shared" si="2"/>
        <v>501031.83872559993</v>
      </c>
      <c r="G136" s="69">
        <f t="shared" si="3"/>
        <v>0.24721900668958763</v>
      </c>
    </row>
    <row r="137" spans="1:8" x14ac:dyDescent="0.2">
      <c r="A137" s="138"/>
      <c r="B137" s="25" t="s">
        <v>580</v>
      </c>
      <c r="C137" s="25"/>
      <c r="D137" s="113">
        <f>D136+D119+D97+D71+D69+D59+D56+D52+D49+D48</f>
        <v>12427717</v>
      </c>
      <c r="E137" s="113">
        <f>E136+E119+E97+E71+E69+E59+E56+E52+E49+E48</f>
        <v>14022739.729354504</v>
      </c>
      <c r="F137" s="113">
        <f t="shared" si="2"/>
        <v>1595022.7293545045</v>
      </c>
      <c r="G137" s="70">
        <f t="shared" si="3"/>
        <v>0.12834398541216416</v>
      </c>
    </row>
    <row r="138" spans="1:8" x14ac:dyDescent="0.2">
      <c r="A138" s="138" t="s">
        <v>581</v>
      </c>
      <c r="B138" s="138" t="s">
        <v>582</v>
      </c>
      <c r="C138" s="19" t="s">
        <v>583</v>
      </c>
      <c r="D138" s="108">
        <v>3401400.75</v>
      </c>
      <c r="E138" s="108">
        <v>2946310.98</v>
      </c>
      <c r="F138" s="108">
        <f t="shared" si="2"/>
        <v>-455089.77</v>
      </c>
      <c r="G138" s="66"/>
    </row>
    <row r="139" spans="1:8" x14ac:dyDescent="0.2">
      <c r="A139" s="138"/>
      <c r="B139" s="138"/>
      <c r="C139" s="19" t="s">
        <v>584</v>
      </c>
      <c r="D139" s="108">
        <v>1349408.02</v>
      </c>
      <c r="E139" s="108">
        <v>86907.85</v>
      </c>
      <c r="F139" s="108">
        <f t="shared" si="2"/>
        <v>-1262500.17</v>
      </c>
      <c r="G139" s="66"/>
    </row>
    <row r="140" spans="1:8" x14ac:dyDescent="0.2">
      <c r="A140" s="138"/>
      <c r="B140" s="138" t="s">
        <v>585</v>
      </c>
      <c r="C140" s="19" t="s">
        <v>583</v>
      </c>
      <c r="D140" s="108">
        <f>D138+D39</f>
        <v>3346310.75</v>
      </c>
      <c r="E140" s="110">
        <f>E138+E39</f>
        <v>4344586.93</v>
      </c>
      <c r="F140" s="108">
        <f t="shared" si="2"/>
        <v>998276.1799999997</v>
      </c>
      <c r="G140" s="66"/>
    </row>
    <row r="141" spans="1:8" x14ac:dyDescent="0.2">
      <c r="A141" s="138"/>
      <c r="B141" s="138"/>
      <c r="C141" s="19" t="s">
        <v>584</v>
      </c>
      <c r="D141" s="108">
        <f>D139+D40</f>
        <v>417400.82000000007</v>
      </c>
      <c r="E141" s="110">
        <f>E139+E40</f>
        <v>34520.612645495363</v>
      </c>
      <c r="F141" s="108">
        <f t="shared" si="2"/>
        <v>-382880.20735450473</v>
      </c>
      <c r="G141" s="66"/>
    </row>
    <row r="143" spans="1:8" hidden="1" x14ac:dyDescent="0.2">
      <c r="E143" s="16" t="s">
        <v>2239</v>
      </c>
    </row>
    <row r="144" spans="1:8" hidden="1" x14ac:dyDescent="0.2">
      <c r="E144" s="114">
        <f>IF(E140-E141&lt;0,0,E140-E141)/E18</f>
        <v>0.3638084300438636</v>
      </c>
    </row>
  </sheetData>
  <mergeCells count="40">
    <mergeCell ref="A138:A141"/>
    <mergeCell ref="B138:B139"/>
    <mergeCell ref="B140:B141"/>
    <mergeCell ref="A40:C40"/>
    <mergeCell ref="A42:A137"/>
    <mergeCell ref="B42:B48"/>
    <mergeCell ref="B51:B52"/>
    <mergeCell ref="B53:B56"/>
    <mergeCell ref="B57:B59"/>
    <mergeCell ref="B60:B69"/>
    <mergeCell ref="B70:B71"/>
    <mergeCell ref="B72:B97"/>
    <mergeCell ref="B98:B119"/>
    <mergeCell ref="B49:B50"/>
    <mergeCell ref="B120:B136"/>
    <mergeCell ref="B33:C33"/>
    <mergeCell ref="B34:C34"/>
    <mergeCell ref="B35:C35"/>
    <mergeCell ref="A36:C36"/>
    <mergeCell ref="A37:A39"/>
    <mergeCell ref="B37:C37"/>
    <mergeCell ref="B38:C38"/>
    <mergeCell ref="B39:C39"/>
    <mergeCell ref="A29:A35"/>
    <mergeCell ref="B29:C29"/>
    <mergeCell ref="B30:C30"/>
    <mergeCell ref="B31:C31"/>
    <mergeCell ref="B32:C32"/>
    <mergeCell ref="A19:A27"/>
    <mergeCell ref="B19:B22"/>
    <mergeCell ref="B23:B26"/>
    <mergeCell ref="B27:C27"/>
    <mergeCell ref="A28:C28"/>
    <mergeCell ref="A4:C4"/>
    <mergeCell ref="A5:A18"/>
    <mergeCell ref="B5:B7"/>
    <mergeCell ref="B8:C8"/>
    <mergeCell ref="B9:B12"/>
    <mergeCell ref="B13:B17"/>
    <mergeCell ref="B18:C18"/>
  </mergeCells>
  <pageMargins left="0.31496062992125984" right="0.11811023622047245" top="0.74803149606299213" bottom="0.74803149606299213" header="0.31496062992125984" footer="0.31496062992125984"/>
  <pageSetup paperSize="9" fitToHeight="0" orientation="landscape" r:id="rId1"/>
  <ignoredErrors>
    <ignoredError sqref="D12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8"/>
  <sheetViews>
    <sheetView zoomScale="85" zoomScaleNormal="85" workbookViewId="0">
      <selection activeCell="G118" sqref="G118"/>
    </sheetView>
  </sheetViews>
  <sheetFormatPr defaultRowHeight="15" x14ac:dyDescent="0.25"/>
  <cols>
    <col min="1" max="1" width="6.7109375" customWidth="1"/>
    <col min="2" max="2" width="13.140625" bestFit="1" customWidth="1"/>
    <col min="3" max="3" width="43.28515625" customWidth="1"/>
    <col min="4" max="4" width="18.28515625" customWidth="1"/>
    <col min="5" max="5" width="22" customWidth="1"/>
    <col min="6" max="6" width="50.42578125" customWidth="1"/>
    <col min="7" max="7" width="58.5703125" customWidth="1"/>
    <col min="8" max="8" width="15.85546875" style="2" customWidth="1"/>
    <col min="9" max="9" width="40.140625" style="2" customWidth="1"/>
    <col min="10" max="10" width="15" customWidth="1"/>
    <col min="11" max="11" width="56" customWidth="1"/>
    <col min="12" max="12" width="14.85546875" customWidth="1"/>
    <col min="13" max="13" width="14" customWidth="1"/>
    <col min="14" max="15" width="44.85546875" customWidth="1"/>
    <col min="16" max="16" width="47.28515625" bestFit="1" customWidth="1"/>
    <col min="17" max="17" width="16.28515625" bestFit="1" customWidth="1"/>
  </cols>
  <sheetData>
    <row r="1" spans="1:17" x14ac:dyDescent="0.25">
      <c r="A1" t="s">
        <v>7</v>
      </c>
      <c r="B1" t="s">
        <v>1</v>
      </c>
      <c r="C1" t="s">
        <v>246</v>
      </c>
      <c r="D1" t="s">
        <v>472</v>
      </c>
      <c r="E1" t="s">
        <v>67</v>
      </c>
      <c r="F1" t="s">
        <v>5</v>
      </c>
      <c r="G1" t="s">
        <v>6</v>
      </c>
      <c r="H1" s="2" t="s">
        <v>380</v>
      </c>
      <c r="I1" s="2" t="s">
        <v>165</v>
      </c>
      <c r="J1" t="s">
        <v>2</v>
      </c>
      <c r="K1" t="s">
        <v>91</v>
      </c>
      <c r="L1" t="s">
        <v>77</v>
      </c>
      <c r="M1" t="s">
        <v>9</v>
      </c>
      <c r="N1" t="s">
        <v>160</v>
      </c>
      <c r="O1" t="s">
        <v>1987</v>
      </c>
      <c r="P1" t="s">
        <v>135</v>
      </c>
      <c r="Q1" t="s">
        <v>2232</v>
      </c>
    </row>
    <row r="2" spans="1:17" hidden="1" x14ac:dyDescent="0.25">
      <c r="A2" t="str">
        <f t="shared" ref="A2:A65" si="0">LEFT(B2,2)</f>
        <v>01</v>
      </c>
      <c r="B2" t="s">
        <v>13</v>
      </c>
      <c r="C2" s="3" t="str">
        <f>VLOOKUP(Table2[[#This Row],[Tegevusala]],Table4[],2,FALSE)</f>
        <v xml:space="preserve"> Valla- ja linnavolikogu</v>
      </c>
      <c r="D2" s="3" t="str">
        <f>VLOOKUP(Table2[[#This Row],[Tegevusala]],Table4[[Tegevusala kood]:[Tegevusala alanimetus]],4,FALSE)</f>
        <v>Valla- ja linnavolikogu</v>
      </c>
      <c r="E2" s="3" t="str">
        <f>VLOOKUP(Table2[[#This Row],[Tegevusala nimetus2]],Table4[[Tegevusala nimetus]:[Tegevusala koondnimetus]],2,FALSE)</f>
        <v>Üldised valitsussektori teenused</v>
      </c>
      <c r="F2" t="s">
        <v>809</v>
      </c>
      <c r="G2" t="s">
        <v>812</v>
      </c>
      <c r="H2" s="40">
        <v>100</v>
      </c>
      <c r="J2">
        <v>5500</v>
      </c>
      <c r="K2" s="3" t="str">
        <f>VLOOKUP(Table2[[#This Row],[Konto]],Table5[[Konto]:[Konto nimetus]],2,FALSE)</f>
        <v>Administreerimiskulud</v>
      </c>
      <c r="L2">
        <v>55</v>
      </c>
      <c r="M2" t="str">
        <f t="shared" ref="M2:M65" si="1">LEFT(J2,2)</f>
        <v>55</v>
      </c>
      <c r="N2" s="3" t="str">
        <f>VLOOKUP(Table2[[#This Row],[Tulu/kulu liik2]],Table5[[Tulu/kulu liik]:[Kontode koondnimetus]],4,FALSE)</f>
        <v>Muud tegevuskulud</v>
      </c>
      <c r="O2" s="3" t="str">
        <f>VLOOKUP(Table2[[#This Row],[Tulu/kulu liik2]],Table5[],6,FALSE)</f>
        <v>Majandamiskulud</v>
      </c>
      <c r="P2" s="3" t="str">
        <f>VLOOKUP(Table2[[#This Row],[Tulu/kulu liik2]],Table5[],5,FALSE)</f>
        <v>Põhitegevuse kulu</v>
      </c>
    </row>
    <row r="3" spans="1:17" hidden="1" x14ac:dyDescent="0.25">
      <c r="A3" t="str">
        <f t="shared" si="0"/>
        <v>01</v>
      </c>
      <c r="B3" t="s">
        <v>13</v>
      </c>
      <c r="C3" s="3" t="str">
        <f>VLOOKUP(Table2[[#This Row],[Tegevusala]],Table4[],2,FALSE)</f>
        <v xml:space="preserve"> Valla- ja linnavolikogu</v>
      </c>
      <c r="D3" s="3" t="str">
        <f>VLOOKUP(Table2[[#This Row],[Tegevusala]],Table4[[Tegevusala kood]:[Tegevusala alanimetus]],4,FALSE)</f>
        <v>Valla- ja linnavolikogu</v>
      </c>
      <c r="E3" s="3" t="str">
        <f>VLOOKUP(Table2[[#This Row],[Tegevusala nimetus2]],Table4[[Tegevusala nimetus]:[Tegevusala koondnimetus]],2,FALSE)</f>
        <v>Üldised valitsussektori teenused</v>
      </c>
      <c r="F3" t="s">
        <v>809</v>
      </c>
      <c r="G3" t="s">
        <v>813</v>
      </c>
      <c r="H3" s="40">
        <v>50</v>
      </c>
      <c r="J3">
        <v>5500</v>
      </c>
      <c r="K3" s="3" t="str">
        <f>VLOOKUP(Table2[[#This Row],[Konto]],Table5[[Konto]:[Konto nimetus]],2,FALSE)</f>
        <v>Administreerimiskulud</v>
      </c>
      <c r="L3">
        <v>55</v>
      </c>
      <c r="M3" t="str">
        <f t="shared" si="1"/>
        <v>55</v>
      </c>
      <c r="N3" s="3" t="str">
        <f>VLOOKUP(Table2[[#This Row],[Tulu/kulu liik2]],Table5[[Tulu/kulu liik]:[Kontode koondnimetus]],4,FALSE)</f>
        <v>Muud tegevuskulud</v>
      </c>
      <c r="O3" s="3" t="str">
        <f>VLOOKUP(Table2[[#This Row],[Tulu/kulu liik2]],Table5[],6,FALSE)</f>
        <v>Majandamiskulud</v>
      </c>
      <c r="P3" s="3" t="str">
        <f>VLOOKUP(Table2[[#This Row],[Tulu/kulu liik2]],Table5[],5,FALSE)</f>
        <v>Põhitegevuse kulu</v>
      </c>
    </row>
    <row r="4" spans="1:17" hidden="1" x14ac:dyDescent="0.25">
      <c r="A4" t="str">
        <f t="shared" si="0"/>
        <v>01</v>
      </c>
      <c r="B4" t="s">
        <v>13</v>
      </c>
      <c r="C4" s="3" t="str">
        <f>VLOOKUP(Table2[[#This Row],[Tegevusala]],Table4[],2,FALSE)</f>
        <v xml:space="preserve"> Valla- ja linnavolikogu</v>
      </c>
      <c r="D4" s="3" t="str">
        <f>VLOOKUP(Table2[[#This Row],[Tegevusala]],Table4[[Tegevusala kood]:[Tegevusala alanimetus]],4,FALSE)</f>
        <v>Valla- ja linnavolikogu</v>
      </c>
      <c r="E4" s="3" t="str">
        <f>VLOOKUP(Table2[[#This Row],[Tegevusala nimetus2]],Table4[[Tegevusala nimetus]:[Tegevusala koondnimetus]],2,FALSE)</f>
        <v>Üldised valitsussektori teenused</v>
      </c>
      <c r="F4" t="s">
        <v>809</v>
      </c>
      <c r="G4" t="s">
        <v>814</v>
      </c>
      <c r="H4" s="40">
        <v>500</v>
      </c>
      <c r="J4">
        <v>5540</v>
      </c>
      <c r="K4" s="3" t="str">
        <f>VLOOKUP(Table2[[#This Row],[Konto]],Table5[[Konto]:[Konto nimetus]],2,FALSE)</f>
        <v>Mitmesugused majanduskulud</v>
      </c>
      <c r="L4">
        <v>55</v>
      </c>
      <c r="M4" t="str">
        <f t="shared" si="1"/>
        <v>55</v>
      </c>
      <c r="N4" s="3" t="str">
        <f>VLOOKUP(Table2[[#This Row],[Tulu/kulu liik2]],Table5[[Tulu/kulu liik]:[Kontode koondnimetus]],4,FALSE)</f>
        <v>Muud tegevuskulud</v>
      </c>
      <c r="O4" s="3" t="str">
        <f>VLOOKUP(Table2[[#This Row],[Tulu/kulu liik2]],Table5[],6,FALSE)</f>
        <v>Majandamiskulud</v>
      </c>
      <c r="P4" s="3" t="str">
        <f>VLOOKUP(Table2[[#This Row],[Tulu/kulu liik2]],Table5[],5,FALSE)</f>
        <v>Põhitegevuse kulu</v>
      </c>
    </row>
    <row r="5" spans="1:17" hidden="1" x14ac:dyDescent="0.25">
      <c r="A5" t="str">
        <f t="shared" si="0"/>
        <v>01</v>
      </c>
      <c r="B5" t="s">
        <v>13</v>
      </c>
      <c r="C5" s="3" t="str">
        <f>VLOOKUP(Table2[[#This Row],[Tegevusala]],Table4[],2,FALSE)</f>
        <v xml:space="preserve"> Valla- ja linnavolikogu</v>
      </c>
      <c r="D5" s="3" t="str">
        <f>VLOOKUP(Table2[[#This Row],[Tegevusala]],Table4[[Tegevusala kood]:[Tegevusala alanimetus]],4,FALSE)</f>
        <v>Valla- ja linnavolikogu</v>
      </c>
      <c r="E5" s="3" t="str">
        <f>VLOOKUP(Table2[[#This Row],[Tegevusala nimetus2]],Table4[[Tegevusala nimetus]:[Tegevusala koondnimetus]],2,FALSE)</f>
        <v>Üldised valitsussektori teenused</v>
      </c>
      <c r="F5" t="s">
        <v>809</v>
      </c>
      <c r="G5" t="s">
        <v>815</v>
      </c>
      <c r="H5" s="40">
        <v>1250</v>
      </c>
      <c r="J5">
        <v>5500</v>
      </c>
      <c r="K5" s="3" t="str">
        <f>VLOOKUP(Table2[[#This Row],[Konto]],Table5[[Konto]:[Konto nimetus]],2,FALSE)</f>
        <v>Administreerimiskulud</v>
      </c>
      <c r="L5">
        <v>55</v>
      </c>
      <c r="M5" t="str">
        <f t="shared" si="1"/>
        <v>55</v>
      </c>
      <c r="N5" s="3" t="str">
        <f>VLOOKUP(Table2[[#This Row],[Tulu/kulu liik2]],Table5[[Tulu/kulu liik]:[Kontode koondnimetus]],4,FALSE)</f>
        <v>Muud tegevuskulud</v>
      </c>
      <c r="O5" s="3" t="str">
        <f>VLOOKUP(Table2[[#This Row],[Tulu/kulu liik2]],Table5[],6,FALSE)</f>
        <v>Majandamiskulud</v>
      </c>
      <c r="P5" s="3" t="str">
        <f>VLOOKUP(Table2[[#This Row],[Tulu/kulu liik2]],Table5[],5,FALSE)</f>
        <v>Põhitegevuse kulu</v>
      </c>
    </row>
    <row r="6" spans="1:17" hidden="1" x14ac:dyDescent="0.25">
      <c r="A6" t="str">
        <f t="shared" si="0"/>
        <v>01</v>
      </c>
      <c r="B6" t="s">
        <v>13</v>
      </c>
      <c r="C6" s="3" t="str">
        <f>VLOOKUP(Table2[[#This Row],[Tegevusala]],Table4[],2,FALSE)</f>
        <v xml:space="preserve"> Valla- ja linnavolikogu</v>
      </c>
      <c r="D6" s="3" t="str">
        <f>VLOOKUP(Table2[[#This Row],[Tegevusala]],Table4[[Tegevusala kood]:[Tegevusala alanimetus]],4,FALSE)</f>
        <v>Valla- ja linnavolikogu</v>
      </c>
      <c r="E6" s="3" t="str">
        <f>VLOOKUP(Table2[[#This Row],[Tegevusala nimetus2]],Table4[[Tegevusala nimetus]:[Tegevusala koondnimetus]],2,FALSE)</f>
        <v>Üldised valitsussektori teenused</v>
      </c>
      <c r="F6" t="s">
        <v>809</v>
      </c>
      <c r="G6" t="s">
        <v>391</v>
      </c>
      <c r="H6" s="40">
        <v>8350</v>
      </c>
      <c r="I6" s="2" t="s">
        <v>816</v>
      </c>
      <c r="J6">
        <v>5504</v>
      </c>
      <c r="K6" s="3" t="str">
        <f>VLOOKUP(Table2[[#This Row],[Konto]],Table5[[Konto]:[Konto nimetus]],2,FALSE)</f>
        <v>Koolituskulud</v>
      </c>
      <c r="L6">
        <v>55</v>
      </c>
      <c r="M6" t="str">
        <f t="shared" si="1"/>
        <v>55</v>
      </c>
      <c r="N6" s="3" t="str">
        <f>VLOOKUP(Table2[[#This Row],[Tulu/kulu liik2]],Table5[[Tulu/kulu liik]:[Kontode koondnimetus]],4,FALSE)</f>
        <v>Muud tegevuskulud</v>
      </c>
      <c r="O6" s="3" t="str">
        <f>VLOOKUP(Table2[[#This Row],[Tulu/kulu liik2]],Table5[],6,FALSE)</f>
        <v>Majandamiskulud</v>
      </c>
      <c r="P6" s="3" t="str">
        <f>VLOOKUP(Table2[[#This Row],[Tulu/kulu liik2]],Table5[],5,FALSE)</f>
        <v>Põhitegevuse kulu</v>
      </c>
    </row>
    <row r="7" spans="1:17" hidden="1" x14ac:dyDescent="0.25">
      <c r="A7" t="str">
        <f t="shared" si="0"/>
        <v>01</v>
      </c>
      <c r="B7" t="s">
        <v>13</v>
      </c>
      <c r="C7" s="3" t="str">
        <f>VLOOKUP(Table2[[#This Row],[Tegevusala]],Table4[],2,FALSE)</f>
        <v xml:space="preserve"> Valla- ja linnavolikogu</v>
      </c>
      <c r="D7" s="3" t="str">
        <f>VLOOKUP(Table2[[#This Row],[Tegevusala]],Table4[[Tegevusala kood]:[Tegevusala alanimetus]],4,FALSE)</f>
        <v>Valla- ja linnavolikogu</v>
      </c>
      <c r="E7" s="3" t="str">
        <f>VLOOKUP(Table2[[#This Row],[Tegevusala nimetus2]],Table4[[Tegevusala nimetus]:[Tegevusala koondnimetus]],2,FALSE)</f>
        <v>Üldised valitsussektori teenused</v>
      </c>
      <c r="F7" t="s">
        <v>809</v>
      </c>
      <c r="G7" t="s">
        <v>424</v>
      </c>
      <c r="H7" s="40">
        <v>1800</v>
      </c>
      <c r="I7" s="2" t="s">
        <v>817</v>
      </c>
      <c r="J7">
        <v>5513</v>
      </c>
      <c r="K7" s="3" t="str">
        <f>VLOOKUP(Table2[[#This Row],[Konto]],Table5[[Konto]:[Konto nimetus]],2,FALSE)</f>
        <v>Sõidukite ülalpidamise kulud</v>
      </c>
      <c r="L7">
        <v>55</v>
      </c>
      <c r="M7" t="str">
        <f t="shared" si="1"/>
        <v>55</v>
      </c>
      <c r="N7" s="3" t="str">
        <f>VLOOKUP(Table2[[#This Row],[Tulu/kulu liik2]],Table5[[Tulu/kulu liik]:[Kontode koondnimetus]],4,FALSE)</f>
        <v>Muud tegevuskulud</v>
      </c>
      <c r="O7" s="3" t="str">
        <f>VLOOKUP(Table2[[#This Row],[Tulu/kulu liik2]],Table5[],6,FALSE)</f>
        <v>Majandamiskulud</v>
      </c>
      <c r="P7" s="3" t="str">
        <f>VLOOKUP(Table2[[#This Row],[Tulu/kulu liik2]],Table5[],5,FALSE)</f>
        <v>Põhitegevuse kulu</v>
      </c>
    </row>
    <row r="8" spans="1:17" hidden="1" x14ac:dyDescent="0.25">
      <c r="A8" s="82" t="str">
        <f t="shared" si="0"/>
        <v>01</v>
      </c>
      <c r="B8" s="82" t="s">
        <v>15</v>
      </c>
      <c r="C8" s="83" t="str">
        <f>VLOOKUP(Table2[[#This Row],[Tegevusala]],Table4[],2,FALSE)</f>
        <v xml:space="preserve"> Valla- ja linnavalitsus</v>
      </c>
      <c r="D8" s="83" t="str">
        <f>VLOOKUP(Table2[[#This Row],[Tegevusala]],Table4[[Tegevusala kood]:[Tegevusala alanimetus]],4,FALSE)</f>
        <v>Valla- ja linnavalitsus</v>
      </c>
      <c r="E8" s="83" t="str">
        <f>VLOOKUP(Table2[[#This Row],[Tegevusala nimetus2]],Table4[[Tegevusala nimetus]:[Tegevusala koondnimetus]],2,FALSE)</f>
        <v>Üldised valitsussektori teenused</v>
      </c>
      <c r="F8" s="82" t="s">
        <v>606</v>
      </c>
      <c r="G8" s="82" t="s">
        <v>1900</v>
      </c>
      <c r="H8" s="84">
        <v>9936</v>
      </c>
      <c r="I8" s="85" t="s">
        <v>1901</v>
      </c>
      <c r="J8" s="82">
        <v>5511</v>
      </c>
      <c r="K8" s="83" t="str">
        <f>VLOOKUP(Table2[[#This Row],[Konto]],Table5[[Konto]:[Konto nimetus]],2,FALSE)</f>
        <v>Kinnistute, hoonete ja ruumide majandamiskulud</v>
      </c>
      <c r="L8" s="82">
        <v>55</v>
      </c>
      <c r="M8" s="82" t="str">
        <f t="shared" si="1"/>
        <v>55</v>
      </c>
      <c r="N8" s="83" t="str">
        <f>VLOOKUP(Table2[[#This Row],[Tulu/kulu liik2]],Table5[[Tulu/kulu liik]:[Kontode koondnimetus]],4,FALSE)</f>
        <v>Muud tegevuskulud</v>
      </c>
      <c r="O8" s="83" t="str">
        <f>VLOOKUP(Table2[[#This Row],[Tulu/kulu liik2]],Table5[],6,FALSE)</f>
        <v>Majandamiskulud</v>
      </c>
      <c r="P8" s="83" t="str">
        <f>VLOOKUP(Table2[[#This Row],[Tulu/kulu liik2]],Table5[],5,FALSE)</f>
        <v>Põhitegevuse kulu</v>
      </c>
    </row>
    <row r="9" spans="1:17" hidden="1" x14ac:dyDescent="0.25">
      <c r="A9" t="str">
        <f t="shared" si="0"/>
        <v>01</v>
      </c>
      <c r="B9" t="s">
        <v>15</v>
      </c>
      <c r="C9" s="3" t="str">
        <f>VLOOKUP(Table2[[#This Row],[Tegevusala]],Table4[],2,FALSE)</f>
        <v xml:space="preserve"> Valla- ja linnavalitsus</v>
      </c>
      <c r="D9" s="3" t="str">
        <f>VLOOKUP(Table2[[#This Row],[Tegevusala]],Table4[[Tegevusala kood]:[Tegevusala alanimetus]],4,FALSE)</f>
        <v>Valla- ja linnavalitsus</v>
      </c>
      <c r="E9" s="3" t="str">
        <f>VLOOKUP(Table2[[#This Row],[Tegevusala nimetus2]],Table4[[Tegevusala nimetus]:[Tegevusala koondnimetus]],2,FALSE)</f>
        <v>Üldised valitsussektori teenused</v>
      </c>
      <c r="F9" t="s">
        <v>473</v>
      </c>
      <c r="G9" t="s">
        <v>477</v>
      </c>
      <c r="H9" s="40">
        <v>2000</v>
      </c>
      <c r="J9">
        <v>5500</v>
      </c>
      <c r="K9" s="3" t="str">
        <f>VLOOKUP(Table2[[#This Row],[Konto]],Table5[[Konto]:[Konto nimetus]],2,FALSE)</f>
        <v>Administreerimiskulud</v>
      </c>
      <c r="L9">
        <v>55</v>
      </c>
      <c r="M9" t="str">
        <f t="shared" si="1"/>
        <v>55</v>
      </c>
      <c r="N9" t="str">
        <f>VLOOKUP(Table2[[#This Row],[Tulu/kulu liik2]],Table5[[Tulu/kulu liik]:[Kontode koondnimetus]],4,FALSE)</f>
        <v>Muud tegevuskulud</v>
      </c>
      <c r="O9" t="str">
        <f>VLOOKUP(Table2[[#This Row],[Tulu/kulu liik2]],Table5[],6,FALSE)</f>
        <v>Majandamiskulud</v>
      </c>
      <c r="P9" s="3" t="str">
        <f>VLOOKUP(Table2[[#This Row],[Tulu/kulu liik2]],Table5[],5,FALSE)</f>
        <v>Põhitegevuse kulu</v>
      </c>
    </row>
    <row r="10" spans="1:17" hidden="1" x14ac:dyDescent="0.25">
      <c r="A10" s="8" t="str">
        <f t="shared" si="0"/>
        <v>01</v>
      </c>
      <c r="B10" s="8" t="s">
        <v>15</v>
      </c>
      <c r="C10" s="32" t="str">
        <f>VLOOKUP(Table2[[#This Row],[Tegevusala]],Table4[],2,FALSE)</f>
        <v xml:space="preserve"> Valla- ja linnavalitsus</v>
      </c>
      <c r="D10" s="32" t="str">
        <f>VLOOKUP(Table2[[#This Row],[Tegevusala]],Table4[[Tegevusala kood]:[Tegevusala alanimetus]],4,FALSE)</f>
        <v>Valla- ja linnavalitsus</v>
      </c>
      <c r="E10" s="32" t="str">
        <f>VLOOKUP(Table2[[#This Row],[Tegevusala nimetus2]],Table4[[Tegevusala nimetus]:[Tegevusala koondnimetus]],2,FALSE)</f>
        <v>Üldised valitsussektori teenused</v>
      </c>
      <c r="F10" s="8" t="s">
        <v>473</v>
      </c>
      <c r="G10" s="8" t="s">
        <v>478</v>
      </c>
      <c r="H10" s="43"/>
      <c r="I10" s="9" t="s">
        <v>479</v>
      </c>
      <c r="J10" s="8">
        <v>5500</v>
      </c>
      <c r="K10" s="32" t="str">
        <f>VLOOKUP(Table2[[#This Row],[Konto]],Table5[[Konto]:[Konto nimetus]],2,FALSE)</f>
        <v>Administreerimiskulud</v>
      </c>
      <c r="L10" s="8">
        <v>55</v>
      </c>
      <c r="M10" s="8" t="str">
        <f t="shared" si="1"/>
        <v>55</v>
      </c>
      <c r="N10" s="8" t="str">
        <f>VLOOKUP(Table2[[#This Row],[Tulu/kulu liik2]],Table5[[Tulu/kulu liik]:[Kontode koondnimetus]],4,FALSE)</f>
        <v>Muud tegevuskulud</v>
      </c>
      <c r="O10" s="8" t="str">
        <f>VLOOKUP(Table2[[#This Row],[Tulu/kulu liik2]],Table5[],6,FALSE)</f>
        <v>Majandamiskulud</v>
      </c>
      <c r="P10" s="32" t="str">
        <f>VLOOKUP(Table2[[#This Row],[Tulu/kulu liik2]],Table5[],5,FALSE)</f>
        <v>Põhitegevuse kulu</v>
      </c>
    </row>
    <row r="11" spans="1:17" hidden="1" x14ac:dyDescent="0.25">
      <c r="A11" t="str">
        <f t="shared" si="0"/>
        <v>01</v>
      </c>
      <c r="B11" t="s">
        <v>15</v>
      </c>
      <c r="C11" s="3" t="str">
        <f>VLOOKUP(Table2[[#This Row],[Tegevusala]],Table4[],2,FALSE)</f>
        <v xml:space="preserve"> Valla- ja linnavalitsus</v>
      </c>
      <c r="D11" s="3" t="str">
        <f>VLOOKUP(Table2[[#This Row],[Tegevusala]],Table4[[Tegevusala kood]:[Tegevusala alanimetus]],4,FALSE)</f>
        <v>Valla- ja linnavalitsus</v>
      </c>
      <c r="E11" s="3" t="str">
        <f>VLOOKUP(Table2[[#This Row],[Tegevusala nimetus2]],Table4[[Tegevusala nimetus]:[Tegevusala koondnimetus]],2,FALSE)</f>
        <v>Üldised valitsussektori teenused</v>
      </c>
      <c r="F11" t="s">
        <v>473</v>
      </c>
      <c r="G11" t="s">
        <v>480</v>
      </c>
      <c r="H11" s="40">
        <v>7200</v>
      </c>
      <c r="I11" s="2" t="s">
        <v>483</v>
      </c>
      <c r="J11">
        <v>5500</v>
      </c>
      <c r="K11" s="3" t="str">
        <f>VLOOKUP(Table2[[#This Row],[Konto]],Table5[[Konto]:[Konto nimetus]],2,FALSE)</f>
        <v>Administreerimiskulud</v>
      </c>
      <c r="L11">
        <v>55</v>
      </c>
      <c r="M11" t="str">
        <f t="shared" si="1"/>
        <v>55</v>
      </c>
      <c r="N11" t="str">
        <f>VLOOKUP(Table2[[#This Row],[Tulu/kulu liik2]],Table5[[Tulu/kulu liik]:[Kontode koondnimetus]],4,FALSE)</f>
        <v>Muud tegevuskulud</v>
      </c>
      <c r="O11" t="str">
        <f>VLOOKUP(Table2[[#This Row],[Tulu/kulu liik2]],Table5[],6,FALSE)</f>
        <v>Majandamiskulud</v>
      </c>
      <c r="P11" s="3" t="str">
        <f>VLOOKUP(Table2[[#This Row],[Tulu/kulu liik2]],Table5[],5,FALSE)</f>
        <v>Põhitegevuse kulu</v>
      </c>
    </row>
    <row r="12" spans="1:17" hidden="1" x14ac:dyDescent="0.25">
      <c r="A12" t="str">
        <f t="shared" si="0"/>
        <v>01</v>
      </c>
      <c r="B12" t="s">
        <v>15</v>
      </c>
      <c r="C12" s="3" t="str">
        <f>VLOOKUP(Table2[[#This Row],[Tegevusala]],Table4[],2,FALSE)</f>
        <v xml:space="preserve"> Valla- ja linnavalitsus</v>
      </c>
      <c r="D12" s="3" t="str">
        <f>VLOOKUP(Table2[[#This Row],[Tegevusala]],Table4[[Tegevusala kood]:[Tegevusala alanimetus]],4,FALSE)</f>
        <v>Valla- ja linnavalitsus</v>
      </c>
      <c r="E12" s="3" t="str">
        <f>VLOOKUP(Table2[[#This Row],[Tegevusala nimetus2]],Table4[[Tegevusala nimetus]:[Tegevusala koondnimetus]],2,FALSE)</f>
        <v>Üldised valitsussektori teenused</v>
      </c>
      <c r="F12" t="s">
        <v>473</v>
      </c>
      <c r="G12" t="s">
        <v>391</v>
      </c>
      <c r="H12" s="40">
        <v>1500</v>
      </c>
      <c r="I12" s="2" t="s">
        <v>485</v>
      </c>
      <c r="J12">
        <v>5504</v>
      </c>
      <c r="K12" s="3" t="str">
        <f>VLOOKUP(Table2[[#This Row],[Konto]],Table5[[Konto]:[Konto nimetus]],2,FALSE)</f>
        <v>Koolituskulud</v>
      </c>
      <c r="L12">
        <v>55</v>
      </c>
      <c r="M12" t="str">
        <f t="shared" si="1"/>
        <v>55</v>
      </c>
      <c r="N12" t="str">
        <f>VLOOKUP(Table2[[#This Row],[Tulu/kulu liik2]],Table5[[Tulu/kulu liik]:[Kontode koondnimetus]],4,FALSE)</f>
        <v>Muud tegevuskulud</v>
      </c>
      <c r="O12" t="str">
        <f>VLOOKUP(Table2[[#This Row],[Tulu/kulu liik2]],Table5[],6,FALSE)</f>
        <v>Majandamiskulud</v>
      </c>
      <c r="P12" s="3" t="str">
        <f>VLOOKUP(Table2[[#This Row],[Tulu/kulu liik2]],Table5[],5,FALSE)</f>
        <v>Põhitegevuse kulu</v>
      </c>
    </row>
    <row r="13" spans="1:17" hidden="1" x14ac:dyDescent="0.25">
      <c r="A13" t="str">
        <f t="shared" si="0"/>
        <v>01</v>
      </c>
      <c r="B13" t="s">
        <v>15</v>
      </c>
      <c r="C13" s="3" t="str">
        <f>VLOOKUP(Table2[[#This Row],[Tegevusala]],Table4[],2,FALSE)</f>
        <v xml:space="preserve"> Valla- ja linnavalitsus</v>
      </c>
      <c r="D13" s="3" t="str">
        <f>VLOOKUP(Table2[[#This Row],[Tegevusala]],Table4[[Tegevusala kood]:[Tegevusala alanimetus]],4,FALSE)</f>
        <v>Valla- ja linnavalitsus</v>
      </c>
      <c r="E13" s="3" t="str">
        <f>VLOOKUP(Table2[[#This Row],[Tegevusala nimetus2]],Table4[[Tegevusala nimetus]:[Tegevusala koondnimetus]],2,FALSE)</f>
        <v>Üldised valitsussektori teenused</v>
      </c>
      <c r="F13" t="s">
        <v>473</v>
      </c>
      <c r="G13" t="s">
        <v>482</v>
      </c>
      <c r="H13" s="40">
        <v>120</v>
      </c>
      <c r="J13">
        <v>5504</v>
      </c>
      <c r="K13" s="3" t="str">
        <f>VLOOKUP(Table2[[#This Row],[Konto]],Table5[[Konto]:[Konto nimetus]],2,FALSE)</f>
        <v>Koolituskulud</v>
      </c>
      <c r="L13">
        <v>55</v>
      </c>
      <c r="M13" t="str">
        <f t="shared" si="1"/>
        <v>55</v>
      </c>
      <c r="N13" t="str">
        <f>VLOOKUP(Table2[[#This Row],[Tulu/kulu liik2]],Table5[[Tulu/kulu liik]:[Kontode koondnimetus]],4,FALSE)</f>
        <v>Muud tegevuskulud</v>
      </c>
      <c r="O13" t="str">
        <f>VLOOKUP(Table2[[#This Row],[Tulu/kulu liik2]],Table5[],6,FALSE)</f>
        <v>Majandamiskulud</v>
      </c>
      <c r="P13" s="3" t="str">
        <f>VLOOKUP(Table2[[#This Row],[Tulu/kulu liik2]],Table5[],5,FALSE)</f>
        <v>Põhitegevuse kulu</v>
      </c>
    </row>
    <row r="14" spans="1:17" hidden="1" x14ac:dyDescent="0.25">
      <c r="A14" s="8" t="str">
        <f t="shared" si="0"/>
        <v>01</v>
      </c>
      <c r="B14" s="8" t="s">
        <v>15</v>
      </c>
      <c r="C14" s="32" t="str">
        <f>VLOOKUP(Table2[[#This Row],[Tegevusala]],Table4[],2,FALSE)</f>
        <v xml:space="preserve"> Valla- ja linnavalitsus</v>
      </c>
      <c r="D14" s="32" t="str">
        <f>VLOOKUP(Table2[[#This Row],[Tegevusala]],Table4[[Tegevusala kood]:[Tegevusala alanimetus]],4,FALSE)</f>
        <v>Valla- ja linnavalitsus</v>
      </c>
      <c r="E14" s="32" t="str">
        <f>VLOOKUP(Table2[[#This Row],[Tegevusala nimetus2]],Table4[[Tegevusala nimetus]:[Tegevusala koondnimetus]],2,FALSE)</f>
        <v>Üldised valitsussektori teenused</v>
      </c>
      <c r="F14" s="8" t="s">
        <v>473</v>
      </c>
      <c r="G14" s="8" t="s">
        <v>424</v>
      </c>
      <c r="H14" s="43"/>
      <c r="I14" s="9"/>
      <c r="J14" s="8">
        <v>5513</v>
      </c>
      <c r="K14" s="32" t="str">
        <f>VLOOKUP(Table2[[#This Row],[Konto]],Table5[[Konto]:[Konto nimetus]],2,FALSE)</f>
        <v>Sõidukite ülalpidamise kulud</v>
      </c>
      <c r="L14" s="8">
        <v>55</v>
      </c>
      <c r="M14" s="8" t="str">
        <f t="shared" si="1"/>
        <v>55</v>
      </c>
      <c r="N14" s="8" t="str">
        <f>VLOOKUP(Table2[[#This Row],[Tulu/kulu liik2]],Table5[[Tulu/kulu liik]:[Kontode koondnimetus]],4,FALSE)</f>
        <v>Muud tegevuskulud</v>
      </c>
      <c r="O14" s="8" t="str">
        <f>VLOOKUP(Table2[[#This Row],[Tulu/kulu liik2]],Table5[],6,FALSE)</f>
        <v>Majandamiskulud</v>
      </c>
      <c r="P14" s="32" t="str">
        <f>VLOOKUP(Table2[[#This Row],[Tulu/kulu liik2]],Table5[],5,FALSE)</f>
        <v>Põhitegevuse kulu</v>
      </c>
    </row>
    <row r="15" spans="1:17" hidden="1" x14ac:dyDescent="0.25">
      <c r="A15" t="str">
        <f t="shared" si="0"/>
        <v>01</v>
      </c>
      <c r="B15" t="s">
        <v>15</v>
      </c>
      <c r="C15" s="3" t="str">
        <f>VLOOKUP(Table2[[#This Row],[Tegevusala]],Table4[],2,FALSE)</f>
        <v xml:space="preserve"> Valla- ja linnavalitsus</v>
      </c>
      <c r="D15" s="3" t="str">
        <f>VLOOKUP(Table2[[#This Row],[Tegevusala]],Table4[[Tegevusala kood]:[Tegevusala alanimetus]],4,FALSE)</f>
        <v>Valla- ja linnavalitsus</v>
      </c>
      <c r="E15" s="3" t="str">
        <f>VLOOKUP(Table2[[#This Row],[Tegevusala nimetus2]],Table4[[Tegevusala nimetus]:[Tegevusala koondnimetus]],2,FALSE)</f>
        <v>Üldised valitsussektori teenused</v>
      </c>
      <c r="F15" t="s">
        <v>473</v>
      </c>
      <c r="G15" t="s">
        <v>481</v>
      </c>
      <c r="H15" s="40">
        <v>2880</v>
      </c>
      <c r="I15" s="2" t="s">
        <v>484</v>
      </c>
      <c r="J15">
        <v>5514</v>
      </c>
      <c r="K15" s="3" t="str">
        <f>VLOOKUP(Table2[[#This Row],[Konto]],Table5[[Konto]:[Konto nimetus]],2,FALSE)</f>
        <v>Info- ja kommunikatsioonitehnoliigised kulud</v>
      </c>
      <c r="L15">
        <v>55</v>
      </c>
      <c r="M15" t="str">
        <f t="shared" si="1"/>
        <v>55</v>
      </c>
      <c r="N15" t="str">
        <f>VLOOKUP(Table2[[#This Row],[Tulu/kulu liik2]],Table5[[Tulu/kulu liik]:[Kontode koondnimetus]],4,FALSE)</f>
        <v>Muud tegevuskulud</v>
      </c>
      <c r="O15" t="str">
        <f>VLOOKUP(Table2[[#This Row],[Tulu/kulu liik2]],Table5[],6,FALSE)</f>
        <v>Majandamiskulud</v>
      </c>
      <c r="P15" s="3" t="str">
        <f>VLOOKUP(Table2[[#This Row],[Tulu/kulu liik2]],Table5[],5,FALSE)</f>
        <v>Põhitegevuse kulu</v>
      </c>
    </row>
    <row r="16" spans="1:17" hidden="1" x14ac:dyDescent="0.25">
      <c r="A16" t="str">
        <f t="shared" si="0"/>
        <v>01</v>
      </c>
      <c r="B16" t="s">
        <v>15</v>
      </c>
      <c r="C16" s="3" t="str">
        <f>VLOOKUP(Table2[[#This Row],[Tegevusala]],Table4[],2,FALSE)</f>
        <v xml:space="preserve"> Valla- ja linnavalitsus</v>
      </c>
      <c r="D16" s="3" t="str">
        <f>VLOOKUP(Table2[[#This Row],[Tegevusala]],Table4[[Tegevusala kood]:[Tegevusala alanimetus]],4,FALSE)</f>
        <v>Valla- ja linnavalitsus</v>
      </c>
      <c r="E16" s="3" t="str">
        <f>VLOOKUP(Table2[[#This Row],[Tegevusala nimetus2]],Table4[[Tegevusala nimetus]:[Tegevusala koondnimetus]],2,FALSE)</f>
        <v>Üldised valitsussektori teenused</v>
      </c>
      <c r="F16" t="s">
        <v>473</v>
      </c>
      <c r="G16" t="s">
        <v>607</v>
      </c>
      <c r="H16" s="40">
        <v>120</v>
      </c>
      <c r="J16">
        <v>4528</v>
      </c>
      <c r="K16" s="3" t="str">
        <f>VLOOKUP(Table2[[#This Row],[Konto]],Table5[[Konto]:[Konto nimetus]],2,FALSE)</f>
        <v>Liikmemaksud</v>
      </c>
      <c r="L16">
        <v>452</v>
      </c>
      <c r="M16" t="str">
        <f t="shared" si="1"/>
        <v>45</v>
      </c>
      <c r="N16" t="str">
        <f>VLOOKUP(Table2[[#This Row],[Tulu/kulu liik2]],Table5[[Tulu/kulu liik]:[Kontode koondnimetus]],4,FALSE)</f>
        <v>Antavad toetused tegevuskuludeks</v>
      </c>
      <c r="O16" t="str">
        <f>VLOOKUP(Table2[[#This Row],[Tulu/kulu liik2]],Table5[],6,FALSE)</f>
        <v>Mittesihtotstarbelised toetused</v>
      </c>
      <c r="P16" s="3" t="str">
        <f>VLOOKUP(Table2[[#This Row],[Tulu/kulu liik2]],Table5[],5,FALSE)</f>
        <v>Põhitegevuse kulu</v>
      </c>
    </row>
    <row r="17" spans="1:16" hidden="1" x14ac:dyDescent="0.25">
      <c r="A17" t="str">
        <f t="shared" si="0"/>
        <v>01</v>
      </c>
      <c r="B17" t="s">
        <v>15</v>
      </c>
      <c r="C17" s="3" t="str">
        <f>VLOOKUP(Table2[[#This Row],[Tegevusala]],Table4[],2,FALSE)</f>
        <v xml:space="preserve"> Valla- ja linnavalitsus</v>
      </c>
      <c r="D17" s="3" t="str">
        <f>VLOOKUP(Table2[[#This Row],[Tegevusala]],Table4[[Tegevusala kood]:[Tegevusala alanimetus]],4,FALSE)</f>
        <v>Valla- ja linnavalitsus</v>
      </c>
      <c r="E17" s="3" t="str">
        <f>VLOOKUP(Table2[[#This Row],[Tegevusala nimetus2]],Table4[[Tegevusala nimetus]:[Tegevusala koondnimetus]],2,FALSE)</f>
        <v>Üldised valitsussektori teenused</v>
      </c>
      <c r="F17" t="s">
        <v>473</v>
      </c>
      <c r="G17" t="s">
        <v>821</v>
      </c>
      <c r="H17" s="40">
        <v>90</v>
      </c>
      <c r="J17">
        <v>4528</v>
      </c>
      <c r="K17" s="3" t="str">
        <f>VLOOKUP(Table2[[#This Row],[Konto]],Table5[[Konto]:[Konto nimetus]],2,FALSE)</f>
        <v>Liikmemaksud</v>
      </c>
      <c r="L17">
        <v>452</v>
      </c>
      <c r="M17" t="str">
        <f t="shared" si="1"/>
        <v>45</v>
      </c>
      <c r="N17" s="3" t="str">
        <f>VLOOKUP(Table2[[#This Row],[Tulu/kulu liik2]],Table5[[Tulu/kulu liik]:[Kontode koondnimetus]],4,FALSE)</f>
        <v>Antavad toetused tegevuskuludeks</v>
      </c>
      <c r="O17" s="3" t="str">
        <f>VLOOKUP(Table2[[#This Row],[Tulu/kulu liik2]],Table5[],6,FALSE)</f>
        <v>Mittesihtotstarbelised toetused</v>
      </c>
      <c r="P17" s="3" t="str">
        <f>VLOOKUP(Table2[[#This Row],[Tulu/kulu liik2]],Table5[],5,FALSE)</f>
        <v>Põhitegevuse kulu</v>
      </c>
    </row>
    <row r="18" spans="1:16" hidden="1" x14ac:dyDescent="0.25">
      <c r="A18" t="str">
        <f t="shared" si="0"/>
        <v>01</v>
      </c>
      <c r="B18" t="s">
        <v>15</v>
      </c>
      <c r="C18" s="3" t="str">
        <f>VLOOKUP(Table2[[#This Row],[Tegevusala]],Table4[],2,FALSE)</f>
        <v xml:space="preserve"> Valla- ja linnavalitsus</v>
      </c>
      <c r="D18" s="3" t="str">
        <f>VLOOKUP(Table2[[#This Row],[Tegevusala]],Table4[[Tegevusala kood]:[Tegevusala alanimetus]],4,FALSE)</f>
        <v>Valla- ja linnavalitsus</v>
      </c>
      <c r="E18" s="3" t="str">
        <f>VLOOKUP(Table2[[#This Row],[Tegevusala nimetus2]],Table4[[Tegevusala nimetus]:[Tegevusala koondnimetus]],2,FALSE)</f>
        <v>Üldised valitsussektori teenused</v>
      </c>
      <c r="F18" t="s">
        <v>799</v>
      </c>
      <c r="G18" t="s">
        <v>1806</v>
      </c>
      <c r="H18" s="40">
        <v>1000</v>
      </c>
      <c r="J18">
        <v>5504</v>
      </c>
      <c r="K18" s="3" t="str">
        <f>VLOOKUP(Table2[[#This Row],[Konto]],Table5[[Konto]:[Konto nimetus]],2,FALSE)</f>
        <v>Koolituskulud</v>
      </c>
      <c r="L18">
        <v>55</v>
      </c>
      <c r="M18" t="str">
        <f t="shared" si="1"/>
        <v>55</v>
      </c>
      <c r="N18" s="3" t="str">
        <f>VLOOKUP(Table2[[#This Row],[Tulu/kulu liik2]],Table5[[Tulu/kulu liik]:[Kontode koondnimetus]],4,FALSE)</f>
        <v>Muud tegevuskulud</v>
      </c>
      <c r="O18" s="3" t="str">
        <f>VLOOKUP(Table2[[#This Row],[Tulu/kulu liik2]],Table5[],6,FALSE)</f>
        <v>Majandamiskulud</v>
      </c>
      <c r="P18" s="3" t="str">
        <f>VLOOKUP(Table2[[#This Row],[Tulu/kulu liik2]],Table5[],5,FALSE)</f>
        <v>Põhitegevuse kulu</v>
      </c>
    </row>
    <row r="19" spans="1:16" hidden="1" x14ac:dyDescent="0.25">
      <c r="A19" t="str">
        <f t="shared" si="0"/>
        <v>01</v>
      </c>
      <c r="B19" t="s">
        <v>15</v>
      </c>
      <c r="C19" s="3" t="str">
        <f>VLOOKUP(Table2[[#This Row],[Tegevusala]],Table4[],2,FALSE)</f>
        <v xml:space="preserve"> Valla- ja linnavalitsus</v>
      </c>
      <c r="D19" s="3" t="str">
        <f>VLOOKUP(Table2[[#This Row],[Tegevusala]],Table4[[Tegevusala kood]:[Tegevusala alanimetus]],4,FALSE)</f>
        <v>Valla- ja linnavalitsus</v>
      </c>
      <c r="E19" s="3" t="str">
        <f>VLOOKUP(Table2[[#This Row],[Tegevusala nimetus2]],Table4[[Tegevusala nimetus]:[Tegevusala koondnimetus]],2,FALSE)</f>
        <v>Üldised valitsussektori teenused</v>
      </c>
      <c r="F19" t="s">
        <v>473</v>
      </c>
      <c r="G19" t="s">
        <v>1932</v>
      </c>
      <c r="H19" s="40">
        <f>55*12</f>
        <v>660</v>
      </c>
      <c r="I19" s="2" t="s">
        <v>1933</v>
      </c>
      <c r="J19">
        <v>5500</v>
      </c>
      <c r="K19" s="3" t="str">
        <f>VLOOKUP(Table2[[#This Row],[Konto]],Table5[[Konto]:[Konto nimetus]],2,FALSE)</f>
        <v>Administreerimiskulud</v>
      </c>
      <c r="L19">
        <v>55</v>
      </c>
      <c r="M19" t="str">
        <f t="shared" si="1"/>
        <v>55</v>
      </c>
      <c r="N19" s="3" t="str">
        <f>VLOOKUP(Table2[[#This Row],[Tulu/kulu liik2]],Table5[[Tulu/kulu liik]:[Kontode koondnimetus]],4,FALSE)</f>
        <v>Muud tegevuskulud</v>
      </c>
      <c r="O19" s="3" t="str">
        <f>VLOOKUP(Table2[[#This Row],[Tulu/kulu liik2]],Table5[],6,FALSE)</f>
        <v>Majandamiskulud</v>
      </c>
      <c r="P19" s="3" t="str">
        <f>VLOOKUP(Table2[[#This Row],[Tulu/kulu liik2]],Table5[],5,FALSE)</f>
        <v>Põhitegevuse kulu</v>
      </c>
    </row>
    <row r="20" spans="1:16" s="33" customFormat="1" hidden="1" x14ac:dyDescent="0.25">
      <c r="A20" t="str">
        <f t="shared" si="0"/>
        <v>01</v>
      </c>
      <c r="B20" t="s">
        <v>15</v>
      </c>
      <c r="C20" s="3" t="str">
        <f>VLOOKUP(Table2[[#This Row],[Tegevusala]],Table4[],2,FALSE)</f>
        <v xml:space="preserve"> Valla- ja linnavalitsus</v>
      </c>
      <c r="D20" s="3" t="str">
        <f>VLOOKUP(Table2[[#This Row],[Tegevusala]],Table4[[Tegevusala kood]:[Tegevusala alanimetus]],4,FALSE)</f>
        <v>Valla- ja linnavalitsus</v>
      </c>
      <c r="E20" s="3" t="str">
        <f>VLOOKUP(Table2[[#This Row],[Tegevusala nimetus2]],Table4[[Tegevusala nimetus]:[Tegevusala koondnimetus]],2,FALSE)</f>
        <v>Üldised valitsussektori teenused</v>
      </c>
      <c r="F20" t="s">
        <v>473</v>
      </c>
      <c r="G20" t="s">
        <v>1932</v>
      </c>
      <c r="H20" s="40">
        <f>40*12</f>
        <v>480</v>
      </c>
      <c r="I20" s="2"/>
      <c r="J20">
        <v>5500</v>
      </c>
      <c r="K20" s="3" t="str">
        <f>VLOOKUP(Table2[[#This Row],[Konto]],Table5[[Konto]:[Konto nimetus]],2,FALSE)</f>
        <v>Administreerimiskulud</v>
      </c>
      <c r="L20">
        <v>55</v>
      </c>
      <c r="M20" t="str">
        <f t="shared" si="1"/>
        <v>55</v>
      </c>
      <c r="N20" s="3" t="str">
        <f>VLOOKUP(Table2[[#This Row],[Tulu/kulu liik2]],Table5[[Tulu/kulu liik]:[Kontode koondnimetus]],4,FALSE)</f>
        <v>Muud tegevuskulud</v>
      </c>
      <c r="O20" s="3" t="str">
        <f>VLOOKUP(Table2[[#This Row],[Tulu/kulu liik2]],Table5[],6,FALSE)</f>
        <v>Majandamiskulud</v>
      </c>
      <c r="P20" s="3" t="str">
        <f>VLOOKUP(Table2[[#This Row],[Tulu/kulu liik2]],Table5[],5,FALSE)</f>
        <v>Põhitegevuse kulu</v>
      </c>
    </row>
    <row r="21" spans="1:16" hidden="1" x14ac:dyDescent="0.25">
      <c r="A21" t="str">
        <f t="shared" si="0"/>
        <v>01</v>
      </c>
      <c r="B21" t="s">
        <v>15</v>
      </c>
      <c r="C21" s="3" t="str">
        <f>VLOOKUP(Table2[[#This Row],[Tegevusala]],Table4[],2,FALSE)</f>
        <v xml:space="preserve"> Valla- ja linnavalitsus</v>
      </c>
      <c r="D21" s="3" t="str">
        <f>VLOOKUP(Table2[[#This Row],[Tegevusala]],Table4[[Tegevusala kood]:[Tegevusala alanimetus]],4,FALSE)</f>
        <v>Valla- ja linnavalitsus</v>
      </c>
      <c r="E21" s="3" t="str">
        <f>VLOOKUP(Table2[[#This Row],[Tegevusala nimetus2]],Table4[[Tegevusala nimetus]:[Tegevusala koondnimetus]],2,FALSE)</f>
        <v>Üldised valitsussektori teenused</v>
      </c>
      <c r="F21" t="s">
        <v>1949</v>
      </c>
      <c r="G21" t="s">
        <v>1934</v>
      </c>
      <c r="H21" s="40">
        <v>500</v>
      </c>
      <c r="J21">
        <v>5500</v>
      </c>
      <c r="K21" s="3" t="str">
        <f>VLOOKUP(Table2[[#This Row],[Konto]],Table5[[Konto]:[Konto nimetus]],2,FALSE)</f>
        <v>Administreerimiskulud</v>
      </c>
      <c r="L21">
        <v>55</v>
      </c>
      <c r="M21" t="str">
        <f t="shared" si="1"/>
        <v>55</v>
      </c>
      <c r="N21" s="3" t="str">
        <f>VLOOKUP(Table2[[#This Row],[Tulu/kulu liik2]],Table5[[Tulu/kulu liik]:[Kontode koondnimetus]],4,FALSE)</f>
        <v>Muud tegevuskulud</v>
      </c>
      <c r="O21" s="3" t="str">
        <f>VLOOKUP(Table2[[#This Row],[Tulu/kulu liik2]],Table5[],6,FALSE)</f>
        <v>Majandamiskulud</v>
      </c>
      <c r="P21" s="3" t="str">
        <f>VLOOKUP(Table2[[#This Row],[Tulu/kulu liik2]],Table5[],5,FALSE)</f>
        <v>Põhitegevuse kulu</v>
      </c>
    </row>
    <row r="22" spans="1:16" hidden="1" x14ac:dyDescent="0.25">
      <c r="A22" t="str">
        <f t="shared" si="0"/>
        <v>01</v>
      </c>
      <c r="B22" t="s">
        <v>15</v>
      </c>
      <c r="C22" s="3" t="str">
        <f>VLOOKUP(Table2[[#This Row],[Tegevusala]],Table4[],2,FALSE)</f>
        <v xml:space="preserve"> Valla- ja linnavalitsus</v>
      </c>
      <c r="D22" s="3" t="str">
        <f>VLOOKUP(Table2[[#This Row],[Tegevusala]],Table4[[Tegevusala kood]:[Tegevusala alanimetus]],4,FALSE)</f>
        <v>Valla- ja linnavalitsus</v>
      </c>
      <c r="E22" s="3" t="str">
        <f>VLOOKUP(Table2[[#This Row],[Tegevusala nimetus2]],Table4[[Tegevusala nimetus]:[Tegevusala koondnimetus]],2,FALSE)</f>
        <v>Üldised valitsussektori teenused</v>
      </c>
      <c r="F22" t="s">
        <v>1949</v>
      </c>
      <c r="G22" t="s">
        <v>1935</v>
      </c>
      <c r="H22" s="40">
        <v>500</v>
      </c>
      <c r="J22">
        <v>5500</v>
      </c>
      <c r="K22" s="3" t="str">
        <f>VLOOKUP(Table2[[#This Row],[Konto]],Table5[[Konto]:[Konto nimetus]],2,FALSE)</f>
        <v>Administreerimiskulud</v>
      </c>
      <c r="L22">
        <v>55</v>
      </c>
      <c r="M22" t="str">
        <f t="shared" si="1"/>
        <v>55</v>
      </c>
      <c r="N22" s="3" t="str">
        <f>VLOOKUP(Table2[[#This Row],[Tulu/kulu liik2]],Table5[[Tulu/kulu liik]:[Kontode koondnimetus]],4,FALSE)</f>
        <v>Muud tegevuskulud</v>
      </c>
      <c r="O22" s="3" t="str">
        <f>VLOOKUP(Table2[[#This Row],[Tulu/kulu liik2]],Table5[],6,FALSE)</f>
        <v>Majandamiskulud</v>
      </c>
      <c r="P22" s="3" t="str">
        <f>VLOOKUP(Table2[[#This Row],[Tulu/kulu liik2]],Table5[],5,FALSE)</f>
        <v>Põhitegevuse kulu</v>
      </c>
    </row>
    <row r="23" spans="1:16" hidden="1" x14ac:dyDescent="0.25">
      <c r="A23" t="str">
        <f t="shared" si="0"/>
        <v>01</v>
      </c>
      <c r="B23" t="s">
        <v>15</v>
      </c>
      <c r="C23" s="3" t="str">
        <f>VLOOKUP(Table2[[#This Row],[Tegevusala]],Table4[],2,FALSE)</f>
        <v xml:space="preserve"> Valla- ja linnavalitsus</v>
      </c>
      <c r="D23" s="3" t="str">
        <f>VLOOKUP(Table2[[#This Row],[Tegevusala]],Table4[[Tegevusala kood]:[Tegevusala alanimetus]],4,FALSE)</f>
        <v>Valla- ja linnavalitsus</v>
      </c>
      <c r="E23" s="3" t="str">
        <f>VLOOKUP(Table2[[#This Row],[Tegevusala nimetus2]],Table4[[Tegevusala nimetus]:[Tegevusala koondnimetus]],2,FALSE)</f>
        <v>Üldised valitsussektori teenused</v>
      </c>
      <c r="F23" t="s">
        <v>1949</v>
      </c>
      <c r="G23" t="s">
        <v>845</v>
      </c>
      <c r="H23" s="40">
        <f>28*60</f>
        <v>1680</v>
      </c>
      <c r="J23">
        <v>5500</v>
      </c>
      <c r="K23" s="3" t="str">
        <f>VLOOKUP(Table2[[#This Row],[Konto]],Table5[[Konto]:[Konto nimetus]],2,FALSE)</f>
        <v>Administreerimiskulud</v>
      </c>
      <c r="L23">
        <v>55</v>
      </c>
      <c r="M23" t="str">
        <f t="shared" si="1"/>
        <v>55</v>
      </c>
      <c r="N23" s="3" t="str">
        <f>VLOOKUP(Table2[[#This Row],[Tulu/kulu liik2]],Table5[[Tulu/kulu liik]:[Kontode koondnimetus]],4,FALSE)</f>
        <v>Muud tegevuskulud</v>
      </c>
      <c r="O23" s="3" t="str">
        <f>VLOOKUP(Table2[[#This Row],[Tulu/kulu liik2]],Table5[],6,FALSE)</f>
        <v>Majandamiskulud</v>
      </c>
      <c r="P23" s="3" t="str">
        <f>VLOOKUP(Table2[[#This Row],[Tulu/kulu liik2]],Table5[],5,FALSE)</f>
        <v>Põhitegevuse kulu</v>
      </c>
    </row>
    <row r="24" spans="1:16" hidden="1" x14ac:dyDescent="0.25">
      <c r="A24" t="str">
        <f t="shared" si="0"/>
        <v>01</v>
      </c>
      <c r="B24" t="s">
        <v>15</v>
      </c>
      <c r="C24" s="3" t="str">
        <f>VLOOKUP(Table2[[#This Row],[Tegevusala]],Table4[],2,FALSE)</f>
        <v xml:space="preserve"> Valla- ja linnavalitsus</v>
      </c>
      <c r="D24" s="3" t="str">
        <f>VLOOKUP(Table2[[#This Row],[Tegevusala]],Table4[[Tegevusala kood]:[Tegevusala alanimetus]],4,FALSE)</f>
        <v>Valla- ja linnavalitsus</v>
      </c>
      <c r="E24" s="3" t="str">
        <f>VLOOKUP(Table2[[#This Row],[Tegevusala nimetus2]],Table4[[Tegevusala nimetus]:[Tegevusala koondnimetus]],2,FALSE)</f>
        <v>Üldised valitsussektori teenused</v>
      </c>
      <c r="F24" t="s">
        <v>1949</v>
      </c>
      <c r="G24" t="s">
        <v>1936</v>
      </c>
      <c r="H24" s="40">
        <f>80*12</f>
        <v>960</v>
      </c>
      <c r="J24">
        <v>5500</v>
      </c>
      <c r="K24" s="3" t="str">
        <f>VLOOKUP(Table2[[#This Row],[Konto]],Table5[[Konto]:[Konto nimetus]],2,FALSE)</f>
        <v>Administreerimiskulud</v>
      </c>
      <c r="L24">
        <v>55</v>
      </c>
      <c r="M24" t="str">
        <f t="shared" si="1"/>
        <v>55</v>
      </c>
      <c r="N24" s="3" t="str">
        <f>VLOOKUP(Table2[[#This Row],[Tulu/kulu liik2]],Table5[[Tulu/kulu liik]:[Kontode koondnimetus]],4,FALSE)</f>
        <v>Muud tegevuskulud</v>
      </c>
      <c r="O24" s="3" t="str">
        <f>VLOOKUP(Table2[[#This Row],[Tulu/kulu liik2]],Table5[],6,FALSE)</f>
        <v>Majandamiskulud</v>
      </c>
      <c r="P24" s="3" t="str">
        <f>VLOOKUP(Table2[[#This Row],[Tulu/kulu liik2]],Table5[],5,FALSE)</f>
        <v>Põhitegevuse kulu</v>
      </c>
    </row>
    <row r="25" spans="1:16" hidden="1" x14ac:dyDescent="0.25">
      <c r="A25" s="33" t="str">
        <f t="shared" si="0"/>
        <v>01</v>
      </c>
      <c r="B25" s="33" t="s">
        <v>15</v>
      </c>
      <c r="C25" s="34" t="str">
        <f>VLOOKUP(Table2[[#This Row],[Tegevusala]],Table4[],2,FALSE)</f>
        <v xml:space="preserve"> Valla- ja linnavalitsus</v>
      </c>
      <c r="D25" s="34" t="str">
        <f>VLOOKUP(Table2[[#This Row],[Tegevusala]],Table4[[Tegevusala kood]:[Tegevusala alanimetus]],4,FALSE)</f>
        <v>Valla- ja linnavalitsus</v>
      </c>
      <c r="E25" s="34" t="str">
        <f>VLOOKUP(Table2[[#This Row],[Tegevusala nimetus2]],Table4[[Tegevusala nimetus]:[Tegevusala koondnimetus]],2,FALSE)</f>
        <v>Üldised valitsussektori teenused</v>
      </c>
      <c r="F25" s="33" t="s">
        <v>1949</v>
      </c>
      <c r="G25" s="33" t="s">
        <v>1937</v>
      </c>
      <c r="H25" s="47">
        <v>1500</v>
      </c>
      <c r="I25" s="35"/>
      <c r="J25" s="33">
        <v>5500</v>
      </c>
      <c r="K25" s="34" t="str">
        <f>VLOOKUP(Table2[[#This Row],[Konto]],Table5[[Konto]:[Konto nimetus]],2,FALSE)</f>
        <v>Administreerimiskulud</v>
      </c>
      <c r="L25" s="33">
        <v>55</v>
      </c>
      <c r="M25" s="33" t="str">
        <f t="shared" si="1"/>
        <v>55</v>
      </c>
      <c r="N25" s="34" t="str">
        <f>VLOOKUP(Table2[[#This Row],[Tulu/kulu liik2]],Table5[[Tulu/kulu liik]:[Kontode koondnimetus]],4,FALSE)</f>
        <v>Muud tegevuskulud</v>
      </c>
      <c r="O25" s="34" t="str">
        <f>VLOOKUP(Table2[[#This Row],[Tulu/kulu liik2]],Table5[],6,FALSE)</f>
        <v>Majandamiskulud</v>
      </c>
      <c r="P25" s="34" t="str">
        <f>VLOOKUP(Table2[[#This Row],[Tulu/kulu liik2]],Table5[],5,FALSE)</f>
        <v>Põhitegevuse kulu</v>
      </c>
    </row>
    <row r="26" spans="1:16" hidden="1" x14ac:dyDescent="0.25">
      <c r="A26" t="str">
        <f t="shared" si="0"/>
        <v>01</v>
      </c>
      <c r="B26" t="s">
        <v>15</v>
      </c>
      <c r="C26" s="3" t="str">
        <f>VLOOKUP(Table2[[#This Row],[Tegevusala]],Table4[],2,FALSE)</f>
        <v xml:space="preserve"> Valla- ja linnavalitsus</v>
      </c>
      <c r="D26" s="3" t="str">
        <f>VLOOKUP(Table2[[#This Row],[Tegevusala]],Table4[[Tegevusala kood]:[Tegevusala alanimetus]],4,FALSE)</f>
        <v>Valla- ja linnavalitsus</v>
      </c>
      <c r="E26" s="3" t="str">
        <f>VLOOKUP(Table2[[#This Row],[Tegevusala nimetus2]],Table4[[Tegevusala nimetus]:[Tegevusala koondnimetus]],2,FALSE)</f>
        <v>Üldised valitsussektori teenused</v>
      </c>
      <c r="F26" t="s">
        <v>1949</v>
      </c>
      <c r="G26" t="s">
        <v>1938</v>
      </c>
      <c r="H26" s="40">
        <f>120*12</f>
        <v>1440</v>
      </c>
      <c r="J26">
        <v>5500</v>
      </c>
      <c r="K26" s="3" t="str">
        <f>VLOOKUP(Table2[[#This Row],[Konto]],Table5[[Konto]:[Konto nimetus]],2,FALSE)</f>
        <v>Administreerimiskulud</v>
      </c>
      <c r="L26">
        <v>55</v>
      </c>
      <c r="M26" t="str">
        <f t="shared" si="1"/>
        <v>55</v>
      </c>
      <c r="N26" s="3" t="str">
        <f>VLOOKUP(Table2[[#This Row],[Tulu/kulu liik2]],Table5[[Tulu/kulu liik]:[Kontode koondnimetus]],4,FALSE)</f>
        <v>Muud tegevuskulud</v>
      </c>
      <c r="O26" s="3" t="str">
        <f>VLOOKUP(Table2[[#This Row],[Tulu/kulu liik2]],Table5[],6,FALSE)</f>
        <v>Majandamiskulud</v>
      </c>
      <c r="P26" s="3" t="str">
        <f>VLOOKUP(Table2[[#This Row],[Tulu/kulu liik2]],Table5[],5,FALSE)</f>
        <v>Põhitegevuse kulu</v>
      </c>
    </row>
    <row r="27" spans="1:16" hidden="1" x14ac:dyDescent="0.25">
      <c r="A27" t="str">
        <f t="shared" si="0"/>
        <v>01</v>
      </c>
      <c r="B27" t="s">
        <v>15</v>
      </c>
      <c r="C27" s="3" t="str">
        <f>VLOOKUP(Table2[[#This Row],[Tegevusala]],Table4[],2,FALSE)</f>
        <v xml:space="preserve"> Valla- ja linnavalitsus</v>
      </c>
      <c r="D27" s="3" t="str">
        <f>VLOOKUP(Table2[[#This Row],[Tegevusala]],Table4[[Tegevusala kood]:[Tegevusala alanimetus]],4,FALSE)</f>
        <v>Valla- ja linnavalitsus</v>
      </c>
      <c r="E27" s="3" t="str">
        <f>VLOOKUP(Table2[[#This Row],[Tegevusala nimetus2]],Table4[[Tegevusala nimetus]:[Tegevusala koondnimetus]],2,FALSE)</f>
        <v>Üldised valitsussektori teenused</v>
      </c>
      <c r="F27" t="s">
        <v>1949</v>
      </c>
      <c r="G27" t="s">
        <v>1939</v>
      </c>
      <c r="H27" s="40">
        <v>600</v>
      </c>
      <c r="J27">
        <v>5500</v>
      </c>
      <c r="K27" s="3" t="str">
        <f>VLOOKUP(Table2[[#This Row],[Konto]],Table5[[Konto]:[Konto nimetus]],2,FALSE)</f>
        <v>Administreerimiskulud</v>
      </c>
      <c r="L27">
        <v>55</v>
      </c>
      <c r="M27" t="str">
        <f t="shared" si="1"/>
        <v>55</v>
      </c>
      <c r="N27" s="3" t="str">
        <f>VLOOKUP(Table2[[#This Row],[Tulu/kulu liik2]],Table5[[Tulu/kulu liik]:[Kontode koondnimetus]],4,FALSE)</f>
        <v>Muud tegevuskulud</v>
      </c>
      <c r="O27" s="3" t="str">
        <f>VLOOKUP(Table2[[#This Row],[Tulu/kulu liik2]],Table5[],6,FALSE)</f>
        <v>Majandamiskulud</v>
      </c>
      <c r="P27" s="3" t="str">
        <f>VLOOKUP(Table2[[#This Row],[Tulu/kulu liik2]],Table5[],5,FALSE)</f>
        <v>Põhitegevuse kulu</v>
      </c>
    </row>
    <row r="28" spans="1:16" hidden="1" x14ac:dyDescent="0.25">
      <c r="A28" t="str">
        <f t="shared" si="0"/>
        <v>01</v>
      </c>
      <c r="B28" t="s">
        <v>15</v>
      </c>
      <c r="C28" s="3" t="str">
        <f>VLOOKUP(Table2[[#This Row],[Tegevusala]],Table4[],2,FALSE)</f>
        <v xml:space="preserve"> Valla- ja linnavalitsus</v>
      </c>
      <c r="D28" s="3" t="str">
        <f>VLOOKUP(Table2[[#This Row],[Tegevusala]],Table4[[Tegevusala kood]:[Tegevusala alanimetus]],4,FALSE)</f>
        <v>Valla- ja linnavalitsus</v>
      </c>
      <c r="E28" s="3" t="str">
        <f>VLOOKUP(Table2[[#This Row],[Tegevusala nimetus2]],Table4[[Tegevusala nimetus]:[Tegevusala koondnimetus]],2,FALSE)</f>
        <v>Üldised valitsussektori teenused</v>
      </c>
      <c r="F28" t="s">
        <v>1949</v>
      </c>
      <c r="G28" t="s">
        <v>1940</v>
      </c>
      <c r="H28" s="40">
        <f>28*15</f>
        <v>420</v>
      </c>
      <c r="J28">
        <v>5500</v>
      </c>
      <c r="K28" s="3" t="str">
        <f>VLOOKUP(Table2[[#This Row],[Konto]],Table5[[Konto]:[Konto nimetus]],2,FALSE)</f>
        <v>Administreerimiskulud</v>
      </c>
      <c r="L28">
        <v>55</v>
      </c>
      <c r="M28" t="str">
        <f t="shared" si="1"/>
        <v>55</v>
      </c>
      <c r="N28" s="3" t="str">
        <f>VLOOKUP(Table2[[#This Row],[Tulu/kulu liik2]],Table5[[Tulu/kulu liik]:[Kontode koondnimetus]],4,FALSE)</f>
        <v>Muud tegevuskulud</v>
      </c>
      <c r="O28" s="3" t="str">
        <f>VLOOKUP(Table2[[#This Row],[Tulu/kulu liik2]],Table5[],6,FALSE)</f>
        <v>Majandamiskulud</v>
      </c>
      <c r="P28" s="3" t="str">
        <f>VLOOKUP(Table2[[#This Row],[Tulu/kulu liik2]],Table5[],5,FALSE)</f>
        <v>Põhitegevuse kulu</v>
      </c>
    </row>
    <row r="29" spans="1:16" hidden="1" x14ac:dyDescent="0.25">
      <c r="A29" t="str">
        <f t="shared" si="0"/>
        <v>01</v>
      </c>
      <c r="B29" t="s">
        <v>15</v>
      </c>
      <c r="C29" s="3" t="str">
        <f>VLOOKUP(Table2[[#This Row],[Tegevusala]],Table4[],2,FALSE)</f>
        <v xml:space="preserve"> Valla- ja linnavalitsus</v>
      </c>
      <c r="D29" s="3" t="str">
        <f>VLOOKUP(Table2[[#This Row],[Tegevusala]],Table4[[Tegevusala kood]:[Tegevusala alanimetus]],4,FALSE)</f>
        <v>Valla- ja linnavalitsus</v>
      </c>
      <c r="E29" s="3" t="str">
        <f>VLOOKUP(Table2[[#This Row],[Tegevusala nimetus2]],Table4[[Tegevusala nimetus]:[Tegevusala koondnimetus]],2,FALSE)</f>
        <v>Üldised valitsussektori teenused</v>
      </c>
      <c r="F29" t="s">
        <v>1949</v>
      </c>
      <c r="G29" t="s">
        <v>1941</v>
      </c>
      <c r="H29" s="40">
        <v>5000</v>
      </c>
      <c r="J29">
        <v>5500</v>
      </c>
      <c r="K29" s="3" t="str">
        <f>VLOOKUP(Table2[[#This Row],[Konto]],Table5[[Konto]:[Konto nimetus]],2,FALSE)</f>
        <v>Administreerimiskulud</v>
      </c>
      <c r="L29">
        <v>55</v>
      </c>
      <c r="M29" t="str">
        <f t="shared" si="1"/>
        <v>55</v>
      </c>
      <c r="N29" s="3" t="str">
        <f>VLOOKUP(Table2[[#This Row],[Tulu/kulu liik2]],Table5[[Tulu/kulu liik]:[Kontode koondnimetus]],4,FALSE)</f>
        <v>Muud tegevuskulud</v>
      </c>
      <c r="O29" s="3" t="str">
        <f>VLOOKUP(Table2[[#This Row],[Tulu/kulu liik2]],Table5[],6,FALSE)</f>
        <v>Majandamiskulud</v>
      </c>
      <c r="P29" s="3" t="str">
        <f>VLOOKUP(Table2[[#This Row],[Tulu/kulu liik2]],Table5[],5,FALSE)</f>
        <v>Põhitegevuse kulu</v>
      </c>
    </row>
    <row r="30" spans="1:16" hidden="1" x14ac:dyDescent="0.25">
      <c r="A30" t="str">
        <f t="shared" si="0"/>
        <v>01</v>
      </c>
      <c r="B30" t="s">
        <v>15</v>
      </c>
      <c r="C30" s="3" t="str">
        <f>VLOOKUP(Table2[[#This Row],[Tegevusala]],Table4[],2,FALSE)</f>
        <v xml:space="preserve"> Valla- ja linnavalitsus</v>
      </c>
      <c r="D30" s="3" t="str">
        <f>VLOOKUP(Table2[[#This Row],[Tegevusala]],Table4[[Tegevusala kood]:[Tegevusala alanimetus]],4,FALSE)</f>
        <v>Valla- ja linnavalitsus</v>
      </c>
      <c r="E30" s="3" t="str">
        <f>VLOOKUP(Table2[[#This Row],[Tegevusala nimetus2]],Table4[[Tegevusala nimetus]:[Tegevusala koondnimetus]],2,FALSE)</f>
        <v>Üldised valitsussektori teenused</v>
      </c>
      <c r="F30" t="s">
        <v>1949</v>
      </c>
      <c r="G30" t="s">
        <v>1942</v>
      </c>
      <c r="H30" s="40">
        <f>210*12</f>
        <v>2520</v>
      </c>
      <c r="J30">
        <v>5500</v>
      </c>
      <c r="K30" s="3" t="str">
        <f>VLOOKUP(Table2[[#This Row],[Konto]],Table5[[Konto]:[Konto nimetus]],2,FALSE)</f>
        <v>Administreerimiskulud</v>
      </c>
      <c r="L30">
        <v>55</v>
      </c>
      <c r="M30" t="str">
        <f t="shared" si="1"/>
        <v>55</v>
      </c>
      <c r="N30" s="3" t="str">
        <f>VLOOKUP(Table2[[#This Row],[Tulu/kulu liik2]],Table5[[Tulu/kulu liik]:[Kontode koondnimetus]],4,FALSE)</f>
        <v>Muud tegevuskulud</v>
      </c>
      <c r="O30" s="3" t="str">
        <f>VLOOKUP(Table2[[#This Row],[Tulu/kulu liik2]],Table5[],6,FALSE)</f>
        <v>Majandamiskulud</v>
      </c>
      <c r="P30" s="3" t="str">
        <f>VLOOKUP(Table2[[#This Row],[Tulu/kulu liik2]],Table5[],5,FALSE)</f>
        <v>Põhitegevuse kulu</v>
      </c>
    </row>
    <row r="31" spans="1:16" hidden="1" x14ac:dyDescent="0.25">
      <c r="A31" t="str">
        <f t="shared" si="0"/>
        <v>01</v>
      </c>
      <c r="B31" t="s">
        <v>15</v>
      </c>
      <c r="C31" s="3" t="str">
        <f>VLOOKUP(Table2[[#This Row],[Tegevusala]],Table4[],2,FALSE)</f>
        <v xml:space="preserve"> Valla- ja linnavalitsus</v>
      </c>
      <c r="D31" s="3" t="str">
        <f>VLOOKUP(Table2[[#This Row],[Tegevusala]],Table4[[Tegevusala kood]:[Tegevusala alanimetus]],4,FALSE)</f>
        <v>Valla- ja linnavalitsus</v>
      </c>
      <c r="E31" s="3" t="str">
        <f>VLOOKUP(Table2[[#This Row],[Tegevusala nimetus2]],Table4[[Tegevusala nimetus]:[Tegevusala koondnimetus]],2,FALSE)</f>
        <v>Üldised valitsussektori teenused</v>
      </c>
      <c r="F31" t="s">
        <v>1949</v>
      </c>
      <c r="G31" t="s">
        <v>1943</v>
      </c>
      <c r="H31" s="40">
        <f>290*12</f>
        <v>3480</v>
      </c>
      <c r="J31">
        <v>5500</v>
      </c>
      <c r="K31" s="3" t="str">
        <f>VLOOKUP(Table2[[#This Row],[Konto]],Table5[[Konto]:[Konto nimetus]],2,FALSE)</f>
        <v>Administreerimiskulud</v>
      </c>
      <c r="L31">
        <v>55</v>
      </c>
      <c r="M31" t="str">
        <f t="shared" si="1"/>
        <v>55</v>
      </c>
      <c r="N31" s="3" t="str">
        <f>VLOOKUP(Table2[[#This Row],[Tulu/kulu liik2]],Table5[[Tulu/kulu liik]:[Kontode koondnimetus]],4,FALSE)</f>
        <v>Muud tegevuskulud</v>
      </c>
      <c r="O31" s="3" t="str">
        <f>VLOOKUP(Table2[[#This Row],[Tulu/kulu liik2]],Table5[],6,FALSE)</f>
        <v>Majandamiskulud</v>
      </c>
      <c r="P31" s="3" t="str">
        <f>VLOOKUP(Table2[[#This Row],[Tulu/kulu liik2]],Table5[],5,FALSE)</f>
        <v>Põhitegevuse kulu</v>
      </c>
    </row>
    <row r="32" spans="1:16" hidden="1" x14ac:dyDescent="0.25">
      <c r="A32" t="str">
        <f t="shared" si="0"/>
        <v>01</v>
      </c>
      <c r="B32" t="s">
        <v>15</v>
      </c>
      <c r="C32" s="3" t="str">
        <f>VLOOKUP(Table2[[#This Row],[Tegevusala]],Table4[],2,FALSE)</f>
        <v xml:space="preserve"> Valla- ja linnavalitsus</v>
      </c>
      <c r="D32" s="3" t="str">
        <f>VLOOKUP(Table2[[#This Row],[Tegevusala]],Table4[[Tegevusala kood]:[Tegevusala alanimetus]],4,FALSE)</f>
        <v>Valla- ja linnavalitsus</v>
      </c>
      <c r="E32" s="3" t="str">
        <f>VLOOKUP(Table2[[#This Row],[Tegevusala nimetus2]],Table4[[Tegevusala nimetus]:[Tegevusala koondnimetus]],2,FALSE)</f>
        <v>Üldised valitsussektori teenused</v>
      </c>
      <c r="F32" t="s">
        <v>1949</v>
      </c>
      <c r="G32" t="s">
        <v>1944</v>
      </c>
      <c r="H32" s="40">
        <f>45*12</f>
        <v>540</v>
      </c>
      <c r="J32">
        <v>5500</v>
      </c>
      <c r="K32" s="3" t="str">
        <f>VLOOKUP(Table2[[#This Row],[Konto]],Table5[[Konto]:[Konto nimetus]],2,FALSE)</f>
        <v>Administreerimiskulud</v>
      </c>
      <c r="L32">
        <v>55</v>
      </c>
      <c r="M32" t="str">
        <f t="shared" si="1"/>
        <v>55</v>
      </c>
      <c r="N32" s="3" t="str">
        <f>VLOOKUP(Table2[[#This Row],[Tulu/kulu liik2]],Table5[[Tulu/kulu liik]:[Kontode koondnimetus]],4,FALSE)</f>
        <v>Muud tegevuskulud</v>
      </c>
      <c r="O32" s="3" t="str">
        <f>VLOOKUP(Table2[[#This Row],[Tulu/kulu liik2]],Table5[],6,FALSE)</f>
        <v>Majandamiskulud</v>
      </c>
      <c r="P32" s="3" t="str">
        <f>VLOOKUP(Table2[[#This Row],[Tulu/kulu liik2]],Table5[],5,FALSE)</f>
        <v>Põhitegevuse kulu</v>
      </c>
    </row>
    <row r="33" spans="1:16" hidden="1" x14ac:dyDescent="0.25">
      <c r="A33" s="33" t="str">
        <f t="shared" si="0"/>
        <v>01</v>
      </c>
      <c r="B33" s="33" t="s">
        <v>15</v>
      </c>
      <c r="C33" s="34" t="str">
        <f>VLOOKUP(Table2[[#This Row],[Tegevusala]],Table4[],2,FALSE)</f>
        <v xml:space="preserve"> Valla- ja linnavalitsus</v>
      </c>
      <c r="D33" s="34" t="str">
        <f>VLOOKUP(Table2[[#This Row],[Tegevusala]],Table4[[Tegevusala kood]:[Tegevusala alanimetus]],4,FALSE)</f>
        <v>Valla- ja linnavalitsus</v>
      </c>
      <c r="E33" s="34" t="str">
        <f>VLOOKUP(Table2[[#This Row],[Tegevusala nimetus2]],Table4[[Tegevusala nimetus]:[Tegevusala koondnimetus]],2,FALSE)</f>
        <v>Üldised valitsussektori teenused</v>
      </c>
      <c r="F33" s="33" t="s">
        <v>1949</v>
      </c>
      <c r="G33" s="33" t="s">
        <v>1945</v>
      </c>
      <c r="H33" s="47">
        <v>5500</v>
      </c>
      <c r="I33" s="35"/>
      <c r="J33" s="33">
        <v>5500</v>
      </c>
      <c r="K33" s="34" t="str">
        <f>VLOOKUP(Table2[[#This Row],[Konto]],Table5[[Konto]:[Konto nimetus]],2,FALSE)</f>
        <v>Administreerimiskulud</v>
      </c>
      <c r="L33" s="33">
        <v>55</v>
      </c>
      <c r="M33" s="33" t="str">
        <f t="shared" si="1"/>
        <v>55</v>
      </c>
      <c r="N33" s="34" t="str">
        <f>VLOOKUP(Table2[[#This Row],[Tulu/kulu liik2]],Table5[[Tulu/kulu liik]:[Kontode koondnimetus]],4,FALSE)</f>
        <v>Muud tegevuskulud</v>
      </c>
      <c r="O33" s="34" t="str">
        <f>VLOOKUP(Table2[[#This Row],[Tulu/kulu liik2]],Table5[],6,FALSE)</f>
        <v>Majandamiskulud</v>
      </c>
      <c r="P33" s="34" t="str">
        <f>VLOOKUP(Table2[[#This Row],[Tulu/kulu liik2]],Table5[],5,FALSE)</f>
        <v>Põhitegevuse kulu</v>
      </c>
    </row>
    <row r="34" spans="1:16" hidden="1" x14ac:dyDescent="0.25">
      <c r="A34" t="str">
        <f t="shared" si="0"/>
        <v>01</v>
      </c>
      <c r="B34" t="s">
        <v>15</v>
      </c>
      <c r="C34" s="3" t="str">
        <f>VLOOKUP(Table2[[#This Row],[Tegevusala]],Table4[],2,FALSE)</f>
        <v xml:space="preserve"> Valla- ja linnavalitsus</v>
      </c>
      <c r="D34" s="3" t="str">
        <f>VLOOKUP(Table2[[#This Row],[Tegevusala]],Table4[[Tegevusala kood]:[Tegevusala alanimetus]],4,FALSE)</f>
        <v>Valla- ja linnavalitsus</v>
      </c>
      <c r="E34" s="3" t="str">
        <f>VLOOKUP(Table2[[#This Row],[Tegevusala nimetus2]],Table4[[Tegevusala nimetus]:[Tegevusala koondnimetus]],2,FALSE)</f>
        <v>Üldised valitsussektori teenused</v>
      </c>
      <c r="F34" t="s">
        <v>1949</v>
      </c>
      <c r="G34" t="s">
        <v>1946</v>
      </c>
      <c r="H34" s="40">
        <f>550+450</f>
        <v>1000</v>
      </c>
      <c r="I34" s="2" t="s">
        <v>1947</v>
      </c>
      <c r="J34">
        <v>5500</v>
      </c>
      <c r="K34" s="3" t="str">
        <f>VLOOKUP(Table2[[#This Row],[Konto]],Table5[[Konto]:[Konto nimetus]],2,FALSE)</f>
        <v>Administreerimiskulud</v>
      </c>
      <c r="L34">
        <v>55</v>
      </c>
      <c r="M34" t="str">
        <f t="shared" si="1"/>
        <v>55</v>
      </c>
      <c r="N34" s="3" t="str">
        <f>VLOOKUP(Table2[[#This Row],[Tulu/kulu liik2]],Table5[[Tulu/kulu liik]:[Kontode koondnimetus]],4,FALSE)</f>
        <v>Muud tegevuskulud</v>
      </c>
      <c r="O34" s="3" t="str">
        <f>VLOOKUP(Table2[[#This Row],[Tulu/kulu liik2]],Table5[],6,FALSE)</f>
        <v>Majandamiskulud</v>
      </c>
      <c r="P34" s="3" t="str">
        <f>VLOOKUP(Table2[[#This Row],[Tulu/kulu liik2]],Table5[],5,FALSE)</f>
        <v>Põhitegevuse kulu</v>
      </c>
    </row>
    <row r="35" spans="1:16" hidden="1" x14ac:dyDescent="0.25">
      <c r="A35" t="str">
        <f t="shared" si="0"/>
        <v>01</v>
      </c>
      <c r="B35" t="s">
        <v>15</v>
      </c>
      <c r="C35" s="3" t="str">
        <f>VLOOKUP(Table2[[#This Row],[Tegevusala]],Table4[],2,FALSE)</f>
        <v xml:space="preserve"> Valla- ja linnavalitsus</v>
      </c>
      <c r="D35" s="3" t="str">
        <f>VLOOKUP(Table2[[#This Row],[Tegevusala]],Table4[[Tegevusala kood]:[Tegevusala alanimetus]],4,FALSE)</f>
        <v>Valla- ja linnavalitsus</v>
      </c>
      <c r="E35" s="3" t="str">
        <f>VLOOKUP(Table2[[#This Row],[Tegevusala nimetus2]],Table4[[Tegevusala nimetus]:[Tegevusala koondnimetus]],2,FALSE)</f>
        <v>Üldised valitsussektori teenused</v>
      </c>
      <c r="F35" t="s">
        <v>1949</v>
      </c>
      <c r="G35" t="s">
        <v>1948</v>
      </c>
      <c r="H35" s="40">
        <v>60</v>
      </c>
      <c r="J35">
        <v>5500</v>
      </c>
      <c r="K35" s="3" t="str">
        <f>VLOOKUP(Table2[[#This Row],[Konto]],Table5[[Konto]:[Konto nimetus]],2,FALSE)</f>
        <v>Administreerimiskulud</v>
      </c>
      <c r="L35">
        <v>55</v>
      </c>
      <c r="M35" t="str">
        <f t="shared" si="1"/>
        <v>55</v>
      </c>
      <c r="N35" s="3" t="str">
        <f>VLOOKUP(Table2[[#This Row],[Tulu/kulu liik2]],Table5[[Tulu/kulu liik]:[Kontode koondnimetus]],4,FALSE)</f>
        <v>Muud tegevuskulud</v>
      </c>
      <c r="O35" s="3" t="str">
        <f>VLOOKUP(Table2[[#This Row],[Tulu/kulu liik2]],Table5[],6,FALSE)</f>
        <v>Majandamiskulud</v>
      </c>
      <c r="P35" s="3" t="str">
        <f>VLOOKUP(Table2[[#This Row],[Tulu/kulu liik2]],Table5[],5,FALSE)</f>
        <v>Põhitegevuse kulu</v>
      </c>
    </row>
    <row r="36" spans="1:16" hidden="1" x14ac:dyDescent="0.25">
      <c r="A36" t="str">
        <f t="shared" si="0"/>
        <v>01</v>
      </c>
      <c r="B36" t="s">
        <v>15</v>
      </c>
      <c r="C36" s="3" t="str">
        <f>VLOOKUP(Table2[[#This Row],[Tegevusala]],Table4[],2,FALSE)</f>
        <v xml:space="preserve"> Valla- ja linnavalitsus</v>
      </c>
      <c r="D36" s="3" t="str">
        <f>VLOOKUP(Table2[[#This Row],[Tegevusala]],Table4[[Tegevusala kood]:[Tegevusala alanimetus]],4,FALSE)</f>
        <v>Valla- ja linnavalitsus</v>
      </c>
      <c r="E36" s="3" t="str">
        <f>VLOOKUP(Table2[[#This Row],[Tegevusala nimetus2]],Table4[[Tegevusala nimetus]:[Tegevusala koondnimetus]],2,FALSE)</f>
        <v>Üldised valitsussektori teenused</v>
      </c>
      <c r="F36" t="s">
        <v>799</v>
      </c>
      <c r="G36" t="s">
        <v>1950</v>
      </c>
      <c r="H36" s="40">
        <v>1500</v>
      </c>
      <c r="J36">
        <v>5503</v>
      </c>
      <c r="K36" s="3" t="str">
        <f>VLOOKUP(Table2[[#This Row],[Konto]],Table5[[Konto]:[Konto nimetus]],2,FALSE)</f>
        <v>Lähetuskulud</v>
      </c>
      <c r="L36">
        <v>55</v>
      </c>
      <c r="M36" t="str">
        <f t="shared" si="1"/>
        <v>55</v>
      </c>
      <c r="N36" s="3" t="str">
        <f>VLOOKUP(Table2[[#This Row],[Tulu/kulu liik2]],Table5[[Tulu/kulu liik]:[Kontode koondnimetus]],4,FALSE)</f>
        <v>Muud tegevuskulud</v>
      </c>
      <c r="O36" s="3" t="str">
        <f>VLOOKUP(Table2[[#This Row],[Tulu/kulu liik2]],Table5[],6,FALSE)</f>
        <v>Majandamiskulud</v>
      </c>
      <c r="P36" s="3" t="str">
        <f>VLOOKUP(Table2[[#This Row],[Tulu/kulu liik2]],Table5[],5,FALSE)</f>
        <v>Põhitegevuse kulu</v>
      </c>
    </row>
    <row r="37" spans="1:16" hidden="1" x14ac:dyDescent="0.25">
      <c r="A37" t="str">
        <f t="shared" si="0"/>
        <v>01</v>
      </c>
      <c r="B37" t="s">
        <v>15</v>
      </c>
      <c r="C37" s="3" t="str">
        <f>VLOOKUP(Table2[[#This Row],[Tegevusala]],Table4[],2,FALSE)</f>
        <v xml:space="preserve"> Valla- ja linnavalitsus</v>
      </c>
      <c r="D37" s="3" t="str">
        <f>VLOOKUP(Table2[[#This Row],[Tegevusala]],Table4[[Tegevusala kood]:[Tegevusala alanimetus]],4,FALSE)</f>
        <v>Valla- ja linnavalitsus</v>
      </c>
      <c r="E37" s="3" t="str">
        <f>VLOOKUP(Table2[[#This Row],[Tegevusala nimetus2]],Table4[[Tegevusala nimetus]:[Tegevusala koondnimetus]],2,FALSE)</f>
        <v>Üldised valitsussektori teenused</v>
      </c>
      <c r="F37" t="s">
        <v>1949</v>
      </c>
      <c r="G37" t="s">
        <v>1951</v>
      </c>
      <c r="H37" s="40">
        <v>5000</v>
      </c>
      <c r="I37" s="2" t="s">
        <v>1952</v>
      </c>
      <c r="J37">
        <v>5504</v>
      </c>
      <c r="K37" s="3" t="str">
        <f>VLOOKUP(Table2[[#This Row],[Konto]],Table5[[Konto]:[Konto nimetus]],2,FALSE)</f>
        <v>Koolituskulud</v>
      </c>
      <c r="L37">
        <v>55</v>
      </c>
      <c r="M37" t="str">
        <f t="shared" si="1"/>
        <v>55</v>
      </c>
      <c r="N37" s="3" t="str">
        <f>VLOOKUP(Table2[[#This Row],[Tulu/kulu liik2]],Table5[[Tulu/kulu liik]:[Kontode koondnimetus]],4,FALSE)</f>
        <v>Muud tegevuskulud</v>
      </c>
      <c r="O37" s="3" t="str">
        <f>VLOOKUP(Table2[[#This Row],[Tulu/kulu liik2]],Table5[],6,FALSE)</f>
        <v>Majandamiskulud</v>
      </c>
      <c r="P37" s="3" t="str">
        <f>VLOOKUP(Table2[[#This Row],[Tulu/kulu liik2]],Table5[],5,FALSE)</f>
        <v>Põhitegevuse kulu</v>
      </c>
    </row>
    <row r="38" spans="1:16" hidden="1" x14ac:dyDescent="0.25">
      <c r="A38" t="str">
        <f t="shared" si="0"/>
        <v>01</v>
      </c>
      <c r="B38" t="s">
        <v>15</v>
      </c>
      <c r="C38" s="3" t="str">
        <f>VLOOKUP(Table2[[#This Row],[Tegevusala]],Table4[],2,FALSE)</f>
        <v xml:space="preserve"> Valla- ja linnavalitsus</v>
      </c>
      <c r="D38" s="3" t="str">
        <f>VLOOKUP(Table2[[#This Row],[Tegevusala]],Table4[[Tegevusala kood]:[Tegevusala alanimetus]],4,FALSE)</f>
        <v>Valla- ja linnavalitsus</v>
      </c>
      <c r="E38" s="3" t="str">
        <f>VLOOKUP(Table2[[#This Row],[Tegevusala nimetus2]],Table4[[Tegevusala nimetus]:[Tegevusala koondnimetus]],2,FALSE)</f>
        <v>Üldised valitsussektori teenused</v>
      </c>
      <c r="F38" t="s">
        <v>1949</v>
      </c>
      <c r="G38" t="s">
        <v>1953</v>
      </c>
      <c r="H38" s="40">
        <v>2500</v>
      </c>
      <c r="J38">
        <v>5504</v>
      </c>
      <c r="K38" s="3" t="str">
        <f>VLOOKUP(Table2[[#This Row],[Konto]],Table5[[Konto]:[Konto nimetus]],2,FALSE)</f>
        <v>Koolituskulud</v>
      </c>
      <c r="L38">
        <v>55</v>
      </c>
      <c r="M38" t="str">
        <f t="shared" si="1"/>
        <v>55</v>
      </c>
      <c r="N38" s="3" t="str">
        <f>VLOOKUP(Table2[[#This Row],[Tulu/kulu liik2]],Table5[[Tulu/kulu liik]:[Kontode koondnimetus]],4,FALSE)</f>
        <v>Muud tegevuskulud</v>
      </c>
      <c r="O38" s="3" t="str">
        <f>VLOOKUP(Table2[[#This Row],[Tulu/kulu liik2]],Table5[],6,FALSE)</f>
        <v>Majandamiskulud</v>
      </c>
      <c r="P38" s="3" t="str">
        <f>VLOOKUP(Table2[[#This Row],[Tulu/kulu liik2]],Table5[],5,FALSE)</f>
        <v>Põhitegevuse kulu</v>
      </c>
    </row>
    <row r="39" spans="1:16" hidden="1" x14ac:dyDescent="0.25">
      <c r="A39" t="str">
        <f t="shared" si="0"/>
        <v>01</v>
      </c>
      <c r="B39" t="s">
        <v>15</v>
      </c>
      <c r="C39" s="3" t="str">
        <f>VLOOKUP(Table2[[#This Row],[Tegevusala]],Table4[],2,FALSE)</f>
        <v xml:space="preserve"> Valla- ja linnavalitsus</v>
      </c>
      <c r="D39" s="3" t="str">
        <f>VLOOKUP(Table2[[#This Row],[Tegevusala]],Table4[[Tegevusala kood]:[Tegevusala alanimetus]],4,FALSE)</f>
        <v>Valla- ja linnavalitsus</v>
      </c>
      <c r="E39" s="3" t="str">
        <f>VLOOKUP(Table2[[#This Row],[Tegevusala nimetus2]],Table4[[Tegevusala nimetus]:[Tegevusala koondnimetus]],2,FALSE)</f>
        <v>Üldised valitsussektori teenused</v>
      </c>
      <c r="F39" t="s">
        <v>799</v>
      </c>
      <c r="G39" t="s">
        <v>1954</v>
      </c>
      <c r="H39" s="40">
        <v>12000</v>
      </c>
      <c r="J39">
        <v>5504</v>
      </c>
      <c r="K39" s="3" t="str">
        <f>VLOOKUP(Table2[[#This Row],[Konto]],Table5[[Konto]:[Konto nimetus]],2,FALSE)</f>
        <v>Koolituskulud</v>
      </c>
      <c r="L39">
        <v>55</v>
      </c>
      <c r="M39" t="str">
        <f t="shared" si="1"/>
        <v>55</v>
      </c>
      <c r="N39" s="3" t="str">
        <f>VLOOKUP(Table2[[#This Row],[Tulu/kulu liik2]],Table5[[Tulu/kulu liik]:[Kontode koondnimetus]],4,FALSE)</f>
        <v>Muud tegevuskulud</v>
      </c>
      <c r="O39" s="3" t="str">
        <f>VLOOKUP(Table2[[#This Row],[Tulu/kulu liik2]],Table5[],6,FALSE)</f>
        <v>Majandamiskulud</v>
      </c>
      <c r="P39" s="3" t="str">
        <f>VLOOKUP(Table2[[#This Row],[Tulu/kulu liik2]],Table5[],5,FALSE)</f>
        <v>Põhitegevuse kulu</v>
      </c>
    </row>
    <row r="40" spans="1:16" hidden="1" x14ac:dyDescent="0.25">
      <c r="A40" t="str">
        <f t="shared" si="0"/>
        <v>01</v>
      </c>
      <c r="B40" t="s">
        <v>15</v>
      </c>
      <c r="C40" s="3" t="str">
        <f>VLOOKUP(Table2[[#This Row],[Tegevusala]],Table4[],2,FALSE)</f>
        <v xml:space="preserve"> Valla- ja linnavalitsus</v>
      </c>
      <c r="D40" s="3" t="str">
        <f>VLOOKUP(Table2[[#This Row],[Tegevusala]],Table4[[Tegevusala kood]:[Tegevusala alanimetus]],4,FALSE)</f>
        <v>Valla- ja linnavalitsus</v>
      </c>
      <c r="E40" s="3" t="str">
        <f>VLOOKUP(Table2[[#This Row],[Tegevusala nimetus2]],Table4[[Tegevusala nimetus]:[Tegevusala koondnimetus]],2,FALSE)</f>
        <v>Üldised valitsussektori teenused</v>
      </c>
      <c r="F40" t="s">
        <v>1949</v>
      </c>
      <c r="G40" t="s">
        <v>1955</v>
      </c>
      <c r="H40" s="40">
        <v>4800</v>
      </c>
      <c r="J40">
        <v>5511</v>
      </c>
      <c r="K40" s="3" t="str">
        <f>VLOOKUP(Table2[[#This Row],[Konto]],Table5[[Konto]:[Konto nimetus]],2,FALSE)</f>
        <v>Kinnistute, hoonete ja ruumide majandamiskulud</v>
      </c>
      <c r="L40">
        <v>55</v>
      </c>
      <c r="M40" t="str">
        <f t="shared" si="1"/>
        <v>55</v>
      </c>
      <c r="N40" s="3" t="str">
        <f>VLOOKUP(Table2[[#This Row],[Tulu/kulu liik2]],Table5[[Tulu/kulu liik]:[Kontode koondnimetus]],4,FALSE)</f>
        <v>Muud tegevuskulud</v>
      </c>
      <c r="O40" s="3" t="str">
        <f>VLOOKUP(Table2[[#This Row],[Tulu/kulu liik2]],Table5[],6,FALSE)</f>
        <v>Majandamiskulud</v>
      </c>
      <c r="P40" s="3" t="str">
        <f>VLOOKUP(Table2[[#This Row],[Tulu/kulu liik2]],Table5[],5,FALSE)</f>
        <v>Põhitegevuse kulu</v>
      </c>
    </row>
    <row r="41" spans="1:16" hidden="1" x14ac:dyDescent="0.25">
      <c r="A41" t="str">
        <f t="shared" si="0"/>
        <v>01</v>
      </c>
      <c r="B41" t="s">
        <v>15</v>
      </c>
      <c r="C41" s="3" t="str">
        <f>VLOOKUP(Table2[[#This Row],[Tegevusala]],Table4[],2,FALSE)</f>
        <v xml:space="preserve"> Valla- ja linnavalitsus</v>
      </c>
      <c r="D41" s="3" t="str">
        <f>VLOOKUP(Table2[[#This Row],[Tegevusala]],Table4[[Tegevusala kood]:[Tegevusala alanimetus]],4,FALSE)</f>
        <v>Valla- ja linnavalitsus</v>
      </c>
      <c r="E41" s="3" t="str">
        <f>VLOOKUP(Table2[[#This Row],[Tegevusala nimetus2]],Table4[[Tegevusala nimetus]:[Tegevusala koondnimetus]],2,FALSE)</f>
        <v>Üldised valitsussektori teenused</v>
      </c>
      <c r="F41" t="s">
        <v>799</v>
      </c>
      <c r="G41" t="s">
        <v>1956</v>
      </c>
      <c r="H41" s="40">
        <v>1440</v>
      </c>
      <c r="J41">
        <v>5511</v>
      </c>
      <c r="K41" s="3" t="str">
        <f>VLOOKUP(Table2[[#This Row],[Konto]],Table5[[Konto]:[Konto nimetus]],2,FALSE)</f>
        <v>Kinnistute, hoonete ja ruumide majandamiskulud</v>
      </c>
      <c r="L41">
        <v>55</v>
      </c>
      <c r="M41" t="str">
        <f t="shared" si="1"/>
        <v>55</v>
      </c>
      <c r="N41" s="3" t="str">
        <f>VLOOKUP(Table2[[#This Row],[Tulu/kulu liik2]],Table5[[Tulu/kulu liik]:[Kontode koondnimetus]],4,FALSE)</f>
        <v>Muud tegevuskulud</v>
      </c>
      <c r="O41" s="3" t="str">
        <f>VLOOKUP(Table2[[#This Row],[Tulu/kulu liik2]],Table5[],6,FALSE)</f>
        <v>Majandamiskulud</v>
      </c>
      <c r="P41" s="3" t="str">
        <f>VLOOKUP(Table2[[#This Row],[Tulu/kulu liik2]],Table5[],5,FALSE)</f>
        <v>Põhitegevuse kulu</v>
      </c>
    </row>
    <row r="42" spans="1:16" hidden="1" x14ac:dyDescent="0.25">
      <c r="A42" t="str">
        <f t="shared" si="0"/>
        <v>01</v>
      </c>
      <c r="B42" t="s">
        <v>15</v>
      </c>
      <c r="C42" s="3" t="str">
        <f>VLOOKUP(Table2[[#This Row],[Tegevusala]],Table4[],2,FALSE)</f>
        <v xml:space="preserve"> Valla- ja linnavalitsus</v>
      </c>
      <c r="D42" s="3" t="str">
        <f>VLOOKUP(Table2[[#This Row],[Tegevusala]],Table4[[Tegevusala kood]:[Tegevusala alanimetus]],4,FALSE)</f>
        <v>Valla- ja linnavalitsus</v>
      </c>
      <c r="E42" s="3" t="str">
        <f>VLOOKUP(Table2[[#This Row],[Tegevusala nimetus2]],Table4[[Tegevusala nimetus]:[Tegevusala koondnimetus]],2,FALSE)</f>
        <v>Üldised valitsussektori teenused</v>
      </c>
      <c r="F42" t="s">
        <v>799</v>
      </c>
      <c r="G42" t="s">
        <v>1957</v>
      </c>
      <c r="H42" s="40">
        <v>4800</v>
      </c>
      <c r="J42">
        <v>5511</v>
      </c>
      <c r="K42" s="3" t="str">
        <f>VLOOKUP(Table2[[#This Row],[Konto]],Table5[[Konto]:[Konto nimetus]],2,FALSE)</f>
        <v>Kinnistute, hoonete ja ruumide majandamiskulud</v>
      </c>
      <c r="L42">
        <v>55</v>
      </c>
      <c r="M42" t="str">
        <f t="shared" si="1"/>
        <v>55</v>
      </c>
      <c r="N42" s="3" t="str">
        <f>VLOOKUP(Table2[[#This Row],[Tulu/kulu liik2]],Table5[[Tulu/kulu liik]:[Kontode koondnimetus]],4,FALSE)</f>
        <v>Muud tegevuskulud</v>
      </c>
      <c r="O42" s="3" t="str">
        <f>VLOOKUP(Table2[[#This Row],[Tulu/kulu liik2]],Table5[],6,FALSE)</f>
        <v>Majandamiskulud</v>
      </c>
      <c r="P42" s="3" t="str">
        <f>VLOOKUP(Table2[[#This Row],[Tulu/kulu liik2]],Table5[],5,FALSE)</f>
        <v>Põhitegevuse kulu</v>
      </c>
    </row>
    <row r="43" spans="1:16" hidden="1" x14ac:dyDescent="0.25">
      <c r="A43" t="str">
        <f t="shared" si="0"/>
        <v>01</v>
      </c>
      <c r="B43" t="s">
        <v>15</v>
      </c>
      <c r="C43" s="3" t="str">
        <f>VLOOKUP(Table2[[#This Row],[Tegevusala]],Table4[],2,FALSE)</f>
        <v xml:space="preserve"> Valla- ja linnavalitsus</v>
      </c>
      <c r="D43" s="3" t="str">
        <f>VLOOKUP(Table2[[#This Row],[Tegevusala]],Table4[[Tegevusala kood]:[Tegevusala alanimetus]],4,FALSE)</f>
        <v>Valla- ja linnavalitsus</v>
      </c>
      <c r="E43" s="3" t="str">
        <f>VLOOKUP(Table2[[#This Row],[Tegevusala nimetus2]],Table4[[Tegevusala nimetus]:[Tegevusala koondnimetus]],2,FALSE)</f>
        <v>Üldised valitsussektori teenused</v>
      </c>
      <c r="F43" t="s">
        <v>799</v>
      </c>
      <c r="G43" t="s">
        <v>1958</v>
      </c>
      <c r="H43" s="40">
        <v>1800</v>
      </c>
      <c r="J43">
        <v>5511</v>
      </c>
      <c r="K43" s="3" t="str">
        <f>VLOOKUP(Table2[[#This Row],[Konto]],Table5[[Konto]:[Konto nimetus]],2,FALSE)</f>
        <v>Kinnistute, hoonete ja ruumide majandamiskulud</v>
      </c>
      <c r="L43">
        <v>55</v>
      </c>
      <c r="M43" t="str">
        <f t="shared" si="1"/>
        <v>55</v>
      </c>
      <c r="N43" s="3" t="str">
        <f>VLOOKUP(Table2[[#This Row],[Tulu/kulu liik2]],Table5[[Tulu/kulu liik]:[Kontode koondnimetus]],4,FALSE)</f>
        <v>Muud tegevuskulud</v>
      </c>
      <c r="O43" s="3" t="str">
        <f>VLOOKUP(Table2[[#This Row],[Tulu/kulu liik2]],Table5[],6,FALSE)</f>
        <v>Majandamiskulud</v>
      </c>
      <c r="P43" s="3" t="str">
        <f>VLOOKUP(Table2[[#This Row],[Tulu/kulu liik2]],Table5[],5,FALSE)</f>
        <v>Põhitegevuse kulu</v>
      </c>
    </row>
    <row r="44" spans="1:16" hidden="1" x14ac:dyDescent="0.25">
      <c r="A44" t="str">
        <f t="shared" si="0"/>
        <v>01</v>
      </c>
      <c r="B44" t="s">
        <v>15</v>
      </c>
      <c r="C44" s="3" t="str">
        <f>VLOOKUP(Table2[[#This Row],[Tegevusala]],Table4[],2,FALSE)</f>
        <v xml:space="preserve"> Valla- ja linnavalitsus</v>
      </c>
      <c r="D44" s="3" t="str">
        <f>VLOOKUP(Table2[[#This Row],[Tegevusala]],Table4[[Tegevusala kood]:[Tegevusala alanimetus]],4,FALSE)</f>
        <v>Valla- ja linnavalitsus</v>
      </c>
      <c r="E44" s="3" t="str">
        <f>VLOOKUP(Table2[[#This Row],[Tegevusala nimetus2]],Table4[[Tegevusala nimetus]:[Tegevusala koondnimetus]],2,FALSE)</f>
        <v>Üldised valitsussektori teenused</v>
      </c>
      <c r="F44" t="s">
        <v>799</v>
      </c>
      <c r="G44" t="s">
        <v>1959</v>
      </c>
      <c r="H44" s="40">
        <v>20700</v>
      </c>
      <c r="J44">
        <v>5511</v>
      </c>
      <c r="K44" s="3" t="str">
        <f>VLOOKUP(Table2[[#This Row],[Konto]],Table5[[Konto]:[Konto nimetus]],2,FALSE)</f>
        <v>Kinnistute, hoonete ja ruumide majandamiskulud</v>
      </c>
      <c r="L44">
        <v>55</v>
      </c>
      <c r="M44" t="str">
        <f t="shared" si="1"/>
        <v>55</v>
      </c>
      <c r="N44" s="3" t="str">
        <f>VLOOKUP(Table2[[#This Row],[Tulu/kulu liik2]],Table5[[Tulu/kulu liik]:[Kontode koondnimetus]],4,FALSE)</f>
        <v>Muud tegevuskulud</v>
      </c>
      <c r="O44" s="3" t="str">
        <f>VLOOKUP(Table2[[#This Row],[Tulu/kulu liik2]],Table5[],6,FALSE)</f>
        <v>Majandamiskulud</v>
      </c>
      <c r="P44" s="3" t="str">
        <f>VLOOKUP(Table2[[#This Row],[Tulu/kulu liik2]],Table5[],5,FALSE)</f>
        <v>Põhitegevuse kulu</v>
      </c>
    </row>
    <row r="45" spans="1:16" hidden="1" x14ac:dyDescent="0.25">
      <c r="A45" t="str">
        <f t="shared" si="0"/>
        <v>01</v>
      </c>
      <c r="B45" t="s">
        <v>15</v>
      </c>
      <c r="C45" s="3" t="str">
        <f>VLOOKUP(Table2[[#This Row],[Tegevusala]],Table4[],2,FALSE)</f>
        <v xml:space="preserve"> Valla- ja linnavalitsus</v>
      </c>
      <c r="D45" s="3" t="str">
        <f>VLOOKUP(Table2[[#This Row],[Tegevusala]],Table4[[Tegevusala kood]:[Tegevusala alanimetus]],4,FALSE)</f>
        <v>Valla- ja linnavalitsus</v>
      </c>
      <c r="E45" s="3" t="str">
        <f>VLOOKUP(Table2[[#This Row],[Tegevusala nimetus2]],Table4[[Tegevusala nimetus]:[Tegevusala koondnimetus]],2,FALSE)</f>
        <v>Üldised valitsussektori teenused</v>
      </c>
      <c r="F45" t="s">
        <v>799</v>
      </c>
      <c r="G45" t="s">
        <v>1819</v>
      </c>
      <c r="H45" s="40">
        <v>300</v>
      </c>
      <c r="J45">
        <v>5511</v>
      </c>
      <c r="K45" s="3" t="str">
        <f>VLOOKUP(Table2[[#This Row],[Konto]],Table5[[Konto]:[Konto nimetus]],2,FALSE)</f>
        <v>Kinnistute, hoonete ja ruumide majandamiskulud</v>
      </c>
      <c r="L45">
        <v>55</v>
      </c>
      <c r="M45" t="str">
        <f t="shared" si="1"/>
        <v>55</v>
      </c>
      <c r="N45" s="3" t="str">
        <f>VLOOKUP(Table2[[#This Row],[Tulu/kulu liik2]],Table5[[Tulu/kulu liik]:[Kontode koondnimetus]],4,FALSE)</f>
        <v>Muud tegevuskulud</v>
      </c>
      <c r="O45" s="3" t="str">
        <f>VLOOKUP(Table2[[#This Row],[Tulu/kulu liik2]],Table5[],6,FALSE)</f>
        <v>Majandamiskulud</v>
      </c>
      <c r="P45" s="3" t="str">
        <f>VLOOKUP(Table2[[#This Row],[Tulu/kulu liik2]],Table5[],5,FALSE)</f>
        <v>Põhitegevuse kulu</v>
      </c>
    </row>
    <row r="46" spans="1:16" hidden="1" x14ac:dyDescent="0.25">
      <c r="A46" t="str">
        <f t="shared" si="0"/>
        <v>01</v>
      </c>
      <c r="B46" t="s">
        <v>15</v>
      </c>
      <c r="C46" s="3" t="str">
        <f>VLOOKUP(Table2[[#This Row],[Tegevusala]],Table4[],2,FALSE)</f>
        <v xml:space="preserve"> Valla- ja linnavalitsus</v>
      </c>
      <c r="D46" s="3" t="str">
        <f>VLOOKUP(Table2[[#This Row],[Tegevusala]],Table4[[Tegevusala kood]:[Tegevusala alanimetus]],4,FALSE)</f>
        <v>Valla- ja linnavalitsus</v>
      </c>
      <c r="E46" s="3" t="str">
        <f>VLOOKUP(Table2[[#This Row],[Tegevusala nimetus2]],Table4[[Tegevusala nimetus]:[Tegevusala koondnimetus]],2,FALSE)</f>
        <v>Üldised valitsussektori teenused</v>
      </c>
      <c r="F46" t="s">
        <v>799</v>
      </c>
      <c r="G46" t="s">
        <v>551</v>
      </c>
      <c r="H46" s="40">
        <v>840</v>
      </c>
      <c r="J46">
        <v>5511</v>
      </c>
      <c r="K46" s="3" t="str">
        <f>VLOOKUP(Table2[[#This Row],[Konto]],Table5[[Konto]:[Konto nimetus]],2,FALSE)</f>
        <v>Kinnistute, hoonete ja ruumide majandamiskulud</v>
      </c>
      <c r="L46">
        <v>55</v>
      </c>
      <c r="M46" t="str">
        <f t="shared" si="1"/>
        <v>55</v>
      </c>
      <c r="N46" s="3" t="str">
        <f>VLOOKUP(Table2[[#This Row],[Tulu/kulu liik2]],Table5[[Tulu/kulu liik]:[Kontode koondnimetus]],4,FALSE)</f>
        <v>Muud tegevuskulud</v>
      </c>
      <c r="O46" s="3" t="str">
        <f>VLOOKUP(Table2[[#This Row],[Tulu/kulu liik2]],Table5[],6,FALSE)</f>
        <v>Majandamiskulud</v>
      </c>
      <c r="P46" s="3" t="str">
        <f>VLOOKUP(Table2[[#This Row],[Tulu/kulu liik2]],Table5[],5,FALSE)</f>
        <v>Põhitegevuse kulu</v>
      </c>
    </row>
    <row r="47" spans="1:16" hidden="1" x14ac:dyDescent="0.25">
      <c r="A47" t="str">
        <f t="shared" si="0"/>
        <v>01</v>
      </c>
      <c r="B47" t="s">
        <v>15</v>
      </c>
      <c r="C47" s="3" t="str">
        <f>VLOOKUP(Table2[[#This Row],[Tegevusala]],Table4[],2,FALSE)</f>
        <v xml:space="preserve"> Valla- ja linnavalitsus</v>
      </c>
      <c r="D47" s="3" t="str">
        <f>VLOOKUP(Table2[[#This Row],[Tegevusala]],Table4[[Tegevusala kood]:[Tegevusala alanimetus]],4,FALSE)</f>
        <v>Valla- ja linnavalitsus</v>
      </c>
      <c r="E47" s="3" t="str">
        <f>VLOOKUP(Table2[[#This Row],[Tegevusala nimetus2]],Table4[[Tegevusala nimetus]:[Tegevusala koondnimetus]],2,FALSE)</f>
        <v>Üldised valitsussektori teenused</v>
      </c>
      <c r="F47" t="s">
        <v>799</v>
      </c>
      <c r="G47" t="s">
        <v>1960</v>
      </c>
      <c r="H47" s="40">
        <v>260</v>
      </c>
      <c r="J47">
        <v>5511</v>
      </c>
      <c r="K47" s="3" t="str">
        <f>VLOOKUP(Table2[[#This Row],[Konto]],Table5[[Konto]:[Konto nimetus]],2,FALSE)</f>
        <v>Kinnistute, hoonete ja ruumide majandamiskulud</v>
      </c>
      <c r="L47">
        <v>55</v>
      </c>
      <c r="M47" t="str">
        <f t="shared" si="1"/>
        <v>55</v>
      </c>
      <c r="N47" s="3" t="str">
        <f>VLOOKUP(Table2[[#This Row],[Tulu/kulu liik2]],Table5[[Tulu/kulu liik]:[Kontode koondnimetus]],4,FALSE)</f>
        <v>Muud tegevuskulud</v>
      </c>
      <c r="O47" s="3" t="str">
        <f>VLOOKUP(Table2[[#This Row],[Tulu/kulu liik2]],Table5[],6,FALSE)</f>
        <v>Majandamiskulud</v>
      </c>
      <c r="P47" s="3" t="str">
        <f>VLOOKUP(Table2[[#This Row],[Tulu/kulu liik2]],Table5[],5,FALSE)</f>
        <v>Põhitegevuse kulu</v>
      </c>
    </row>
    <row r="48" spans="1:16" hidden="1" x14ac:dyDescent="0.25">
      <c r="A48" t="str">
        <f t="shared" si="0"/>
        <v>01</v>
      </c>
      <c r="B48" t="s">
        <v>15</v>
      </c>
      <c r="C48" s="3" t="str">
        <f>VLOOKUP(Table2[[#This Row],[Tegevusala]],Table4[],2,FALSE)</f>
        <v xml:space="preserve"> Valla- ja linnavalitsus</v>
      </c>
      <c r="D48" s="3" t="str">
        <f>VLOOKUP(Table2[[#This Row],[Tegevusala]],Table4[[Tegevusala kood]:[Tegevusala alanimetus]],4,FALSE)</f>
        <v>Valla- ja linnavalitsus</v>
      </c>
      <c r="E48" s="3" t="str">
        <f>VLOOKUP(Table2[[#This Row],[Tegevusala nimetus2]],Table4[[Tegevusala nimetus]:[Tegevusala koondnimetus]],2,FALSE)</f>
        <v>Üldised valitsussektori teenused</v>
      </c>
      <c r="F48" t="s">
        <v>799</v>
      </c>
      <c r="G48" t="s">
        <v>1961</v>
      </c>
      <c r="H48" s="40">
        <v>15000</v>
      </c>
      <c r="J48">
        <v>5511</v>
      </c>
      <c r="K48" s="3" t="str">
        <f>VLOOKUP(Table2[[#This Row],[Konto]],Table5[[Konto]:[Konto nimetus]],2,FALSE)</f>
        <v>Kinnistute, hoonete ja ruumide majandamiskulud</v>
      </c>
      <c r="L48">
        <v>55</v>
      </c>
      <c r="M48" t="str">
        <f t="shared" si="1"/>
        <v>55</v>
      </c>
      <c r="N48" s="3" t="str">
        <f>VLOOKUP(Table2[[#This Row],[Tulu/kulu liik2]],Table5[[Tulu/kulu liik]:[Kontode koondnimetus]],4,FALSE)</f>
        <v>Muud tegevuskulud</v>
      </c>
      <c r="O48" s="3" t="str">
        <f>VLOOKUP(Table2[[#This Row],[Tulu/kulu liik2]],Table5[],6,FALSE)</f>
        <v>Majandamiskulud</v>
      </c>
      <c r="P48" s="3" t="str">
        <f>VLOOKUP(Table2[[#This Row],[Tulu/kulu liik2]],Table5[],5,FALSE)</f>
        <v>Põhitegevuse kulu</v>
      </c>
    </row>
    <row r="49" spans="1:16" hidden="1" x14ac:dyDescent="0.25">
      <c r="A49" t="str">
        <f t="shared" si="0"/>
        <v>01</v>
      </c>
      <c r="B49" t="s">
        <v>15</v>
      </c>
      <c r="C49" s="3" t="str">
        <f>VLOOKUP(Table2[[#This Row],[Tegevusala]],Table4[],2,FALSE)</f>
        <v xml:space="preserve"> Valla- ja linnavalitsus</v>
      </c>
      <c r="D49" s="3" t="str">
        <f>VLOOKUP(Table2[[#This Row],[Tegevusala]],Table4[[Tegevusala kood]:[Tegevusala alanimetus]],4,FALSE)</f>
        <v>Valla- ja linnavalitsus</v>
      </c>
      <c r="E49" s="3" t="str">
        <f>VLOOKUP(Table2[[#This Row],[Tegevusala nimetus2]],Table4[[Tegevusala nimetus]:[Tegevusala koondnimetus]],2,FALSE)</f>
        <v>Üldised valitsussektori teenused</v>
      </c>
      <c r="F49" t="s">
        <v>1949</v>
      </c>
      <c r="G49" t="s">
        <v>424</v>
      </c>
      <c r="H49" s="40">
        <f>64*11</f>
        <v>704</v>
      </c>
      <c r="I49" s="2" t="s">
        <v>453</v>
      </c>
      <c r="J49">
        <v>5513</v>
      </c>
      <c r="K49" s="3" t="str">
        <f>VLOOKUP(Table2[[#This Row],[Konto]],Table5[[Konto]:[Konto nimetus]],2,FALSE)</f>
        <v>Sõidukite ülalpidamise kulud</v>
      </c>
      <c r="L49">
        <v>55</v>
      </c>
      <c r="M49" t="str">
        <f t="shared" si="1"/>
        <v>55</v>
      </c>
      <c r="N49" s="3" t="str">
        <f>VLOOKUP(Table2[[#This Row],[Tulu/kulu liik2]],Table5[[Tulu/kulu liik]:[Kontode koondnimetus]],4,FALSE)</f>
        <v>Muud tegevuskulud</v>
      </c>
      <c r="O49" s="3" t="str">
        <f>VLOOKUP(Table2[[#This Row],[Tulu/kulu liik2]],Table5[],6,FALSE)</f>
        <v>Majandamiskulud</v>
      </c>
      <c r="P49" s="3" t="str">
        <f>VLOOKUP(Table2[[#This Row],[Tulu/kulu liik2]],Table5[],5,FALSE)</f>
        <v>Põhitegevuse kulu</v>
      </c>
    </row>
    <row r="50" spans="1:16" hidden="1" x14ac:dyDescent="0.25">
      <c r="A50" t="str">
        <f t="shared" si="0"/>
        <v>01</v>
      </c>
      <c r="B50" t="s">
        <v>15</v>
      </c>
      <c r="C50" s="3" t="str">
        <f>VLOOKUP(Table2[[#This Row],[Tegevusala]],Table4[],2,FALSE)</f>
        <v xml:space="preserve"> Valla- ja linnavalitsus</v>
      </c>
      <c r="D50" s="3" t="str">
        <f>VLOOKUP(Table2[[#This Row],[Tegevusala]],Table4[[Tegevusala kood]:[Tegevusala alanimetus]],4,FALSE)</f>
        <v>Valla- ja linnavalitsus</v>
      </c>
      <c r="E50" s="3" t="str">
        <f>VLOOKUP(Table2[[#This Row],[Tegevusala nimetus2]],Table4[[Tegevusala nimetus]:[Tegevusala koondnimetus]],2,FALSE)</f>
        <v>Üldised valitsussektori teenused</v>
      </c>
      <c r="F50" t="s">
        <v>1949</v>
      </c>
      <c r="G50" t="s">
        <v>424</v>
      </c>
      <c r="H50" s="40">
        <f>64*11</f>
        <v>704</v>
      </c>
      <c r="I50" s="2" t="s">
        <v>1962</v>
      </c>
      <c r="J50">
        <v>5513</v>
      </c>
      <c r="K50" s="3" t="str">
        <f>VLOOKUP(Table2[[#This Row],[Konto]],Table5[[Konto]:[Konto nimetus]],2,FALSE)</f>
        <v>Sõidukite ülalpidamise kulud</v>
      </c>
      <c r="L50">
        <v>55</v>
      </c>
      <c r="M50" t="str">
        <f t="shared" si="1"/>
        <v>55</v>
      </c>
      <c r="N50" s="3" t="str">
        <f>VLOOKUP(Table2[[#This Row],[Tulu/kulu liik2]],Table5[[Tulu/kulu liik]:[Kontode koondnimetus]],4,FALSE)</f>
        <v>Muud tegevuskulud</v>
      </c>
      <c r="O50" s="3" t="str">
        <f>VLOOKUP(Table2[[#This Row],[Tulu/kulu liik2]],Table5[],6,FALSE)</f>
        <v>Majandamiskulud</v>
      </c>
      <c r="P50" s="3" t="str">
        <f>VLOOKUP(Table2[[#This Row],[Tulu/kulu liik2]],Table5[],5,FALSE)</f>
        <v>Põhitegevuse kulu</v>
      </c>
    </row>
    <row r="51" spans="1:16" hidden="1" x14ac:dyDescent="0.25">
      <c r="A51" t="str">
        <f t="shared" si="0"/>
        <v>01</v>
      </c>
      <c r="B51" t="s">
        <v>15</v>
      </c>
      <c r="C51" s="3" t="str">
        <f>VLOOKUP(Table2[[#This Row],[Tegevusala]],Table4[],2,FALSE)</f>
        <v xml:space="preserve"> Valla- ja linnavalitsus</v>
      </c>
      <c r="D51" s="3" t="str">
        <f>VLOOKUP(Table2[[#This Row],[Tegevusala]],Table4[[Tegevusala kood]:[Tegevusala alanimetus]],4,FALSE)</f>
        <v>Valla- ja linnavalitsus</v>
      </c>
      <c r="E51" s="3" t="str">
        <f>VLOOKUP(Table2[[#This Row],[Tegevusala nimetus2]],Table4[[Tegevusala nimetus]:[Tegevusala koondnimetus]],2,FALSE)</f>
        <v>Üldised valitsussektori teenused</v>
      </c>
      <c r="F51" t="s">
        <v>799</v>
      </c>
      <c r="G51" t="s">
        <v>424</v>
      </c>
      <c r="H51" s="40">
        <f>11*150</f>
        <v>1650</v>
      </c>
      <c r="I51" s="2" t="s">
        <v>1963</v>
      </c>
      <c r="J51">
        <v>5513</v>
      </c>
      <c r="K51" s="3" t="str">
        <f>VLOOKUP(Table2[[#This Row],[Konto]],Table5[[Konto]:[Konto nimetus]],2,FALSE)</f>
        <v>Sõidukite ülalpidamise kulud</v>
      </c>
      <c r="L51">
        <v>55</v>
      </c>
      <c r="M51" t="str">
        <f t="shared" si="1"/>
        <v>55</v>
      </c>
      <c r="N51" s="3" t="str">
        <f>VLOOKUP(Table2[[#This Row],[Tulu/kulu liik2]],Table5[[Tulu/kulu liik]:[Kontode koondnimetus]],4,FALSE)</f>
        <v>Muud tegevuskulud</v>
      </c>
      <c r="O51" s="3" t="str">
        <f>VLOOKUP(Table2[[#This Row],[Tulu/kulu liik2]],Table5[],6,FALSE)</f>
        <v>Majandamiskulud</v>
      </c>
      <c r="P51" s="3" t="str">
        <f>VLOOKUP(Table2[[#This Row],[Tulu/kulu liik2]],Table5[],5,FALSE)</f>
        <v>Põhitegevuse kulu</v>
      </c>
    </row>
    <row r="52" spans="1:16" hidden="1" x14ac:dyDescent="0.25">
      <c r="A52" t="str">
        <f t="shared" si="0"/>
        <v>01</v>
      </c>
      <c r="B52" t="s">
        <v>15</v>
      </c>
      <c r="C52" s="3" t="str">
        <f>VLOOKUP(Table2[[#This Row],[Tegevusala]],Table4[],2,FALSE)</f>
        <v xml:space="preserve"> Valla- ja linnavalitsus</v>
      </c>
      <c r="D52" s="3" t="str">
        <f>VLOOKUP(Table2[[#This Row],[Tegevusala]],Table4[[Tegevusala kood]:[Tegevusala alanimetus]],4,FALSE)</f>
        <v>Valla- ja linnavalitsus</v>
      </c>
      <c r="E52" s="3" t="str">
        <f>VLOOKUP(Table2[[#This Row],[Tegevusala nimetus2]],Table4[[Tegevusala nimetus]:[Tegevusala koondnimetus]],2,FALSE)</f>
        <v>Üldised valitsussektori teenused</v>
      </c>
      <c r="F52" t="s">
        <v>799</v>
      </c>
      <c r="G52" t="s">
        <v>1964</v>
      </c>
      <c r="H52" s="40">
        <v>5227.2000000000007</v>
      </c>
      <c r="J52">
        <v>5513</v>
      </c>
      <c r="K52" s="3" t="str">
        <f>VLOOKUP(Table2[[#This Row],[Konto]],Table5[[Konto]:[Konto nimetus]],2,FALSE)</f>
        <v>Sõidukite ülalpidamise kulud</v>
      </c>
      <c r="L52">
        <v>55</v>
      </c>
      <c r="M52" t="str">
        <f t="shared" si="1"/>
        <v>55</v>
      </c>
      <c r="N52" s="3" t="str">
        <f>VLOOKUP(Table2[[#This Row],[Tulu/kulu liik2]],Table5[[Tulu/kulu liik]:[Kontode koondnimetus]],4,FALSE)</f>
        <v>Muud tegevuskulud</v>
      </c>
      <c r="O52" s="3" t="str">
        <f>VLOOKUP(Table2[[#This Row],[Tulu/kulu liik2]],Table5[],6,FALSE)</f>
        <v>Majandamiskulud</v>
      </c>
      <c r="P52" s="3" t="str">
        <f>VLOOKUP(Table2[[#This Row],[Tulu/kulu liik2]],Table5[],5,FALSE)</f>
        <v>Põhitegevuse kulu</v>
      </c>
    </row>
    <row r="53" spans="1:16" hidden="1" x14ac:dyDescent="0.25">
      <c r="A53" t="str">
        <f t="shared" si="0"/>
        <v>01</v>
      </c>
      <c r="B53" t="s">
        <v>15</v>
      </c>
      <c r="C53" s="3" t="str">
        <f>VLOOKUP(Table2[[#This Row],[Tegevusala]],Table4[],2,FALSE)</f>
        <v xml:space="preserve"> Valla- ja linnavalitsus</v>
      </c>
      <c r="D53" s="3" t="str">
        <f>VLOOKUP(Table2[[#This Row],[Tegevusala]],Table4[[Tegevusala kood]:[Tegevusala alanimetus]],4,FALSE)</f>
        <v>Valla- ja linnavalitsus</v>
      </c>
      <c r="E53" s="3" t="str">
        <f>VLOOKUP(Table2[[#This Row],[Tegevusala nimetus2]],Table4[[Tegevusala nimetus]:[Tegevusala koondnimetus]],2,FALSE)</f>
        <v>Üldised valitsussektori teenused</v>
      </c>
      <c r="F53" t="s">
        <v>799</v>
      </c>
      <c r="G53" t="s">
        <v>1965</v>
      </c>
      <c r="H53" s="40">
        <v>650</v>
      </c>
      <c r="J53">
        <v>5513</v>
      </c>
      <c r="K53" s="3" t="str">
        <f>VLOOKUP(Table2[[#This Row],[Konto]],Table5[[Konto]:[Konto nimetus]],2,FALSE)</f>
        <v>Sõidukite ülalpidamise kulud</v>
      </c>
      <c r="L53">
        <v>55</v>
      </c>
      <c r="M53" t="str">
        <f t="shared" si="1"/>
        <v>55</v>
      </c>
      <c r="N53" s="3" t="str">
        <f>VLOOKUP(Table2[[#This Row],[Tulu/kulu liik2]],Table5[[Tulu/kulu liik]:[Kontode koondnimetus]],4,FALSE)</f>
        <v>Muud tegevuskulud</v>
      </c>
      <c r="O53" s="3" t="str">
        <f>VLOOKUP(Table2[[#This Row],[Tulu/kulu liik2]],Table5[],6,FALSE)</f>
        <v>Majandamiskulud</v>
      </c>
      <c r="P53" s="3" t="str">
        <f>VLOOKUP(Table2[[#This Row],[Tulu/kulu liik2]],Table5[],5,FALSE)</f>
        <v>Põhitegevuse kulu</v>
      </c>
    </row>
    <row r="54" spans="1:16" hidden="1" x14ac:dyDescent="0.25">
      <c r="A54" t="str">
        <f t="shared" si="0"/>
        <v>01</v>
      </c>
      <c r="B54" t="s">
        <v>15</v>
      </c>
      <c r="C54" s="3" t="str">
        <f>VLOOKUP(Table2[[#This Row],[Tegevusala]],Table4[],2,FALSE)</f>
        <v xml:space="preserve"> Valla- ja linnavalitsus</v>
      </c>
      <c r="D54" s="3" t="str">
        <f>VLOOKUP(Table2[[#This Row],[Tegevusala]],Table4[[Tegevusala kood]:[Tegevusala alanimetus]],4,FALSE)</f>
        <v>Valla- ja linnavalitsus</v>
      </c>
      <c r="E54" s="3" t="str">
        <f>VLOOKUP(Table2[[#This Row],[Tegevusala nimetus2]],Table4[[Tegevusala nimetus]:[Tegevusala koondnimetus]],2,FALSE)</f>
        <v>Üldised valitsussektori teenused</v>
      </c>
      <c r="F54" t="s">
        <v>799</v>
      </c>
      <c r="G54" t="s">
        <v>1966</v>
      </c>
      <c r="H54" s="40">
        <v>4800</v>
      </c>
      <c r="J54">
        <v>5513</v>
      </c>
      <c r="K54" s="3" t="str">
        <f>VLOOKUP(Table2[[#This Row],[Konto]],Table5[[Konto]:[Konto nimetus]],2,FALSE)</f>
        <v>Sõidukite ülalpidamise kulud</v>
      </c>
      <c r="L54">
        <v>55</v>
      </c>
      <c r="M54" t="str">
        <f t="shared" si="1"/>
        <v>55</v>
      </c>
      <c r="N54" s="3" t="str">
        <f>VLOOKUP(Table2[[#This Row],[Tulu/kulu liik2]],Table5[[Tulu/kulu liik]:[Kontode koondnimetus]],4,FALSE)</f>
        <v>Muud tegevuskulud</v>
      </c>
      <c r="O54" s="3" t="str">
        <f>VLOOKUP(Table2[[#This Row],[Tulu/kulu liik2]],Table5[],6,FALSE)</f>
        <v>Majandamiskulud</v>
      </c>
      <c r="P54" s="3" t="str">
        <f>VLOOKUP(Table2[[#This Row],[Tulu/kulu liik2]],Table5[],5,FALSE)</f>
        <v>Põhitegevuse kulu</v>
      </c>
    </row>
    <row r="55" spans="1:16" hidden="1" x14ac:dyDescent="0.25">
      <c r="A55" t="str">
        <f t="shared" si="0"/>
        <v>01</v>
      </c>
      <c r="B55" t="s">
        <v>15</v>
      </c>
      <c r="C55" s="3" t="str">
        <f>VLOOKUP(Table2[[#This Row],[Tegevusala]],Table4[],2,FALSE)</f>
        <v xml:space="preserve"> Valla- ja linnavalitsus</v>
      </c>
      <c r="D55" s="3" t="str">
        <f>VLOOKUP(Table2[[#This Row],[Tegevusala]],Table4[[Tegevusala kood]:[Tegevusala alanimetus]],4,FALSE)</f>
        <v>Valla- ja linnavalitsus</v>
      </c>
      <c r="E55" s="3" t="str">
        <f>VLOOKUP(Table2[[#This Row],[Tegevusala nimetus2]],Table4[[Tegevusala nimetus]:[Tegevusala koondnimetus]],2,FALSE)</f>
        <v>Üldised valitsussektori teenused</v>
      </c>
      <c r="F55" t="s">
        <v>799</v>
      </c>
      <c r="G55" t="s">
        <v>1967</v>
      </c>
      <c r="H55" s="40">
        <v>1500</v>
      </c>
      <c r="J55">
        <v>5513</v>
      </c>
      <c r="K55" s="3" t="str">
        <f>VLOOKUP(Table2[[#This Row],[Konto]],Table5[[Konto]:[Konto nimetus]],2,FALSE)</f>
        <v>Sõidukite ülalpidamise kulud</v>
      </c>
      <c r="L55">
        <v>55</v>
      </c>
      <c r="M55" t="str">
        <f t="shared" si="1"/>
        <v>55</v>
      </c>
      <c r="N55" s="3" t="str">
        <f>VLOOKUP(Table2[[#This Row],[Tulu/kulu liik2]],Table5[[Tulu/kulu liik]:[Kontode koondnimetus]],4,FALSE)</f>
        <v>Muud tegevuskulud</v>
      </c>
      <c r="O55" s="3" t="str">
        <f>VLOOKUP(Table2[[#This Row],[Tulu/kulu liik2]],Table5[],6,FALSE)</f>
        <v>Majandamiskulud</v>
      </c>
      <c r="P55" s="3" t="str">
        <f>VLOOKUP(Table2[[#This Row],[Tulu/kulu liik2]],Table5[],5,FALSE)</f>
        <v>Põhitegevuse kulu</v>
      </c>
    </row>
    <row r="56" spans="1:16" hidden="1" x14ac:dyDescent="0.25">
      <c r="A56" t="str">
        <f t="shared" si="0"/>
        <v>01</v>
      </c>
      <c r="B56" t="s">
        <v>15</v>
      </c>
      <c r="C56" s="3" t="str">
        <f>VLOOKUP(Table2[[#This Row],[Tegevusala]],Table4[],2,FALSE)</f>
        <v xml:space="preserve"> Valla- ja linnavalitsus</v>
      </c>
      <c r="D56" s="3" t="str">
        <f>VLOOKUP(Table2[[#This Row],[Tegevusala]],Table4[[Tegevusala kood]:[Tegevusala alanimetus]],4,FALSE)</f>
        <v>Valla- ja linnavalitsus</v>
      </c>
      <c r="E56" s="3" t="str">
        <f>VLOOKUP(Table2[[#This Row],[Tegevusala nimetus2]],Table4[[Tegevusala nimetus]:[Tegevusala koondnimetus]],2,FALSE)</f>
        <v>Üldised valitsussektori teenused</v>
      </c>
      <c r="F56" t="s">
        <v>1949</v>
      </c>
      <c r="G56" t="s">
        <v>1971</v>
      </c>
      <c r="H56" s="40">
        <v>4395.2</v>
      </c>
      <c r="I56" s="2" t="s">
        <v>1972</v>
      </c>
      <c r="J56">
        <v>5514</v>
      </c>
      <c r="K56" s="3" t="str">
        <f>VLOOKUP(Table2[[#This Row],[Konto]],Table5[[Konto]:[Konto nimetus]],2,FALSE)</f>
        <v>Info- ja kommunikatsioonitehnoliigised kulud</v>
      </c>
      <c r="L56">
        <v>55</v>
      </c>
      <c r="M56" t="str">
        <f t="shared" si="1"/>
        <v>55</v>
      </c>
      <c r="N56" s="3" t="str">
        <f>VLOOKUP(Table2[[#This Row],[Tulu/kulu liik2]],Table5[[Tulu/kulu liik]:[Kontode koondnimetus]],4,FALSE)</f>
        <v>Muud tegevuskulud</v>
      </c>
      <c r="O56" s="3" t="str">
        <f>VLOOKUP(Table2[[#This Row],[Tulu/kulu liik2]],Table5[],6,FALSE)</f>
        <v>Majandamiskulud</v>
      </c>
      <c r="P56" s="3" t="str">
        <f>VLOOKUP(Table2[[#This Row],[Tulu/kulu liik2]],Table5[],5,FALSE)</f>
        <v>Põhitegevuse kulu</v>
      </c>
    </row>
    <row r="57" spans="1:16" hidden="1" x14ac:dyDescent="0.25">
      <c r="A57" t="str">
        <f t="shared" si="0"/>
        <v>01</v>
      </c>
      <c r="B57" t="s">
        <v>15</v>
      </c>
      <c r="C57" s="3" t="str">
        <f>VLOOKUP(Table2[[#This Row],[Tegevusala]],Table4[],2,FALSE)</f>
        <v xml:space="preserve"> Valla- ja linnavalitsus</v>
      </c>
      <c r="D57" s="3" t="str">
        <f>VLOOKUP(Table2[[#This Row],[Tegevusala]],Table4[[Tegevusala kood]:[Tegevusala alanimetus]],4,FALSE)</f>
        <v>Valla- ja linnavalitsus</v>
      </c>
      <c r="E57" s="3" t="str">
        <f>VLOOKUP(Table2[[#This Row],[Tegevusala nimetus2]],Table4[[Tegevusala nimetus]:[Tegevusala koondnimetus]],2,FALSE)</f>
        <v>Üldised valitsussektori teenused</v>
      </c>
      <c r="F57" t="s">
        <v>1949</v>
      </c>
      <c r="G57" t="s">
        <v>1973</v>
      </c>
      <c r="H57" s="40">
        <v>1500</v>
      </c>
      <c r="J57">
        <v>5514</v>
      </c>
      <c r="K57" s="3" t="str">
        <f>VLOOKUP(Table2[[#This Row],[Konto]],Table5[[Konto]:[Konto nimetus]],2,FALSE)</f>
        <v>Info- ja kommunikatsioonitehnoliigised kulud</v>
      </c>
      <c r="L57">
        <v>55</v>
      </c>
      <c r="M57" t="str">
        <f t="shared" si="1"/>
        <v>55</v>
      </c>
      <c r="N57" s="3" t="str">
        <f>VLOOKUP(Table2[[#This Row],[Tulu/kulu liik2]],Table5[[Tulu/kulu liik]:[Kontode koondnimetus]],4,FALSE)</f>
        <v>Muud tegevuskulud</v>
      </c>
      <c r="O57" s="3" t="str">
        <f>VLOOKUP(Table2[[#This Row],[Tulu/kulu liik2]],Table5[],6,FALSE)</f>
        <v>Majandamiskulud</v>
      </c>
      <c r="P57" s="3" t="str">
        <f>VLOOKUP(Table2[[#This Row],[Tulu/kulu liik2]],Table5[],5,FALSE)</f>
        <v>Põhitegevuse kulu</v>
      </c>
    </row>
    <row r="58" spans="1:16" hidden="1" x14ac:dyDescent="0.25">
      <c r="A58" t="str">
        <f t="shared" si="0"/>
        <v>01</v>
      </c>
      <c r="B58" t="s">
        <v>15</v>
      </c>
      <c r="C58" s="3" t="str">
        <f>VLOOKUP(Table2[[#This Row],[Tegevusala]],Table4[],2,FALSE)</f>
        <v xml:space="preserve"> Valla- ja linnavalitsus</v>
      </c>
      <c r="D58" s="3" t="str">
        <f>VLOOKUP(Table2[[#This Row],[Tegevusala]],Table4[[Tegevusala kood]:[Tegevusala alanimetus]],4,FALSE)</f>
        <v>Valla- ja linnavalitsus</v>
      </c>
      <c r="E58" s="3" t="str">
        <f>VLOOKUP(Table2[[#This Row],[Tegevusala nimetus2]],Table4[[Tegevusala nimetus]:[Tegevusala koondnimetus]],2,FALSE)</f>
        <v>Üldised valitsussektori teenused</v>
      </c>
      <c r="F58" t="s">
        <v>799</v>
      </c>
      <c r="G58" t="s">
        <v>1974</v>
      </c>
      <c r="H58" s="40">
        <v>660</v>
      </c>
      <c r="J58">
        <v>5515</v>
      </c>
      <c r="K58" s="3" t="str">
        <f>VLOOKUP(Table2[[#This Row],[Konto]],Table5[[Konto]:[Konto nimetus]],2,FALSE)</f>
        <v>Inventari kulud, v.a infotehnoloogia ja kaitseotstarbelised kulud</v>
      </c>
      <c r="L58">
        <v>55</v>
      </c>
      <c r="M58" t="str">
        <f t="shared" si="1"/>
        <v>55</v>
      </c>
      <c r="N58" s="3" t="str">
        <f>VLOOKUP(Table2[[#This Row],[Tulu/kulu liik2]],Table5[[Tulu/kulu liik]:[Kontode koondnimetus]],4,FALSE)</f>
        <v>Muud tegevuskulud</v>
      </c>
      <c r="O58" s="3" t="str">
        <f>VLOOKUP(Table2[[#This Row],[Tulu/kulu liik2]],Table5[],6,FALSE)</f>
        <v>Majandamiskulud</v>
      </c>
      <c r="P58" s="3" t="str">
        <f>VLOOKUP(Table2[[#This Row],[Tulu/kulu liik2]],Table5[],5,FALSE)</f>
        <v>Põhitegevuse kulu</v>
      </c>
    </row>
    <row r="59" spans="1:16" hidden="1" x14ac:dyDescent="0.25">
      <c r="A59" t="str">
        <f t="shared" si="0"/>
        <v>01</v>
      </c>
      <c r="B59" t="s">
        <v>15</v>
      </c>
      <c r="C59" s="3" t="str">
        <f>VLOOKUP(Table2[[#This Row],[Tegevusala]],Table4[],2,FALSE)</f>
        <v xml:space="preserve"> Valla- ja linnavalitsus</v>
      </c>
      <c r="D59" s="3" t="str">
        <f>VLOOKUP(Table2[[#This Row],[Tegevusala]],Table4[[Tegevusala kood]:[Tegevusala alanimetus]],4,FALSE)</f>
        <v>Valla- ja linnavalitsus</v>
      </c>
      <c r="E59" s="3" t="str">
        <f>VLOOKUP(Table2[[#This Row],[Tegevusala nimetus2]],Table4[[Tegevusala nimetus]:[Tegevusala koondnimetus]],2,FALSE)</f>
        <v>Üldised valitsussektori teenused</v>
      </c>
      <c r="F59" t="s">
        <v>799</v>
      </c>
      <c r="G59" t="s">
        <v>1975</v>
      </c>
      <c r="H59" s="40">
        <v>1500</v>
      </c>
      <c r="J59">
        <v>5515</v>
      </c>
      <c r="K59" s="3" t="str">
        <f>VLOOKUP(Table2[[#This Row],[Konto]],Table5[[Konto]:[Konto nimetus]],2,FALSE)</f>
        <v>Inventari kulud, v.a infotehnoloogia ja kaitseotstarbelised kulud</v>
      </c>
      <c r="L59">
        <v>55</v>
      </c>
      <c r="M59" t="str">
        <f t="shared" si="1"/>
        <v>55</v>
      </c>
      <c r="N59" s="3" t="str">
        <f>VLOOKUP(Table2[[#This Row],[Tulu/kulu liik2]],Table5[[Tulu/kulu liik]:[Kontode koondnimetus]],4,FALSE)</f>
        <v>Muud tegevuskulud</v>
      </c>
      <c r="O59" s="3" t="str">
        <f>VLOOKUP(Table2[[#This Row],[Tulu/kulu liik2]],Table5[],6,FALSE)</f>
        <v>Majandamiskulud</v>
      </c>
      <c r="P59" s="3" t="str">
        <f>VLOOKUP(Table2[[#This Row],[Tulu/kulu liik2]],Table5[],5,FALSE)</f>
        <v>Põhitegevuse kulu</v>
      </c>
    </row>
    <row r="60" spans="1:16" hidden="1" x14ac:dyDescent="0.25">
      <c r="A60" t="str">
        <f t="shared" si="0"/>
        <v>01</v>
      </c>
      <c r="B60" t="s">
        <v>15</v>
      </c>
      <c r="C60" s="3" t="str">
        <f>VLOOKUP(Table2[[#This Row],[Tegevusala]],Table4[],2,FALSE)</f>
        <v xml:space="preserve"> Valla- ja linnavalitsus</v>
      </c>
      <c r="D60" s="3" t="str">
        <f>VLOOKUP(Table2[[#This Row],[Tegevusala]],Table4[[Tegevusala kood]:[Tegevusala alanimetus]],4,FALSE)</f>
        <v>Valla- ja linnavalitsus</v>
      </c>
      <c r="E60" s="3" t="str">
        <f>VLOOKUP(Table2[[#This Row],[Tegevusala nimetus2]],Table4[[Tegevusala nimetus]:[Tegevusala koondnimetus]],2,FALSE)</f>
        <v>Üldised valitsussektori teenused</v>
      </c>
      <c r="F60" t="s">
        <v>1949</v>
      </c>
      <c r="G60" t="s">
        <v>1976</v>
      </c>
      <c r="H60" s="40">
        <v>3500</v>
      </c>
      <c r="J60">
        <v>5522</v>
      </c>
      <c r="K60" s="3" t="str">
        <f>VLOOKUP(Table2[[#This Row],[Konto]],Table5[[Konto]:[Konto nimetus]],2,FALSE)</f>
        <v>Meditsiinikulud ja hügieenitarbed</v>
      </c>
      <c r="L60">
        <v>55</v>
      </c>
      <c r="M60" t="str">
        <f t="shared" si="1"/>
        <v>55</v>
      </c>
      <c r="N60" s="3" t="str">
        <f>VLOOKUP(Table2[[#This Row],[Tulu/kulu liik2]],Table5[[Tulu/kulu liik]:[Kontode koondnimetus]],4,FALSE)</f>
        <v>Muud tegevuskulud</v>
      </c>
      <c r="O60" s="3" t="str">
        <f>VLOOKUP(Table2[[#This Row],[Tulu/kulu liik2]],Table5[],6,FALSE)</f>
        <v>Majandamiskulud</v>
      </c>
      <c r="P60" s="3" t="str">
        <f>VLOOKUP(Table2[[#This Row],[Tulu/kulu liik2]],Table5[],5,FALSE)</f>
        <v>Põhitegevuse kulu</v>
      </c>
    </row>
    <row r="61" spans="1:16" hidden="1" x14ac:dyDescent="0.25">
      <c r="A61" t="str">
        <f t="shared" si="0"/>
        <v>01</v>
      </c>
      <c r="B61" t="s">
        <v>15</v>
      </c>
      <c r="C61" s="3" t="str">
        <f>VLOOKUP(Table2[[#This Row],[Tegevusala]],Table4[],2,FALSE)</f>
        <v xml:space="preserve"> Valla- ja linnavalitsus</v>
      </c>
      <c r="D61" s="3" t="str">
        <f>VLOOKUP(Table2[[#This Row],[Tegevusala]],Table4[[Tegevusala kood]:[Tegevusala alanimetus]],4,FALSE)</f>
        <v>Valla- ja linnavalitsus</v>
      </c>
      <c r="E61" s="3" t="str">
        <f>VLOOKUP(Table2[[#This Row],[Tegevusala nimetus2]],Table4[[Tegevusala nimetus]:[Tegevusala koondnimetus]],2,FALSE)</f>
        <v>Üldised valitsussektori teenused</v>
      </c>
      <c r="F61" t="s">
        <v>1949</v>
      </c>
      <c r="G61" t="s">
        <v>1977</v>
      </c>
      <c r="H61" s="40">
        <v>1000</v>
      </c>
      <c r="I61" s="2" t="s">
        <v>1978</v>
      </c>
      <c r="J61">
        <v>5522</v>
      </c>
      <c r="K61" s="3" t="str">
        <f>VLOOKUP(Table2[[#This Row],[Konto]],Table5[[Konto]:[Konto nimetus]],2,FALSE)</f>
        <v>Meditsiinikulud ja hügieenitarbed</v>
      </c>
      <c r="L61">
        <v>55</v>
      </c>
      <c r="M61" t="str">
        <f t="shared" si="1"/>
        <v>55</v>
      </c>
      <c r="N61" s="3" t="str">
        <f>VLOOKUP(Table2[[#This Row],[Tulu/kulu liik2]],Table5[[Tulu/kulu liik]:[Kontode koondnimetus]],4,FALSE)</f>
        <v>Muud tegevuskulud</v>
      </c>
      <c r="O61" s="3" t="str">
        <f>VLOOKUP(Table2[[#This Row],[Tulu/kulu liik2]],Table5[],6,FALSE)</f>
        <v>Majandamiskulud</v>
      </c>
      <c r="P61" s="3" t="str">
        <f>VLOOKUP(Table2[[#This Row],[Tulu/kulu liik2]],Table5[],5,FALSE)</f>
        <v>Põhitegevuse kulu</v>
      </c>
    </row>
    <row r="62" spans="1:16" hidden="1" x14ac:dyDescent="0.25">
      <c r="A62" t="str">
        <f t="shared" si="0"/>
        <v>01</v>
      </c>
      <c r="B62" t="s">
        <v>15</v>
      </c>
      <c r="C62" s="3" t="str">
        <f>VLOOKUP(Table2[[#This Row],[Tegevusala]],Table4[],2,FALSE)</f>
        <v xml:space="preserve"> Valla- ja linnavalitsus</v>
      </c>
      <c r="D62" s="3" t="str">
        <f>VLOOKUP(Table2[[#This Row],[Tegevusala]],Table4[[Tegevusala kood]:[Tegevusala alanimetus]],4,FALSE)</f>
        <v>Valla- ja linnavalitsus</v>
      </c>
      <c r="E62" s="3" t="str">
        <f>VLOOKUP(Table2[[#This Row],[Tegevusala nimetus2]],Table4[[Tegevusala nimetus]:[Tegevusala koondnimetus]],2,FALSE)</f>
        <v>Üldised valitsussektori teenused</v>
      </c>
      <c r="F62" t="s">
        <v>1949</v>
      </c>
      <c r="G62" t="s">
        <v>1979</v>
      </c>
      <c r="H62" s="40">
        <v>200</v>
      </c>
      <c r="J62">
        <v>5523</v>
      </c>
      <c r="K62" s="3" t="str">
        <f>VLOOKUP(Table2[[#This Row],[Konto]],Table5[[Konto]:[Konto nimetus]],2,FALSE)</f>
        <v>Teavikud ja kunstiesemed</v>
      </c>
      <c r="L62">
        <v>55</v>
      </c>
      <c r="M62" t="str">
        <f t="shared" si="1"/>
        <v>55</v>
      </c>
      <c r="N62" s="3" t="str">
        <f>VLOOKUP(Table2[[#This Row],[Tulu/kulu liik2]],Table5[[Tulu/kulu liik]:[Kontode koondnimetus]],4,FALSE)</f>
        <v>Muud tegevuskulud</v>
      </c>
      <c r="O62" s="3" t="str">
        <f>VLOOKUP(Table2[[#This Row],[Tulu/kulu liik2]],Table5[],6,FALSE)</f>
        <v>Majandamiskulud</v>
      </c>
      <c r="P62" s="3" t="str">
        <f>VLOOKUP(Table2[[#This Row],[Tulu/kulu liik2]],Table5[],5,FALSE)</f>
        <v>Põhitegevuse kulu</v>
      </c>
    </row>
    <row r="63" spans="1:16" hidden="1" x14ac:dyDescent="0.25">
      <c r="A63" t="str">
        <f t="shared" si="0"/>
        <v>01</v>
      </c>
      <c r="B63" t="s">
        <v>15</v>
      </c>
      <c r="C63" s="3" t="str">
        <f>VLOOKUP(Table2[[#This Row],[Tegevusala]],Table4[],2,FALSE)</f>
        <v xml:space="preserve"> Valla- ja linnavalitsus</v>
      </c>
      <c r="D63" s="3" t="str">
        <f>VLOOKUP(Table2[[#This Row],[Tegevusala]],Table4[[Tegevusala kood]:[Tegevusala alanimetus]],4,FALSE)</f>
        <v>Valla- ja linnavalitsus</v>
      </c>
      <c r="E63" s="3" t="str">
        <f>VLOOKUP(Table2[[#This Row],[Tegevusala nimetus2]],Table4[[Tegevusala nimetus]:[Tegevusala koondnimetus]],2,FALSE)</f>
        <v>Üldised valitsussektori teenused</v>
      </c>
      <c r="F63" t="s">
        <v>1949</v>
      </c>
      <c r="G63" t="s">
        <v>1982</v>
      </c>
      <c r="H63" s="40">
        <v>300</v>
      </c>
      <c r="J63">
        <v>5500</v>
      </c>
      <c r="K63" s="3" t="str">
        <f>VLOOKUP(Table2[[#This Row],[Konto]],Table5[[Konto]:[Konto nimetus]],2,FALSE)</f>
        <v>Administreerimiskulud</v>
      </c>
      <c r="L63">
        <v>55</v>
      </c>
      <c r="M63" t="str">
        <f t="shared" si="1"/>
        <v>55</v>
      </c>
      <c r="N63" s="3" t="str">
        <f>VLOOKUP(Table2[[#This Row],[Tulu/kulu liik2]],Table5[[Tulu/kulu liik]:[Kontode koondnimetus]],4,FALSE)</f>
        <v>Muud tegevuskulud</v>
      </c>
      <c r="O63" s="3" t="str">
        <f>VLOOKUP(Table2[[#This Row],[Tulu/kulu liik2]],Table5[],6,FALSE)</f>
        <v>Majandamiskulud</v>
      </c>
      <c r="P63" s="3" t="str">
        <f>VLOOKUP(Table2[[#This Row],[Tulu/kulu liik2]],Table5[],5,FALSE)</f>
        <v>Põhitegevuse kulu</v>
      </c>
    </row>
    <row r="64" spans="1:16" hidden="1" x14ac:dyDescent="0.25">
      <c r="A64" t="str">
        <f t="shared" si="0"/>
        <v>01</v>
      </c>
      <c r="B64" t="s">
        <v>15</v>
      </c>
      <c r="C64" s="3" t="str">
        <f>VLOOKUP(Table2[[#This Row],[Tegevusala]],Table4[],2,FALSE)</f>
        <v xml:space="preserve"> Valla- ja linnavalitsus</v>
      </c>
      <c r="D64" s="3" t="str">
        <f>VLOOKUP(Table2[[#This Row],[Tegevusala]],Table4[[Tegevusala kood]:[Tegevusala alanimetus]],4,FALSE)</f>
        <v>Valla- ja linnavalitsus</v>
      </c>
      <c r="E64" s="3" t="str">
        <f>VLOOKUP(Table2[[#This Row],[Tegevusala nimetus2]],Table4[[Tegevusala nimetus]:[Tegevusala koondnimetus]],2,FALSE)</f>
        <v>Üldised valitsussektori teenused</v>
      </c>
      <c r="F64" t="s">
        <v>1949</v>
      </c>
      <c r="G64" t="s">
        <v>1983</v>
      </c>
      <c r="H64" s="40">
        <v>11200</v>
      </c>
      <c r="I64" s="2" t="s">
        <v>1984</v>
      </c>
      <c r="J64">
        <v>5540</v>
      </c>
      <c r="K64" s="3" t="str">
        <f>VLOOKUP(Table2[[#This Row],[Konto]],Table5[[Konto]:[Konto nimetus]],2,FALSE)</f>
        <v>Mitmesugused majanduskulud</v>
      </c>
      <c r="L64">
        <v>55</v>
      </c>
      <c r="M64" t="str">
        <f t="shared" si="1"/>
        <v>55</v>
      </c>
      <c r="N64" s="3" t="str">
        <f>VLOOKUP(Table2[[#This Row],[Tulu/kulu liik2]],Table5[[Tulu/kulu liik]:[Kontode koondnimetus]],4,FALSE)</f>
        <v>Muud tegevuskulud</v>
      </c>
      <c r="O64" s="3" t="str">
        <f>VLOOKUP(Table2[[#This Row],[Tulu/kulu liik2]],Table5[],6,FALSE)</f>
        <v>Majandamiskulud</v>
      </c>
      <c r="P64" s="3" t="str">
        <f>VLOOKUP(Table2[[#This Row],[Tulu/kulu liik2]],Table5[],5,FALSE)</f>
        <v>Põhitegevuse kulu</v>
      </c>
    </row>
    <row r="65" spans="1:16" hidden="1" x14ac:dyDescent="0.25">
      <c r="A65" t="str">
        <f t="shared" si="0"/>
        <v>01</v>
      </c>
      <c r="B65" t="s">
        <v>15</v>
      </c>
      <c r="C65" s="3" t="str">
        <f>VLOOKUP(Table2[[#This Row],[Tegevusala]],Table4[],2,FALSE)</f>
        <v xml:space="preserve"> Valla- ja linnavalitsus</v>
      </c>
      <c r="D65" s="3" t="str">
        <f>VLOOKUP(Table2[[#This Row],[Tegevusala]],Table4[[Tegevusala kood]:[Tegevusala alanimetus]],4,FALSE)</f>
        <v>Valla- ja linnavalitsus</v>
      </c>
      <c r="E65" s="3" t="str">
        <f>VLOOKUP(Table2[[#This Row],[Tegevusala nimetus2]],Table4[[Tegevusala nimetus]:[Tegevusala koondnimetus]],2,FALSE)</f>
        <v>Üldised valitsussektori teenused</v>
      </c>
      <c r="F65" t="s">
        <v>823</v>
      </c>
      <c r="G65" t="s">
        <v>79</v>
      </c>
      <c r="H65" s="40">
        <v>-512000</v>
      </c>
      <c r="J65">
        <v>3030</v>
      </c>
      <c r="K65" s="3" t="str">
        <f>VLOOKUP(Table2[[#This Row],[Konto]],Table5[[Konto]:[Konto nimetus]],2,FALSE)</f>
        <v>Maamaks</v>
      </c>
      <c r="L65">
        <v>3030</v>
      </c>
      <c r="M65" t="str">
        <f t="shared" si="1"/>
        <v>30</v>
      </c>
      <c r="N65" s="3" t="str">
        <f>VLOOKUP(Table2[[#This Row],[Tulu/kulu liik2]],Table5[[Tulu/kulu liik]:[Kontode koondnimetus]],4,FALSE)</f>
        <v>Maksutulud</v>
      </c>
      <c r="O65" s="34" t="str">
        <f>VLOOKUP(Table2[[#This Row],[Tulu/kulu liik2]],Table5[],6,FALSE)</f>
        <v>Maamaks</v>
      </c>
      <c r="P65" s="3" t="str">
        <f>VLOOKUP(Table2[[#This Row],[Tulu/kulu liik2]],Table5[],5,FALSE)</f>
        <v>Põhitegevuse tulu</v>
      </c>
    </row>
    <row r="66" spans="1:16" hidden="1" x14ac:dyDescent="0.25">
      <c r="A66" t="str">
        <f t="shared" ref="A66:A128" si="2">LEFT(B66,2)</f>
        <v>01</v>
      </c>
      <c r="B66" t="s">
        <v>15</v>
      </c>
      <c r="C66" s="3" t="str">
        <f>VLOOKUP(Table2[[#This Row],[Tegevusala]],Table4[],2,FALSE)</f>
        <v xml:space="preserve"> Valla- ja linnavalitsus</v>
      </c>
      <c r="D66" s="3" t="str">
        <f>VLOOKUP(Table2[[#This Row],[Tegevusala]],Table4[[Tegevusala kood]:[Tegevusala alanimetus]],4,FALSE)</f>
        <v>Valla- ja linnavalitsus</v>
      </c>
      <c r="E66" s="3" t="str">
        <f>VLOOKUP(Table2[[#This Row],[Tegevusala nimetus2]],Table4[[Tegevusala nimetus]:[Tegevusala koondnimetus]],2,FALSE)</f>
        <v>Üldised valitsussektori teenused</v>
      </c>
      <c r="F66" t="s">
        <v>822</v>
      </c>
      <c r="G66" t="s">
        <v>2017</v>
      </c>
      <c r="H66" s="40">
        <v>10000</v>
      </c>
      <c r="J66">
        <v>1551</v>
      </c>
      <c r="K66" s="3" t="str">
        <f>VLOOKUP(Table2[[#This Row],[Konto]],Table5[[Konto]:[Konto nimetus]],2,FALSE)</f>
        <v>Rajatiste ja hoonete soetamine ja renoveerimine</v>
      </c>
      <c r="L66">
        <v>15</v>
      </c>
      <c r="M66" t="str">
        <f t="shared" ref="M66:M128" si="3">LEFT(J66,2)</f>
        <v>15</v>
      </c>
      <c r="N66" s="3" t="str">
        <f>VLOOKUP(Table2[[#This Row],[Tulu/kulu liik2]],Table5[[Tulu/kulu liik]:[Kontode koondnimetus]],4,FALSE)</f>
        <v>Põhivara soetus (-)</v>
      </c>
      <c r="O66" s="34" t="str">
        <f>VLOOKUP(Table2[[#This Row],[Tulu/kulu liik2]],Table5[],6,FALSE)</f>
        <v>Põhivara soetus (-)</v>
      </c>
      <c r="P66" s="3" t="str">
        <f>VLOOKUP(Table2[[#This Row],[Tulu/kulu liik2]],Table5[],5,FALSE)</f>
        <v>Investeerimistegevus</v>
      </c>
    </row>
    <row r="67" spans="1:16" hidden="1" x14ac:dyDescent="0.25">
      <c r="A67" t="str">
        <f t="shared" si="2"/>
        <v>01</v>
      </c>
      <c r="B67" t="s">
        <v>15</v>
      </c>
      <c r="C67" s="3" t="str">
        <f>VLOOKUP(Table2[[#This Row],[Tegevusala]],Table4[],2,FALSE)</f>
        <v xml:space="preserve"> Valla- ja linnavalitsus</v>
      </c>
      <c r="D67" s="3" t="str">
        <f>VLOOKUP(Table2[[#This Row],[Tegevusala]],Table4[[Tegevusala kood]:[Tegevusala alanimetus]],4,FALSE)</f>
        <v>Valla- ja linnavalitsus</v>
      </c>
      <c r="E67" s="3" t="str">
        <f>VLOOKUP(Table2[[#This Row],[Tegevusala nimetus2]],Table4[[Tegevusala nimetus]:[Tegevusala koondnimetus]],2,FALSE)</f>
        <v>Üldised valitsussektori teenused</v>
      </c>
      <c r="F67" t="s">
        <v>822</v>
      </c>
      <c r="G67" t="s">
        <v>2018</v>
      </c>
      <c r="H67" s="40">
        <v>25000</v>
      </c>
      <c r="J67">
        <v>1551</v>
      </c>
      <c r="K67" s="3" t="str">
        <f>VLOOKUP(Table2[[#This Row],[Konto]],Table5[[Konto]:[Konto nimetus]],2,FALSE)</f>
        <v>Rajatiste ja hoonete soetamine ja renoveerimine</v>
      </c>
      <c r="L67">
        <v>15</v>
      </c>
      <c r="M67" t="str">
        <f t="shared" si="3"/>
        <v>15</v>
      </c>
      <c r="N67" s="3" t="str">
        <f>VLOOKUP(Table2[[#This Row],[Tulu/kulu liik2]],Table5[[Tulu/kulu liik]:[Kontode koondnimetus]],4,FALSE)</f>
        <v>Põhivara soetus (-)</v>
      </c>
      <c r="O67" s="34" t="str">
        <f>VLOOKUP(Table2[[#This Row],[Tulu/kulu liik2]],Table5[],6,FALSE)</f>
        <v>Põhivara soetus (-)</v>
      </c>
      <c r="P67" s="3" t="str">
        <f>VLOOKUP(Table2[[#This Row],[Tulu/kulu liik2]],Table5[],5,FALSE)</f>
        <v>Investeerimistegevus</v>
      </c>
    </row>
    <row r="68" spans="1:16" hidden="1" x14ac:dyDescent="0.25">
      <c r="A68" t="str">
        <f t="shared" si="2"/>
        <v>01</v>
      </c>
      <c r="B68" t="s">
        <v>15</v>
      </c>
      <c r="C68" s="3" t="str">
        <f>VLOOKUP(Table2[[#This Row],[Tegevusala]],Table4[],2,FALSE)</f>
        <v xml:space="preserve"> Valla- ja linnavalitsus</v>
      </c>
      <c r="D68" s="3" t="str">
        <f>VLOOKUP(Table2[[#This Row],[Tegevusala]],Table4[[Tegevusala kood]:[Tegevusala alanimetus]],4,FALSE)</f>
        <v>Valla- ja linnavalitsus</v>
      </c>
      <c r="E68" s="3" t="str">
        <f>VLOOKUP(Table2[[#This Row],[Tegevusala nimetus2]],Table4[[Tegevusala nimetus]:[Tegevusala koondnimetus]],2,FALSE)</f>
        <v>Üldised valitsussektori teenused</v>
      </c>
      <c r="F68" t="s">
        <v>606</v>
      </c>
      <c r="G68" t="s">
        <v>2019</v>
      </c>
      <c r="H68" s="40">
        <v>30000</v>
      </c>
      <c r="J68">
        <v>1551</v>
      </c>
      <c r="K68" s="3" t="str">
        <f>VLOOKUP(Table2[[#This Row],[Konto]],Table5[[Konto]:[Konto nimetus]],2,FALSE)</f>
        <v>Rajatiste ja hoonete soetamine ja renoveerimine</v>
      </c>
      <c r="L68">
        <v>15</v>
      </c>
      <c r="M68" t="str">
        <f t="shared" si="3"/>
        <v>15</v>
      </c>
      <c r="N68" s="3" t="str">
        <f>VLOOKUP(Table2[[#This Row],[Tulu/kulu liik2]],Table5[[Tulu/kulu liik]:[Kontode koondnimetus]],4,FALSE)</f>
        <v>Põhivara soetus (-)</v>
      </c>
      <c r="O68" s="34" t="str">
        <f>VLOOKUP(Table2[[#This Row],[Tulu/kulu liik2]],Table5[],6,FALSE)</f>
        <v>Põhivara soetus (-)</v>
      </c>
      <c r="P68" s="3" t="str">
        <f>VLOOKUP(Table2[[#This Row],[Tulu/kulu liik2]],Table5[],5,FALSE)</f>
        <v>Investeerimistegevus</v>
      </c>
    </row>
    <row r="69" spans="1:16" hidden="1" x14ac:dyDescent="0.25">
      <c r="A69" s="33" t="str">
        <f t="shared" si="2"/>
        <v>01</v>
      </c>
      <c r="B69" s="33" t="s">
        <v>15</v>
      </c>
      <c r="C69" s="34" t="str">
        <f>VLOOKUP(Table2[[#This Row],[Tegevusala]],Table4[],2,FALSE)</f>
        <v xml:space="preserve"> Valla- ja linnavalitsus</v>
      </c>
      <c r="D69" s="34" t="str">
        <f>VLOOKUP(Table2[[#This Row],[Tegevusala]],Table4[[Tegevusala kood]:[Tegevusala alanimetus]],4,FALSE)</f>
        <v>Valla- ja linnavalitsus</v>
      </c>
      <c r="E69" s="34" t="str">
        <f>VLOOKUP(Table2[[#This Row],[Tegevusala nimetus2]],Table4[[Tegevusala nimetus]:[Tegevusala koondnimetus]],2,FALSE)</f>
        <v>Üldised valitsussektori teenused</v>
      </c>
      <c r="F69" s="33" t="s">
        <v>630</v>
      </c>
      <c r="G69" s="33" t="s">
        <v>2020</v>
      </c>
      <c r="H69" s="47">
        <v>54000</v>
      </c>
      <c r="I69" s="35"/>
      <c r="J69" s="33">
        <v>5502</v>
      </c>
      <c r="K69" s="34" t="str">
        <f>VLOOKUP(Table2[[#This Row],[Konto]],Table5[[Konto]:[Konto nimetus]],2,FALSE)</f>
        <v>Uurimis- ja arendustööd</v>
      </c>
      <c r="L69" s="33">
        <v>55</v>
      </c>
      <c r="M69" s="33" t="str">
        <f t="shared" si="3"/>
        <v>55</v>
      </c>
      <c r="N69" s="34" t="str">
        <f>VLOOKUP(Table2[[#This Row],[Tulu/kulu liik2]],Table5[[Tulu/kulu liik]:[Kontode koondnimetus]],4,FALSE)</f>
        <v>Muud tegevuskulud</v>
      </c>
      <c r="O69" s="34" t="str">
        <f>VLOOKUP(Table2[[#This Row],[Tulu/kulu liik2]],Table5[],6,FALSE)</f>
        <v>Majandamiskulud</v>
      </c>
      <c r="P69" s="34" t="str">
        <f>VLOOKUP(Table2[[#This Row],[Tulu/kulu liik2]],Table5[],5,FALSE)</f>
        <v>Põhitegevuse kulu</v>
      </c>
    </row>
    <row r="70" spans="1:16" hidden="1" x14ac:dyDescent="0.25">
      <c r="A70" s="8" t="str">
        <f t="shared" si="2"/>
        <v>01</v>
      </c>
      <c r="B70" s="8" t="s">
        <v>15</v>
      </c>
      <c r="C70" s="32" t="str">
        <f>VLOOKUP(Table2[[#This Row],[Tegevusala]],Table4[],2,FALSE)</f>
        <v xml:space="preserve"> Valla- ja linnavalitsus</v>
      </c>
      <c r="D70" s="32" t="str">
        <f>VLOOKUP(Table2[[#This Row],[Tegevusala]],Table4[[Tegevusala kood]:[Tegevusala alanimetus]],4,FALSE)</f>
        <v>Valla- ja linnavalitsus</v>
      </c>
      <c r="E70" s="32" t="str">
        <f>VLOOKUP(Table2[[#This Row],[Tegevusala nimetus2]],Table4[[Tegevusala nimetus]:[Tegevusala koondnimetus]],2,FALSE)</f>
        <v>Üldised valitsussektori teenused</v>
      </c>
      <c r="F70" s="8" t="s">
        <v>606</v>
      </c>
      <c r="G70" s="8" t="s">
        <v>81</v>
      </c>
      <c r="H70" s="43">
        <v>-1302903</v>
      </c>
      <c r="I70" s="9"/>
      <c r="J70" s="8">
        <v>35200</v>
      </c>
      <c r="K70" s="32" t="str">
        <f>VLOOKUP(Table2[[#This Row],[Konto]],Table5[[Konto]:[Konto nimetus]],2,FALSE)</f>
        <v>Tasandusfond</v>
      </c>
      <c r="L70" s="8">
        <v>35200</v>
      </c>
      <c r="M70" s="8" t="str">
        <f t="shared" si="3"/>
        <v>35</v>
      </c>
      <c r="N70" s="32" t="str">
        <f>VLOOKUP(Table2[[#This Row],[Tulu/kulu liik2]],Table5[[Tulu/kulu liik]:[Kontode koondnimetus]],4,FALSE)</f>
        <v>Saadavad toetused tegevuskuludeks</v>
      </c>
      <c r="O70" s="32" t="str">
        <f>VLOOKUP(Table2[[#This Row],[Tulu/kulu liik2]],Table5[],6,FALSE)</f>
        <v>Tasandusfond</v>
      </c>
      <c r="P70" s="32" t="str">
        <f>VLOOKUP(Table2[[#This Row],[Tulu/kulu liik2]],Table5[],5,FALSE)</f>
        <v>Põhitegevuse tulu</v>
      </c>
    </row>
    <row r="71" spans="1:16" hidden="1" x14ac:dyDescent="0.25">
      <c r="A71" s="8" t="str">
        <f t="shared" si="2"/>
        <v>09</v>
      </c>
      <c r="B71" t="s">
        <v>343</v>
      </c>
      <c r="C71" s="32" t="str">
        <f>VLOOKUP(Table2[[#This Row],[Tegevusala]],Table4[],2,FALSE)</f>
        <v xml:space="preserve"> Haldus</v>
      </c>
      <c r="D71" s="32" t="str">
        <f>VLOOKUP(Table2[[#This Row],[Tegevusala]],Table4[[Tegevusala kood]:[Tegevusala alanimetus]],4,FALSE)</f>
        <v>Muu haridus, sh hariduse haldus</v>
      </c>
      <c r="E71" s="32" t="str">
        <f>VLOOKUP(Table2[[#This Row],[Tegevusala nimetus2]],Table4[[Tegevusala nimetus]:[Tegevusala koondnimetus]],2,FALSE)</f>
        <v>Haridus</v>
      </c>
      <c r="F71" s="8" t="s">
        <v>1527</v>
      </c>
      <c r="G71" s="8" t="s">
        <v>2085</v>
      </c>
      <c r="H71" s="43">
        <v>-1862253</v>
      </c>
      <c r="I71" s="9"/>
      <c r="J71" s="8">
        <v>35201</v>
      </c>
      <c r="K71" s="32" t="str">
        <f>VLOOKUP(Table2[[#This Row],[Konto]],Table5[[Konto]:[Konto nimetus]],2,FALSE)</f>
        <v>Toetusfond</v>
      </c>
      <c r="L71" s="8">
        <v>35201</v>
      </c>
      <c r="M71" s="8" t="str">
        <f t="shared" si="3"/>
        <v>35</v>
      </c>
      <c r="N71" s="32" t="str">
        <f>VLOOKUP(Table2[[#This Row],[Tulu/kulu liik2]],Table5[[Tulu/kulu liik]:[Kontode koondnimetus]],4,FALSE)</f>
        <v>Saadavad toetused tegevuskuludeks</v>
      </c>
      <c r="O71" s="32" t="str">
        <f>VLOOKUP(Table2[[#This Row],[Tulu/kulu liik2]],Table5[],6,FALSE)</f>
        <v>Toetusfond</v>
      </c>
      <c r="P71" s="32" t="str">
        <f>VLOOKUP(Table2[[#This Row],[Tulu/kulu liik2]],Table5[],5,FALSE)</f>
        <v>Põhitegevuse tulu</v>
      </c>
    </row>
    <row r="72" spans="1:16" hidden="1" x14ac:dyDescent="0.25">
      <c r="A72" t="str">
        <f t="shared" si="2"/>
        <v>01</v>
      </c>
      <c r="B72" t="s">
        <v>15</v>
      </c>
      <c r="C72" s="3" t="str">
        <f>VLOOKUP(Table2[[#This Row],[Tegevusala]],Table4[],2,FALSE)</f>
        <v xml:space="preserve"> Valla- ja linnavalitsus</v>
      </c>
      <c r="D72" s="3" t="str">
        <f>VLOOKUP(Table2[[#This Row],[Tegevusala]],Table4[[Tegevusala kood]:[Tegevusala alanimetus]],4,FALSE)</f>
        <v>Valla- ja linnavalitsus</v>
      </c>
      <c r="E72" s="3" t="str">
        <f>VLOOKUP(Table2[[#This Row],[Tegevusala nimetus2]],Table4[[Tegevusala nimetus]:[Tegevusala koondnimetus]],2,FALSE)</f>
        <v>Üldised valitsussektori teenused</v>
      </c>
      <c r="F72" t="s">
        <v>1949</v>
      </c>
      <c r="G72" t="s">
        <v>2133</v>
      </c>
      <c r="H72" s="40">
        <v>1500</v>
      </c>
      <c r="J72">
        <v>5532</v>
      </c>
      <c r="K72" s="3" t="str">
        <f>VLOOKUP(Table2[[#This Row],[Konto]],Table5[[Konto]:[Konto nimetus]],2,FALSE)</f>
        <v>Eri- ja vormiriietus</v>
      </c>
      <c r="L72">
        <v>55</v>
      </c>
      <c r="M72" t="str">
        <f t="shared" si="3"/>
        <v>55</v>
      </c>
      <c r="N72" s="3" t="str">
        <f>VLOOKUP(Table2[[#This Row],[Tulu/kulu liik2]],Table5[[Tulu/kulu liik]:[Kontode koondnimetus]],4,FALSE)</f>
        <v>Muud tegevuskulud</v>
      </c>
      <c r="O72" s="34" t="str">
        <f>VLOOKUP(Table2[[#This Row],[Tulu/kulu liik2]],Table5[],6,FALSE)</f>
        <v>Majandamiskulud</v>
      </c>
      <c r="P72" s="3" t="str">
        <f>VLOOKUP(Table2[[#This Row],[Tulu/kulu liik2]],Table5[],5,FALSE)</f>
        <v>Põhitegevuse kulu</v>
      </c>
    </row>
    <row r="73" spans="1:16" hidden="1" x14ac:dyDescent="0.25">
      <c r="A73" t="str">
        <f t="shared" si="2"/>
        <v>01</v>
      </c>
      <c r="B73" t="s">
        <v>15</v>
      </c>
      <c r="C73" s="3" t="str">
        <f>VLOOKUP(Table2[[#This Row],[Tegevusala]],Table4[],2,FALSE)</f>
        <v xml:space="preserve"> Valla- ja linnavalitsus</v>
      </c>
      <c r="D73" s="3" t="str">
        <f>VLOOKUP(Table2[[#This Row],[Tegevusala]],Table4[[Tegevusala kood]:[Tegevusala alanimetus]],4,FALSE)</f>
        <v>Valla- ja linnavalitsus</v>
      </c>
      <c r="E73" s="3" t="str">
        <f>VLOOKUP(Table2[[#This Row],[Tegevusala nimetus2]],Table4[[Tegevusala nimetus]:[Tegevusala koondnimetus]],2,FALSE)</f>
        <v>Üldised valitsussektori teenused</v>
      </c>
      <c r="F73" t="s">
        <v>473</v>
      </c>
      <c r="G73" t="s">
        <v>2149</v>
      </c>
      <c r="H73" s="40">
        <v>4188</v>
      </c>
      <c r="J73">
        <v>5514</v>
      </c>
      <c r="K73" s="3" t="str">
        <f>VLOOKUP(Table2[[#This Row],[Konto]],Table5[[Konto]:[Konto nimetus]],2,FALSE)</f>
        <v>Info- ja kommunikatsioonitehnoliigised kulud</v>
      </c>
      <c r="L73">
        <v>55</v>
      </c>
      <c r="M73" t="str">
        <f t="shared" si="3"/>
        <v>55</v>
      </c>
      <c r="N73" s="3" t="str">
        <f>VLOOKUP(Table2[[#This Row],[Tulu/kulu liik2]],Table5[[Tulu/kulu liik]:[Kontode koondnimetus]],4,FALSE)</f>
        <v>Muud tegevuskulud</v>
      </c>
      <c r="O73" s="34" t="str">
        <f>VLOOKUP(Table2[[#This Row],[Tulu/kulu liik2]],Table5[],6,FALSE)</f>
        <v>Majandamiskulud</v>
      </c>
      <c r="P73" s="3" t="str">
        <f>VLOOKUP(Table2[[#This Row],[Tulu/kulu liik2]],Table5[],5,FALSE)</f>
        <v>Põhitegevuse kulu</v>
      </c>
    </row>
    <row r="74" spans="1:16" hidden="1" x14ac:dyDescent="0.25">
      <c r="A74" t="str">
        <f t="shared" si="2"/>
        <v>01</v>
      </c>
      <c r="B74" t="s">
        <v>15</v>
      </c>
      <c r="C74" s="3" t="str">
        <f>VLOOKUP(Table2[[#This Row],[Tegevusala]],Table4[],2,FALSE)</f>
        <v xml:space="preserve"> Valla- ja linnavalitsus</v>
      </c>
      <c r="D74" s="3" t="str">
        <f>VLOOKUP(Table2[[#This Row],[Tegevusala]],Table4[[Tegevusala kood]:[Tegevusala alanimetus]],4,FALSE)</f>
        <v>Valla- ja linnavalitsus</v>
      </c>
      <c r="E74" s="3" t="str">
        <f>VLOOKUP(Table2[[#This Row],[Tegevusala nimetus2]],Table4[[Tegevusala nimetus]:[Tegevusala koondnimetus]],2,FALSE)</f>
        <v>Üldised valitsussektori teenused</v>
      </c>
      <c r="F74" t="s">
        <v>473</v>
      </c>
      <c r="G74" t="s">
        <v>2150</v>
      </c>
      <c r="H74" s="40">
        <f>12*311</f>
        <v>3732</v>
      </c>
      <c r="J74">
        <v>5514</v>
      </c>
      <c r="K74" s="3" t="str">
        <f>VLOOKUP(Table2[[#This Row],[Konto]],Table5[[Konto]:[Konto nimetus]],2,FALSE)</f>
        <v>Info- ja kommunikatsioonitehnoliigised kulud</v>
      </c>
      <c r="L74">
        <v>55</v>
      </c>
      <c r="M74" t="str">
        <f t="shared" si="3"/>
        <v>55</v>
      </c>
      <c r="N74" s="3" t="str">
        <f>VLOOKUP(Table2[[#This Row],[Tulu/kulu liik2]],Table5[[Tulu/kulu liik]:[Kontode koondnimetus]],4,FALSE)</f>
        <v>Muud tegevuskulud</v>
      </c>
      <c r="O74" s="34" t="str">
        <f>VLOOKUP(Table2[[#This Row],[Tulu/kulu liik2]],Table5[],6,FALSE)</f>
        <v>Majandamiskulud</v>
      </c>
      <c r="P74" s="3" t="str">
        <f>VLOOKUP(Table2[[#This Row],[Tulu/kulu liik2]],Table5[],5,FALSE)</f>
        <v>Põhitegevuse kulu</v>
      </c>
    </row>
    <row r="75" spans="1:16" hidden="1" x14ac:dyDescent="0.25">
      <c r="A75" s="86" t="str">
        <f t="shared" si="2"/>
        <v>01</v>
      </c>
      <c r="B75" s="86" t="s">
        <v>15</v>
      </c>
      <c r="C75" s="87" t="str">
        <f>VLOOKUP(Table2[[#This Row],[Tegevusala]],Table4[],2,FALSE)</f>
        <v xml:space="preserve"> Valla- ja linnavalitsus</v>
      </c>
      <c r="D75" s="87" t="str">
        <f>VLOOKUP(Table2[[#This Row],[Tegevusala]],Table4[[Tegevusala kood]:[Tegevusala alanimetus]],4,FALSE)</f>
        <v>Valla- ja linnavalitsus</v>
      </c>
      <c r="E75" s="87" t="str">
        <f>VLOOKUP(Table2[[#This Row],[Tegevusala nimetus2]],Table4[[Tegevusala nimetus]:[Tegevusala koondnimetus]],2,FALSE)</f>
        <v>Üldised valitsussektori teenused</v>
      </c>
      <c r="F75" s="86" t="s">
        <v>799</v>
      </c>
      <c r="G75" s="86" t="s">
        <v>2153</v>
      </c>
      <c r="H75" s="88">
        <v>35000</v>
      </c>
      <c r="I75" s="89" t="s">
        <v>2154</v>
      </c>
      <c r="J75" s="86">
        <v>5540</v>
      </c>
      <c r="K75" s="87" t="str">
        <f>VLOOKUP(Table2[[#This Row],[Konto]],Table5[[Konto]:[Konto nimetus]],2,FALSE)</f>
        <v>Mitmesugused majanduskulud</v>
      </c>
      <c r="L75" s="86">
        <v>55</v>
      </c>
      <c r="M75" s="86" t="str">
        <f t="shared" si="3"/>
        <v>55</v>
      </c>
      <c r="N75" s="87" t="str">
        <f>VLOOKUP(Table2[[#This Row],[Tulu/kulu liik2]],Table5[[Tulu/kulu liik]:[Kontode koondnimetus]],4,FALSE)</f>
        <v>Muud tegevuskulud</v>
      </c>
      <c r="O75" s="87" t="str">
        <f>VLOOKUP(Table2[[#This Row],[Tulu/kulu liik2]],Table5[],6,FALSE)</f>
        <v>Majandamiskulud</v>
      </c>
      <c r="P75" s="87" t="str">
        <f>VLOOKUP(Table2[[#This Row],[Tulu/kulu liik2]],Table5[],5,FALSE)</f>
        <v>Põhitegevuse kulu</v>
      </c>
    </row>
    <row r="76" spans="1:16" hidden="1" x14ac:dyDescent="0.25">
      <c r="A76" s="8" t="str">
        <f t="shared" si="2"/>
        <v>01</v>
      </c>
      <c r="B76" s="8" t="s">
        <v>17</v>
      </c>
      <c r="C76" s="32" t="str">
        <f>VLOOKUP(Table2[[#This Row],[Tegevusala]],Table4[],2,FALSE)</f>
        <v xml:space="preserve"> Kohaliku omavalitsuse üksuse reservfond</v>
      </c>
      <c r="D76" s="32" t="str">
        <f>VLOOKUP(Table2[[#This Row],[Tegevusala]],Table4[[Tegevusala kood]:[Tegevusala alanimetus]],4,FALSE)</f>
        <v>Kohaliku omavalitsuse üksuse reservfond</v>
      </c>
      <c r="E76" s="32" t="str">
        <f>VLOOKUP(Table2[[#This Row],[Tegevusala nimetus2]],Table4[[Tegevusala nimetus]:[Tegevusala koondnimetus]],2,FALSE)</f>
        <v>Üldised valitsussektori teenused</v>
      </c>
      <c r="F76" s="8" t="s">
        <v>606</v>
      </c>
      <c r="G76" s="8" t="s">
        <v>543</v>
      </c>
      <c r="H76" s="43">
        <f>EA_aruanne!E18*0.005</f>
        <v>59235.382709999998</v>
      </c>
      <c r="I76" s="9" t="s">
        <v>820</v>
      </c>
      <c r="J76" s="8">
        <v>608</v>
      </c>
      <c r="K76" s="32" t="str">
        <f>VLOOKUP(Table2[[#This Row],[Konto]],Table5[[Konto]:[Konto nimetus]],2,FALSE)</f>
        <v>Muud tegevuskulud</v>
      </c>
      <c r="L76" s="8">
        <v>60</v>
      </c>
      <c r="M76" s="8" t="str">
        <f t="shared" si="3"/>
        <v>60</v>
      </c>
      <c r="N76" s="32" t="str">
        <f>VLOOKUP(Table2[[#This Row],[Tulu/kulu liik2]],Table5[[Tulu/kulu liik]:[Kontode koondnimetus]],4,FALSE)</f>
        <v>Muud tegevuskulud</v>
      </c>
      <c r="O76" s="32" t="str">
        <f>VLOOKUP(Table2[[#This Row],[Tulu/kulu liik2]],Table5[],6,FALSE)</f>
        <v>Muud kulud</v>
      </c>
      <c r="P76" s="32" t="str">
        <f>VLOOKUP(Table2[[#This Row],[Tulu/kulu liik2]],Table5[],5,FALSE)</f>
        <v>Põhitegevuse kulu</v>
      </c>
    </row>
    <row r="77" spans="1:16" hidden="1" x14ac:dyDescent="0.25">
      <c r="A77" t="str">
        <f t="shared" si="2"/>
        <v>01</v>
      </c>
      <c r="B77" t="s">
        <v>17</v>
      </c>
      <c r="C77" s="3" t="str">
        <f>VLOOKUP(Table2[[#This Row],[Tegevusala]],Table4[],2,FALSE)</f>
        <v xml:space="preserve"> Kohaliku omavalitsuse üksuse reservfond</v>
      </c>
      <c r="D77" s="3" t="str">
        <f>VLOOKUP(Table2[[#This Row],[Tegevusala]],Table4[[Tegevusala kood]:[Tegevusala alanimetus]],4,FALSE)</f>
        <v>Kohaliku omavalitsuse üksuse reservfond</v>
      </c>
      <c r="E77" s="3" t="str">
        <f>VLOOKUP(Table2[[#This Row],[Tegevusala nimetus2]],Table4[[Tegevusala nimetus]:[Tegevusala koondnimetus]],2,FALSE)</f>
        <v>Üldised valitsussektori teenused</v>
      </c>
      <c r="F77" t="s">
        <v>799</v>
      </c>
      <c r="G77" t="s">
        <v>1925</v>
      </c>
      <c r="H77" s="40">
        <v>25000</v>
      </c>
      <c r="J77">
        <v>1551</v>
      </c>
      <c r="K77" s="3" t="str">
        <f>VLOOKUP(Table2[[#This Row],[Konto]],Table5[[Konto]:[Konto nimetus]],2,FALSE)</f>
        <v>Rajatiste ja hoonete soetamine ja renoveerimine</v>
      </c>
      <c r="L77">
        <v>15</v>
      </c>
      <c r="M77" t="str">
        <f t="shared" si="3"/>
        <v>15</v>
      </c>
      <c r="N77" s="3" t="str">
        <f>VLOOKUP(Table2[[#This Row],[Tulu/kulu liik2]],Table5[[Tulu/kulu liik]:[Kontode koondnimetus]],4,FALSE)</f>
        <v>Põhivara soetus (-)</v>
      </c>
      <c r="O77" s="3" t="str">
        <f>VLOOKUP(Table2[[#This Row],[Tulu/kulu liik2]],Table5[],6,FALSE)</f>
        <v>Põhivara soetus (-)</v>
      </c>
      <c r="P77" s="3" t="str">
        <f>VLOOKUP(Table2[[#This Row],[Tulu/kulu liik2]],Table5[],5,FALSE)</f>
        <v>Investeerimistegevus</v>
      </c>
    </row>
    <row r="78" spans="1:16" hidden="1" x14ac:dyDescent="0.25">
      <c r="A78" t="str">
        <f t="shared" si="2"/>
        <v>01</v>
      </c>
      <c r="B78" t="s">
        <v>21</v>
      </c>
      <c r="C78" s="3" t="str">
        <f>VLOOKUP(Table2[[#This Row],[Tegevusala]],Table4[],2,FALSE)</f>
        <v xml:space="preserve"> Valitsussektori võla teenindamine</v>
      </c>
      <c r="D78" s="3" t="str">
        <f>VLOOKUP(Table2[[#This Row],[Tegevusala]],Table4[[Tegevusala kood]:[Tegevusala alanimetus]],4,FALSE)</f>
        <v>Valitsussektori võla teenindamine</v>
      </c>
      <c r="E78" s="3" t="str">
        <f>VLOOKUP(Table2[[#This Row],[Tegevusala nimetus2]],Table4[[Tegevusala nimetus]:[Tegevusala koondnimetus]],2,FALSE)</f>
        <v>Üldised valitsussektori teenused</v>
      </c>
      <c r="F78" t="s">
        <v>606</v>
      </c>
      <c r="G78" t="s">
        <v>627</v>
      </c>
      <c r="H78" s="40">
        <v>516524.05</v>
      </c>
      <c r="J78">
        <v>208168</v>
      </c>
      <c r="K78" s="3" t="str">
        <f>VLOOKUP(Table2[[#This Row],[Konto]],Table5[[Konto]:[Konto nimetus]],2,FALSE)</f>
        <v>Laenude tasumine</v>
      </c>
      <c r="L78">
        <v>2586</v>
      </c>
      <c r="M78" t="str">
        <f t="shared" si="3"/>
        <v>20</v>
      </c>
      <c r="N78" s="3" t="str">
        <f>VLOOKUP(Table2[[#This Row],[Tulu/kulu liik2]],Table5[[Tulu/kulu liik]:[Kontode koondnimetus]],4,FALSE)</f>
        <v>Kohustuste tasumine (-)</v>
      </c>
      <c r="O78" s="3" t="str">
        <f>VLOOKUP(Table2[[#This Row],[Tulu/kulu liik2]],Table5[],6,FALSE)</f>
        <v>Kohustuste tasumine (-)</v>
      </c>
      <c r="P78" s="3" t="str">
        <f>VLOOKUP(Table2[[#This Row],[Tulu/kulu liik2]],Table5[],5,FALSE)</f>
        <v>Finantseerimistegevus</v>
      </c>
    </row>
    <row r="79" spans="1:16" hidden="1" x14ac:dyDescent="0.25">
      <c r="A79" t="str">
        <f t="shared" si="2"/>
        <v>01</v>
      </c>
      <c r="B79" t="s">
        <v>21</v>
      </c>
      <c r="C79" s="3" t="str">
        <f>VLOOKUP(Table2[[#This Row],[Tegevusala]],Table4[],2,FALSE)</f>
        <v xml:space="preserve"> Valitsussektori võla teenindamine</v>
      </c>
      <c r="D79" s="3" t="str">
        <f>VLOOKUP(Table2[[#This Row],[Tegevusala]],Table4[[Tegevusala kood]:[Tegevusala alanimetus]],4,FALSE)</f>
        <v>Valitsussektori võla teenindamine</v>
      </c>
      <c r="E79" s="3" t="str">
        <f>VLOOKUP(Table2[[#This Row],[Tegevusala nimetus2]],Table4[[Tegevusala nimetus]:[Tegevusala koondnimetus]],2,FALSE)</f>
        <v>Üldised valitsussektori teenused</v>
      </c>
      <c r="F79" t="s">
        <v>606</v>
      </c>
      <c r="G79" t="s">
        <v>628</v>
      </c>
      <c r="H79" s="40">
        <v>27847.13</v>
      </c>
      <c r="J79">
        <v>6501</v>
      </c>
      <c r="K79" s="3" t="str">
        <f>VLOOKUP(Table2[[#This Row],[Konto]],Table5[[Konto]:[Konto nimetus]],2,FALSE)</f>
        <v>Intressi-, viivise- ja kohustistasukulud võetud laenudelt</v>
      </c>
      <c r="L79">
        <v>650</v>
      </c>
      <c r="M79" t="str">
        <f t="shared" si="3"/>
        <v>65</v>
      </c>
      <c r="N79" s="3" t="str">
        <f>VLOOKUP(Table2[[#This Row],[Tulu/kulu liik2]],Table5[[Tulu/kulu liik]:[Kontode koondnimetus]],4,FALSE)</f>
        <v>Finantskulud (-)</v>
      </c>
      <c r="O79" s="3" t="str">
        <f>VLOOKUP(Table2[[#This Row],[Tulu/kulu liik2]],Table5[],6,FALSE)</f>
        <v>Finantskulud (-)</v>
      </c>
      <c r="P79" s="3" t="str">
        <f>VLOOKUP(Table2[[#This Row],[Tulu/kulu liik2]],Table5[],5,FALSE)</f>
        <v>Investeerimistegevus</v>
      </c>
    </row>
    <row r="80" spans="1:16" hidden="1" x14ac:dyDescent="0.25">
      <c r="A80" t="str">
        <f t="shared" si="2"/>
        <v>01</v>
      </c>
      <c r="B80" t="s">
        <v>21</v>
      </c>
      <c r="C80" s="3" t="str">
        <f>VLOOKUP(Table2[[#This Row],[Tegevusala]],Table4[],2,FALSE)</f>
        <v xml:space="preserve"> Valitsussektori võla teenindamine</v>
      </c>
      <c r="D80" s="3" t="str">
        <f>VLOOKUP(Table2[[#This Row],[Tegevusala]],Table4[[Tegevusala kood]:[Tegevusala alanimetus]],4,FALSE)</f>
        <v>Valitsussektori võla teenindamine</v>
      </c>
      <c r="E80" s="3" t="str">
        <f>VLOOKUP(Table2[[#This Row],[Tegevusala nimetus2]],Table4[[Tegevusala nimetus]:[Tegevusala koondnimetus]],2,FALSE)</f>
        <v>Üldised valitsussektori teenused</v>
      </c>
      <c r="F80" t="s">
        <v>473</v>
      </c>
      <c r="G80" t="s">
        <v>1988</v>
      </c>
      <c r="H80" s="40">
        <v>-130</v>
      </c>
      <c r="J80">
        <v>655</v>
      </c>
      <c r="K80" s="3" t="str">
        <f>VLOOKUP(Table2[[#This Row],[Konto]],Table5[[Konto]:[Konto nimetus]],2,FALSE)</f>
        <v>Intressitulud</v>
      </c>
      <c r="L80">
        <v>655</v>
      </c>
      <c r="M80" t="str">
        <f t="shared" si="3"/>
        <v>65</v>
      </c>
      <c r="N80" s="3" t="str">
        <f>VLOOKUP(Table2[[#This Row],[Tulu/kulu liik2]],Table5[[Tulu/kulu liik]:[Kontode koondnimetus]],4,FALSE)</f>
        <v>Finantstulud (+)</v>
      </c>
      <c r="O80" s="34" t="str">
        <f>VLOOKUP(Table2[[#This Row],[Tulu/kulu liik2]],Table5[],6,FALSE)</f>
        <v>Finantstulud (+)</v>
      </c>
      <c r="P80" s="3" t="str">
        <f>VLOOKUP(Table2[[#This Row],[Tulu/kulu liik2]],Table5[],5,FALSE)</f>
        <v>Investeerimistegevus</v>
      </c>
    </row>
    <row r="81" spans="1:16" hidden="1" x14ac:dyDescent="0.25">
      <c r="A81" t="str">
        <f t="shared" si="2"/>
        <v>01</v>
      </c>
      <c r="B81" t="s">
        <v>21</v>
      </c>
      <c r="C81" s="3" t="str">
        <f>VLOOKUP(Table2[[#This Row],[Tegevusala]],Table4[],2,FALSE)</f>
        <v xml:space="preserve"> Valitsussektori võla teenindamine</v>
      </c>
      <c r="D81" s="3" t="str">
        <f>VLOOKUP(Table2[[#This Row],[Tegevusala]],Table4[[Tegevusala kood]:[Tegevusala alanimetus]],4,FALSE)</f>
        <v>Valitsussektori võla teenindamine</v>
      </c>
      <c r="E81" s="3" t="str">
        <f>VLOOKUP(Table2[[#This Row],[Tegevusala nimetus2]],Table4[[Tegevusala nimetus]:[Tegevusala koondnimetus]],2,FALSE)</f>
        <v>Üldised valitsussektori teenused</v>
      </c>
      <c r="F81" t="s">
        <v>606</v>
      </c>
      <c r="G81" t="s">
        <v>2003</v>
      </c>
      <c r="H81" s="40">
        <v>-2085000</v>
      </c>
      <c r="J81">
        <v>25852</v>
      </c>
      <c r="K81" s="3" t="str">
        <f>VLOOKUP(Table2[[#This Row],[Konto]],Table5[[Konto]:[Konto nimetus]],2,FALSE)</f>
        <v>Laenude võtmine muudelt residentidelt</v>
      </c>
      <c r="L81">
        <v>2585</v>
      </c>
      <c r="M81" t="str">
        <f t="shared" si="3"/>
        <v>25</v>
      </c>
      <c r="N81" s="3" t="str">
        <f>VLOOKUP(Table2[[#This Row],[Tulu/kulu liik2]],Table5[[Tulu/kulu liik]:[Kontode koondnimetus]],4,FALSE)</f>
        <v>Kohustuste võtmine (+)</v>
      </c>
      <c r="O81" s="34" t="str">
        <f>VLOOKUP(Table2[[#This Row],[Tulu/kulu liik2]],Table5[],6,FALSE)</f>
        <v>Kohustuste võtmine (+)</v>
      </c>
      <c r="P81" s="3" t="str">
        <f>VLOOKUP(Table2[[#This Row],[Tulu/kulu liik2]],Table5[],5,FALSE)</f>
        <v>Finantseerimistegevus</v>
      </c>
    </row>
    <row r="82" spans="1:16" hidden="1" x14ac:dyDescent="0.25">
      <c r="A82" t="str">
        <f t="shared" si="2"/>
        <v>01</v>
      </c>
      <c r="B82" t="s">
        <v>21</v>
      </c>
      <c r="C82" s="3" t="str">
        <f>VLOOKUP(Table2[[#This Row],[Tegevusala]],Table4[],2,FALSE)</f>
        <v xml:space="preserve"> Valitsussektori võla teenindamine</v>
      </c>
      <c r="D82" s="3" t="str">
        <f>VLOOKUP(Table2[[#This Row],[Tegevusala]],Table4[[Tegevusala kood]:[Tegevusala alanimetus]],4,FALSE)</f>
        <v>Valitsussektori võla teenindamine</v>
      </c>
      <c r="E82" s="3" t="str">
        <f>VLOOKUP(Table2[[#This Row],[Tegevusala nimetus2]],Table4[[Tegevusala nimetus]:[Tegevusala koondnimetus]],2,FALSE)</f>
        <v>Üldised valitsussektori teenused</v>
      </c>
      <c r="F82" t="s">
        <v>606</v>
      </c>
      <c r="G82" t="s">
        <v>2041</v>
      </c>
      <c r="H82" s="40">
        <f>115000+55200</f>
        <v>170200</v>
      </c>
      <c r="J82">
        <v>208168</v>
      </c>
      <c r="K82" s="3" t="str">
        <f>VLOOKUP(Table2[[#This Row],[Konto]],Table5[[Konto]:[Konto nimetus]],2,FALSE)</f>
        <v>Laenude tasumine</v>
      </c>
      <c r="L82">
        <v>2586</v>
      </c>
      <c r="M82" t="str">
        <f t="shared" si="3"/>
        <v>20</v>
      </c>
      <c r="N82" s="3" t="str">
        <f>VLOOKUP(Table2[[#This Row],[Tulu/kulu liik2]],Table5[[Tulu/kulu liik]:[Kontode koondnimetus]],4,FALSE)</f>
        <v>Kohustuste tasumine (-)</v>
      </c>
      <c r="O82" s="34" t="str">
        <f>VLOOKUP(Table2[[#This Row],[Tulu/kulu liik2]],Table5[],6,FALSE)</f>
        <v>Kohustuste tasumine (-)</v>
      </c>
      <c r="P82" s="3" t="str">
        <f>VLOOKUP(Table2[[#This Row],[Tulu/kulu liik2]],Table5[],5,FALSE)</f>
        <v>Finantseerimistegevus</v>
      </c>
    </row>
    <row r="83" spans="1:16" hidden="1" x14ac:dyDescent="0.25">
      <c r="A83" t="str">
        <f t="shared" si="2"/>
        <v>01</v>
      </c>
      <c r="B83" t="s">
        <v>23</v>
      </c>
      <c r="C83" s="3" t="str">
        <f>VLOOKUP(Table2[[#This Row],[Tegevusala]],Table4[],2,FALSE)</f>
        <v xml:space="preserve"> Üldiseloomuga ülekanded valitsussektoris</v>
      </c>
      <c r="D83" s="3" t="str">
        <f>VLOOKUP(Table2[[#This Row],[Tegevusala]],Table4[[Tegevusala kood]:[Tegevusala alanimetus]],4,FALSE)</f>
        <v>Üldiseloomuga ülekanded valitsussektoris</v>
      </c>
      <c r="E83" s="3" t="str">
        <f>VLOOKUP(Table2[[#This Row],[Tegevusala nimetus2]],Table4[[Tegevusala nimetus]:[Tegevusala koondnimetus]],2,FALSE)</f>
        <v>Üldised valitsussektori teenused</v>
      </c>
      <c r="F83" t="s">
        <v>606</v>
      </c>
      <c r="G83" t="s">
        <v>586</v>
      </c>
      <c r="H83" s="40">
        <v>5828</v>
      </c>
      <c r="J83">
        <v>4528</v>
      </c>
      <c r="K83" s="3" t="str">
        <f>VLOOKUP(Table2[[#This Row],[Konto]],Table5[[Konto]:[Konto nimetus]],2,FALSE)</f>
        <v>Liikmemaksud</v>
      </c>
      <c r="L83">
        <v>452</v>
      </c>
      <c r="M83" t="str">
        <f t="shared" si="3"/>
        <v>45</v>
      </c>
      <c r="N83" t="str">
        <f>VLOOKUP(Table2[[#This Row],[Tulu/kulu liik2]],Table5[[Tulu/kulu liik]:[Kontode koondnimetus]],4,FALSE)</f>
        <v>Antavad toetused tegevuskuludeks</v>
      </c>
      <c r="O83" t="str">
        <f>VLOOKUP(Table2[[#This Row],[Tulu/kulu liik2]],Table5[],6,FALSE)</f>
        <v>Mittesihtotstarbelised toetused</v>
      </c>
      <c r="P83" s="3" t="str">
        <f>VLOOKUP(Table2[[#This Row],[Tulu/kulu liik2]],Table5[],5,FALSE)</f>
        <v>Põhitegevuse kulu</v>
      </c>
    </row>
    <row r="84" spans="1:16" hidden="1" x14ac:dyDescent="0.25">
      <c r="A84" t="str">
        <f t="shared" si="2"/>
        <v>01</v>
      </c>
      <c r="B84" t="s">
        <v>23</v>
      </c>
      <c r="C84" s="3" t="str">
        <f>VLOOKUP(Table2[[#This Row],[Tegevusala]],Table4[],2,FALSE)</f>
        <v xml:space="preserve"> Üldiseloomuga ülekanded valitsussektoris</v>
      </c>
      <c r="D84" s="3" t="str">
        <f>VLOOKUP(Table2[[#This Row],[Tegevusala]],Table4[[Tegevusala kood]:[Tegevusala alanimetus]],4,FALSE)</f>
        <v>Üldiseloomuga ülekanded valitsussektoris</v>
      </c>
      <c r="E84" s="3" t="str">
        <f>VLOOKUP(Table2[[#This Row],[Tegevusala nimetus2]],Table4[[Tegevusala nimetus]:[Tegevusala koondnimetus]],2,FALSE)</f>
        <v>Üldised valitsussektori teenused</v>
      </c>
      <c r="F84" t="s">
        <v>786</v>
      </c>
      <c r="G84" t="s">
        <v>2024</v>
      </c>
      <c r="H84" s="40">
        <v>4474</v>
      </c>
      <c r="J84">
        <v>4528</v>
      </c>
      <c r="K84" s="3" t="str">
        <f>VLOOKUP(Table2[[#This Row],[Konto]],Table5[[Konto]:[Konto nimetus]],2,FALSE)</f>
        <v>Liikmemaksud</v>
      </c>
      <c r="L84">
        <v>452</v>
      </c>
      <c r="M84" t="str">
        <f t="shared" si="3"/>
        <v>45</v>
      </c>
      <c r="N84" s="3" t="str">
        <f>VLOOKUP(Table2[[#This Row],[Tulu/kulu liik2]],Table5[[Tulu/kulu liik]:[Kontode koondnimetus]],4,FALSE)</f>
        <v>Antavad toetused tegevuskuludeks</v>
      </c>
      <c r="O84" s="34" t="str">
        <f>VLOOKUP(Table2[[#This Row],[Tulu/kulu liik2]],Table5[],6,FALSE)</f>
        <v>Mittesihtotstarbelised toetused</v>
      </c>
      <c r="P84" s="3" t="str">
        <f>VLOOKUP(Table2[[#This Row],[Tulu/kulu liik2]],Table5[],5,FALSE)</f>
        <v>Põhitegevuse kulu</v>
      </c>
    </row>
    <row r="85" spans="1:16" hidden="1" x14ac:dyDescent="0.25">
      <c r="A85" s="8" t="str">
        <f t="shared" si="2"/>
        <v>01</v>
      </c>
      <c r="B85" s="8" t="s">
        <v>23</v>
      </c>
      <c r="C85" s="32" t="str">
        <f>VLOOKUP(Table2[[#This Row],[Tegevusala]],Table4[],2,FALSE)</f>
        <v xml:space="preserve"> Üldiseloomuga ülekanded valitsussektoris</v>
      </c>
      <c r="D85" s="32" t="str">
        <f>VLOOKUP(Table2[[#This Row],[Tegevusala]],Table4[[Tegevusala kood]:[Tegevusala alanimetus]],4,FALSE)</f>
        <v>Üldiseloomuga ülekanded valitsussektoris</v>
      </c>
      <c r="E85" s="32" t="str">
        <f>VLOOKUP(Table2[[#This Row],[Tegevusala nimetus2]],Table4[[Tegevusala nimetus]:[Tegevusala koondnimetus]],2,FALSE)</f>
        <v>Üldised valitsussektori teenused</v>
      </c>
      <c r="F85" s="8" t="s">
        <v>606</v>
      </c>
      <c r="G85" s="8" t="s">
        <v>2043</v>
      </c>
      <c r="H85" s="43">
        <v>1500</v>
      </c>
      <c r="I85" s="9"/>
      <c r="J85" s="8">
        <v>4528</v>
      </c>
      <c r="K85" s="32" t="str">
        <f>VLOOKUP(Table2[[#This Row],[Konto]],Table5[[Konto]:[Konto nimetus]],2,FALSE)</f>
        <v>Liikmemaksud</v>
      </c>
      <c r="L85" s="8">
        <v>452</v>
      </c>
      <c r="M85" s="8" t="str">
        <f t="shared" si="3"/>
        <v>45</v>
      </c>
      <c r="N85" s="32" t="str">
        <f>VLOOKUP(Table2[[#This Row],[Tulu/kulu liik2]],Table5[[Tulu/kulu liik]:[Kontode koondnimetus]],4,FALSE)</f>
        <v>Antavad toetused tegevuskuludeks</v>
      </c>
      <c r="O85" s="32" t="str">
        <f>VLOOKUP(Table2[[#This Row],[Tulu/kulu liik2]],Table5[],6,FALSE)</f>
        <v>Mittesihtotstarbelised toetused</v>
      </c>
      <c r="P85" s="32" t="str">
        <f>VLOOKUP(Table2[[#This Row],[Tulu/kulu liik2]],Table5[],5,FALSE)</f>
        <v>Põhitegevuse kulu</v>
      </c>
    </row>
    <row r="86" spans="1:16" hidden="1" x14ac:dyDescent="0.25">
      <c r="A86" s="8" t="str">
        <f t="shared" si="2"/>
        <v>01</v>
      </c>
      <c r="B86" s="8" t="s">
        <v>23</v>
      </c>
      <c r="C86" s="32" t="str">
        <f>VLOOKUP(Table2[[#This Row],[Tegevusala]],Table4[],2,FALSE)</f>
        <v xml:space="preserve"> Üldiseloomuga ülekanded valitsussektoris</v>
      </c>
      <c r="D86" s="32" t="str">
        <f>VLOOKUP(Table2[[#This Row],[Tegevusala]],Table4[[Tegevusala kood]:[Tegevusala alanimetus]],4,FALSE)</f>
        <v>Üldiseloomuga ülekanded valitsussektoris</v>
      </c>
      <c r="E86" s="32" t="str">
        <f>VLOOKUP(Table2[[#This Row],[Tegevusala nimetus2]],Table4[[Tegevusala nimetus]:[Tegevusala koondnimetus]],2,FALSE)</f>
        <v>Üldised valitsussektori teenused</v>
      </c>
      <c r="F86" s="8" t="s">
        <v>606</v>
      </c>
      <c r="G86" s="8" t="s">
        <v>2044</v>
      </c>
      <c r="H86" s="43">
        <v>432</v>
      </c>
      <c r="I86" s="9" t="s">
        <v>2045</v>
      </c>
      <c r="J86" s="8">
        <v>4528</v>
      </c>
      <c r="K86" s="32" t="str">
        <f>VLOOKUP(Table2[[#This Row],[Konto]],Table5[[Konto]:[Konto nimetus]],2,FALSE)</f>
        <v>Liikmemaksud</v>
      </c>
      <c r="L86" s="8">
        <v>452</v>
      </c>
      <c r="M86" s="8" t="str">
        <f t="shared" si="3"/>
        <v>45</v>
      </c>
      <c r="N86" s="32" t="str">
        <f>VLOOKUP(Table2[[#This Row],[Tulu/kulu liik2]],Table5[[Tulu/kulu liik]:[Kontode koondnimetus]],4,FALSE)</f>
        <v>Antavad toetused tegevuskuludeks</v>
      </c>
      <c r="O86" s="32" t="str">
        <f>VLOOKUP(Table2[[#This Row],[Tulu/kulu liik2]],Table5[],6,FALSE)</f>
        <v>Mittesihtotstarbelised toetused</v>
      </c>
      <c r="P86" s="32" t="str">
        <f>VLOOKUP(Table2[[#This Row],[Tulu/kulu liik2]],Table5[],5,FALSE)</f>
        <v>Põhitegevuse kulu</v>
      </c>
    </row>
    <row r="87" spans="1:16" hidden="1" x14ac:dyDescent="0.25">
      <c r="A87" s="8" t="str">
        <f t="shared" si="2"/>
        <v>01</v>
      </c>
      <c r="B87" s="8" t="s">
        <v>23</v>
      </c>
      <c r="C87" s="32" t="str">
        <f>VLOOKUP(Table2[[#This Row],[Tegevusala]],Table4[],2,FALSE)</f>
        <v xml:space="preserve"> Üldiseloomuga ülekanded valitsussektoris</v>
      </c>
      <c r="D87" s="32" t="str">
        <f>VLOOKUP(Table2[[#This Row],[Tegevusala]],Table4[[Tegevusala kood]:[Tegevusala alanimetus]],4,FALSE)</f>
        <v>Üldiseloomuga ülekanded valitsussektoris</v>
      </c>
      <c r="E87" s="32" t="str">
        <f>VLOOKUP(Table2[[#This Row],[Tegevusala nimetus2]],Table4[[Tegevusala nimetus]:[Tegevusala koondnimetus]],2,FALSE)</f>
        <v>Üldised valitsussektori teenused</v>
      </c>
      <c r="F87" s="8" t="s">
        <v>606</v>
      </c>
      <c r="G87" s="8" t="s">
        <v>2046</v>
      </c>
      <c r="H87" s="43">
        <f>8264/4</f>
        <v>2066</v>
      </c>
      <c r="I87" s="9" t="s">
        <v>2047</v>
      </c>
      <c r="J87" s="8">
        <v>4528</v>
      </c>
      <c r="K87" s="32" t="str">
        <f>VLOOKUP(Table2[[#This Row],[Konto]],Table5[[Konto]:[Konto nimetus]],2,FALSE)</f>
        <v>Liikmemaksud</v>
      </c>
      <c r="L87" s="8">
        <v>452</v>
      </c>
      <c r="M87" s="8" t="str">
        <f t="shared" si="3"/>
        <v>45</v>
      </c>
      <c r="N87" s="32" t="str">
        <f>VLOOKUP(Table2[[#This Row],[Tulu/kulu liik2]],Table5[[Tulu/kulu liik]:[Kontode koondnimetus]],4,FALSE)</f>
        <v>Antavad toetused tegevuskuludeks</v>
      </c>
      <c r="O87" s="32" t="str">
        <f>VLOOKUP(Table2[[#This Row],[Tulu/kulu liik2]],Table5[],6,FALSE)</f>
        <v>Mittesihtotstarbelised toetused</v>
      </c>
      <c r="P87" s="32" t="str">
        <f>VLOOKUP(Table2[[#This Row],[Tulu/kulu liik2]],Table5[],5,FALSE)</f>
        <v>Põhitegevuse kulu</v>
      </c>
    </row>
    <row r="88" spans="1:16" hidden="1" x14ac:dyDescent="0.25">
      <c r="A88" t="str">
        <f t="shared" si="2"/>
        <v>01</v>
      </c>
      <c r="B88" s="33" t="s">
        <v>23</v>
      </c>
      <c r="C88" s="3" t="str">
        <f>VLOOKUP(Table2[[#This Row],[Tegevusala]],Table4[],2,FALSE)</f>
        <v xml:space="preserve"> Üldiseloomuga ülekanded valitsussektoris</v>
      </c>
      <c r="D88" s="3" t="str">
        <f>VLOOKUP(Table2[[#This Row],[Tegevusala]],Table4[[Tegevusala kood]:[Tegevusala alanimetus]],4,FALSE)</f>
        <v>Üldiseloomuga ülekanded valitsussektoris</v>
      </c>
      <c r="E88" s="3" t="str">
        <f>VLOOKUP(Table2[[#This Row],[Tegevusala nimetus2]],Table4[[Tegevusala nimetus]:[Tegevusala koondnimetus]],2,FALSE)</f>
        <v>Üldised valitsussektori teenused</v>
      </c>
      <c r="F88" t="s">
        <v>606</v>
      </c>
      <c r="G88" t="s">
        <v>2070</v>
      </c>
      <c r="H88" s="40">
        <v>14248</v>
      </c>
      <c r="J88">
        <v>4528</v>
      </c>
      <c r="K88" s="3" t="str">
        <f>VLOOKUP(Table2[[#This Row],[Konto]],Table5[[Konto]:[Konto nimetus]],2,FALSE)</f>
        <v>Liikmemaksud</v>
      </c>
      <c r="L88">
        <v>452</v>
      </c>
      <c r="M88" t="str">
        <f t="shared" si="3"/>
        <v>45</v>
      </c>
      <c r="N88" s="3" t="str">
        <f>VLOOKUP(Table2[[#This Row],[Tulu/kulu liik2]],Table5[[Tulu/kulu liik]:[Kontode koondnimetus]],4,FALSE)</f>
        <v>Antavad toetused tegevuskuludeks</v>
      </c>
      <c r="O88" s="34" t="str">
        <f>VLOOKUP(Table2[[#This Row],[Tulu/kulu liik2]],Table5[],6,FALSE)</f>
        <v>Mittesihtotstarbelised toetused</v>
      </c>
      <c r="P88" s="3" t="str">
        <f>VLOOKUP(Table2[[#This Row],[Tulu/kulu liik2]],Table5[],5,FALSE)</f>
        <v>Põhitegevuse kulu</v>
      </c>
    </row>
    <row r="89" spans="1:16" hidden="1" x14ac:dyDescent="0.25">
      <c r="A89" t="str">
        <f t="shared" si="2"/>
        <v>02</v>
      </c>
      <c r="B89" t="s">
        <v>25</v>
      </c>
      <c r="C89" s="3" t="str">
        <f>VLOOKUP(Table2[[#This Row],[Tegevusala]],Table4[],2,FALSE)</f>
        <v xml:space="preserve"> Muu riigikaitse</v>
      </c>
      <c r="D89" s="3" t="str">
        <f>VLOOKUP(Table2[[#This Row],[Tegevusala]],Table4[[Tegevusala kood]:[Tegevusala alanimetus]],4,FALSE)</f>
        <v>Muu riigikaitse</v>
      </c>
      <c r="E89" s="3" t="str">
        <f>VLOOKUP(Table2[[#This Row],[Tegevusala nimetus2]],Table4[[Tegevusala nimetus]:[Tegevusala koondnimetus]],2,FALSE)</f>
        <v>Riigikaitse</v>
      </c>
      <c r="F89" t="s">
        <v>606</v>
      </c>
      <c r="G89" t="s">
        <v>2092</v>
      </c>
      <c r="H89" s="40">
        <v>1000</v>
      </c>
      <c r="J89">
        <v>5525</v>
      </c>
      <c r="K89" s="3" t="str">
        <f>VLOOKUP(Table2[[#This Row],[Konto]],Table5[[Konto]:[Konto nimetus]],2,FALSE)</f>
        <v>Kommunikatsiooni-, kultuuri- ja vaba aja sisustamise kulud</v>
      </c>
      <c r="L89">
        <v>55</v>
      </c>
      <c r="M89" t="str">
        <f t="shared" si="3"/>
        <v>55</v>
      </c>
      <c r="N89" s="3" t="str">
        <f>VLOOKUP(Table2[[#This Row],[Tulu/kulu liik2]],Table5[[Tulu/kulu liik]:[Kontode koondnimetus]],4,FALSE)</f>
        <v>Muud tegevuskulud</v>
      </c>
      <c r="O89" s="34" t="str">
        <f>VLOOKUP(Table2[[#This Row],[Tulu/kulu liik2]],Table5[],6,FALSE)</f>
        <v>Majandamiskulud</v>
      </c>
      <c r="P89" s="3" t="str">
        <f>VLOOKUP(Table2[[#This Row],[Tulu/kulu liik2]],Table5[],5,FALSE)</f>
        <v>Põhitegevuse kulu</v>
      </c>
    </row>
    <row r="90" spans="1:16" hidden="1" x14ac:dyDescent="0.25">
      <c r="A90" t="str">
        <f t="shared" si="2"/>
        <v>03</v>
      </c>
      <c r="B90" t="s">
        <v>27</v>
      </c>
      <c r="C90" s="3" t="str">
        <f>VLOOKUP(Table2[[#This Row],[Tegevusala]],Table4[],2,FALSE)</f>
        <v xml:space="preserve"> Päästeteenused</v>
      </c>
      <c r="D90" s="3" t="str">
        <f>VLOOKUP(Table2[[#This Row],[Tegevusala]],Table4[[Tegevusala kood]:[Tegevusala alanimetus]],4,FALSE)</f>
        <v>Päästeteenused</v>
      </c>
      <c r="E90" s="3" t="str">
        <f>VLOOKUP(Table2[[#This Row],[Tegevusala nimetus2]],Table4[[Tegevusala nimetus]:[Tegevusala koondnimetus]],2,FALSE)</f>
        <v>Avalik kord ja julgeolek</v>
      </c>
      <c r="F90" t="s">
        <v>799</v>
      </c>
      <c r="G90" t="s">
        <v>842</v>
      </c>
      <c r="H90" s="40">
        <v>15250</v>
      </c>
      <c r="J90">
        <v>45008</v>
      </c>
      <c r="K90" s="3" t="str">
        <f>VLOOKUP(Table2[[#This Row],[Konto]],Table5[[Konto]:[Konto nimetus]],2,FALSE)</f>
        <v>Sihtotstarbelised eraldised muudele residentidele</v>
      </c>
      <c r="L90">
        <v>4500</v>
      </c>
      <c r="M90" t="str">
        <f t="shared" si="3"/>
        <v>45</v>
      </c>
      <c r="N90" s="3" t="str">
        <f>VLOOKUP(Table2[[#This Row],[Tulu/kulu liik2]],Table5[[Tulu/kulu liik]:[Kontode koondnimetus]],4,FALSE)</f>
        <v>Antavad toetused tegevuskuludeks</v>
      </c>
      <c r="O90" s="3" t="str">
        <f>VLOOKUP(Table2[[#This Row],[Tulu/kulu liik2]],Table5[],6,FALSE)</f>
        <v>Sihtotstarbelised toetused tegevuskuludeks</v>
      </c>
      <c r="P90" s="3" t="str">
        <f>VLOOKUP(Table2[[#This Row],[Tulu/kulu liik2]],Table5[],5,FALSE)</f>
        <v>Põhitegevuse kulu</v>
      </c>
    </row>
    <row r="91" spans="1:16" hidden="1" x14ac:dyDescent="0.25">
      <c r="A91" t="str">
        <f t="shared" si="2"/>
        <v>03</v>
      </c>
      <c r="B91" s="72" t="s">
        <v>27</v>
      </c>
      <c r="C91" s="3" t="str">
        <f>VLOOKUP(Table2[[#This Row],[Tegevusala]],Table4[],2,FALSE)</f>
        <v xml:space="preserve"> Päästeteenused</v>
      </c>
      <c r="D91" s="3" t="str">
        <f>VLOOKUP(Table2[[#This Row],[Tegevusala]],Table4[[Tegevusala kood]:[Tegevusala alanimetus]],4,FALSE)</f>
        <v>Päästeteenused</v>
      </c>
      <c r="E91" s="3" t="str">
        <f>VLOOKUP(Table2[[#This Row],[Tegevusala nimetus2]],Table4[[Tegevusala nimetus]:[Tegevusala koondnimetus]],2,FALSE)</f>
        <v>Avalik kord ja julgeolek</v>
      </c>
      <c r="F91" t="s">
        <v>752</v>
      </c>
      <c r="G91" t="s">
        <v>924</v>
      </c>
      <c r="H91" s="40">
        <f>12*75</f>
        <v>900</v>
      </c>
      <c r="J91">
        <v>5511</v>
      </c>
      <c r="K91" s="3" t="str">
        <f>VLOOKUP(Table2[[#This Row],[Konto]],Table5[[Konto]:[Konto nimetus]],2,FALSE)</f>
        <v>Kinnistute, hoonete ja ruumide majandamiskulud</v>
      </c>
      <c r="L91">
        <v>55</v>
      </c>
      <c r="M91" t="str">
        <f t="shared" si="3"/>
        <v>55</v>
      </c>
      <c r="N91" s="3" t="str">
        <f>VLOOKUP(Table2[[#This Row],[Tulu/kulu liik2]],Table5[[Tulu/kulu liik]:[Kontode koondnimetus]],4,FALSE)</f>
        <v>Muud tegevuskulud</v>
      </c>
      <c r="O91" s="34" t="str">
        <f>VLOOKUP(Table2[[#This Row],[Tulu/kulu liik2]],Table5[],6,FALSE)</f>
        <v>Majandamiskulud</v>
      </c>
      <c r="P91" s="3" t="str">
        <f>VLOOKUP(Table2[[#This Row],[Tulu/kulu liik2]],Table5[],5,FALSE)</f>
        <v>Põhitegevuse kulu</v>
      </c>
    </row>
    <row r="92" spans="1:16" s="33" customFormat="1" hidden="1" x14ac:dyDescent="0.25">
      <c r="A92" t="str">
        <f t="shared" si="2"/>
        <v>03</v>
      </c>
      <c r="B92" s="72" t="s">
        <v>27</v>
      </c>
      <c r="C92" s="3" t="str">
        <f>VLOOKUP(Table2[[#This Row],[Tegevusala]],Table4[],2,FALSE)</f>
        <v xml:space="preserve"> Päästeteenused</v>
      </c>
      <c r="D92" s="3" t="str">
        <f>VLOOKUP(Table2[[#This Row],[Tegevusala]],Table4[[Tegevusala kood]:[Tegevusala alanimetus]],4,FALSE)</f>
        <v>Päästeteenused</v>
      </c>
      <c r="E92" s="3" t="str">
        <f>VLOOKUP(Table2[[#This Row],[Tegevusala nimetus2]],Table4[[Tegevusala nimetus]:[Tegevusala koondnimetus]],2,FALSE)</f>
        <v>Avalik kord ja julgeolek</v>
      </c>
      <c r="F92" t="s">
        <v>752</v>
      </c>
      <c r="G92" t="s">
        <v>2119</v>
      </c>
      <c r="H92" s="40">
        <v>700</v>
      </c>
      <c r="I92" s="2"/>
      <c r="J92">
        <v>5513</v>
      </c>
      <c r="K92" s="3" t="str">
        <f>VLOOKUP(Table2[[#This Row],[Konto]],Table5[[Konto]:[Konto nimetus]],2,FALSE)</f>
        <v>Sõidukite ülalpidamise kulud</v>
      </c>
      <c r="L92">
        <v>55</v>
      </c>
      <c r="M92" t="str">
        <f t="shared" si="3"/>
        <v>55</v>
      </c>
      <c r="N92" s="3" t="str">
        <f>VLOOKUP(Table2[[#This Row],[Tulu/kulu liik2]],Table5[[Tulu/kulu liik]:[Kontode koondnimetus]],4,FALSE)</f>
        <v>Muud tegevuskulud</v>
      </c>
      <c r="O92" s="34" t="str">
        <f>VLOOKUP(Table2[[#This Row],[Tulu/kulu liik2]],Table5[],6,FALSE)</f>
        <v>Majandamiskulud</v>
      </c>
      <c r="P92" s="3" t="str">
        <f>VLOOKUP(Table2[[#This Row],[Tulu/kulu liik2]],Table5[],5,FALSE)</f>
        <v>Põhitegevuse kulu</v>
      </c>
    </row>
    <row r="93" spans="1:16" hidden="1" x14ac:dyDescent="0.25">
      <c r="A93" s="8" t="str">
        <f t="shared" si="2"/>
        <v>04</v>
      </c>
      <c r="B93" s="8" t="s">
        <v>31</v>
      </c>
      <c r="C93" s="32" t="str">
        <f>VLOOKUP(Table2[[#This Row],[Tegevusala]],Table4[],2,FALSE)</f>
        <v>Maanteetransport</v>
      </c>
      <c r="D93" s="32" t="str">
        <f>VLOOKUP(Table2[[#This Row],[Tegevusala]],Table4[[Tegevusala kood]:[Tegevusala alanimetus]],4,FALSE)</f>
        <v>Maanteetransport</v>
      </c>
      <c r="E93" s="32" t="str">
        <f>VLOOKUP(Table2[[#This Row],[Tegevusala nimetus2]],Table4[[Tegevusala nimetus]:[Tegevusala koondnimetus]],2,FALSE)</f>
        <v>Majandus</v>
      </c>
      <c r="F93" s="8" t="s">
        <v>786</v>
      </c>
      <c r="G93" s="8" t="s">
        <v>785</v>
      </c>
      <c r="H93" s="43">
        <v>486305</v>
      </c>
      <c r="I93" s="9" t="s">
        <v>82</v>
      </c>
      <c r="J93" s="8">
        <v>5512</v>
      </c>
      <c r="K93" s="32" t="str">
        <f>VLOOKUP(Table2[[#This Row],[Konto]],Table5[[Konto]:[Konto nimetus]],2,FALSE)</f>
        <v>Rajatiste majandamiskulud</v>
      </c>
      <c r="L93" s="8">
        <v>55</v>
      </c>
      <c r="M93" s="8" t="str">
        <f t="shared" si="3"/>
        <v>55</v>
      </c>
      <c r="N93" s="32" t="str">
        <f>VLOOKUP(Table2[[#This Row],[Tulu/kulu liik2]],Table5[[Tulu/kulu liik]:[Kontode koondnimetus]],4,FALSE)</f>
        <v>Muud tegevuskulud</v>
      </c>
      <c r="O93" s="32" t="str">
        <f>VLOOKUP(Table2[[#This Row],[Tulu/kulu liik2]],Table5[],6,FALSE)</f>
        <v>Majandamiskulud</v>
      </c>
      <c r="P93" s="32" t="str">
        <f>VLOOKUP(Table2[[#This Row],[Tulu/kulu liik2]],Table5[],5,FALSE)</f>
        <v>Põhitegevuse kulu</v>
      </c>
    </row>
    <row r="94" spans="1:16" s="33" customFormat="1" hidden="1" x14ac:dyDescent="0.25">
      <c r="A94" s="8" t="str">
        <f t="shared" si="2"/>
        <v>04</v>
      </c>
      <c r="B94" s="8" t="s">
        <v>31</v>
      </c>
      <c r="C94" s="32" t="str">
        <f>VLOOKUP(Table2[[#This Row],[Tegevusala]],Table4[],2,FALSE)</f>
        <v>Maanteetransport</v>
      </c>
      <c r="D94" s="32" t="str">
        <f>VLOOKUP(Table2[[#This Row],[Tegevusala]],Table4[[Tegevusala kood]:[Tegevusala alanimetus]],4,FALSE)</f>
        <v>Maanteetransport</v>
      </c>
      <c r="E94" s="32" t="str">
        <f>VLOOKUP(Table2[[#This Row],[Tegevusala nimetus2]],Table4[[Tegevusala nimetus]:[Tegevusala koondnimetus]],2,FALSE)</f>
        <v>Majandus</v>
      </c>
      <c r="F94" s="8" t="s">
        <v>786</v>
      </c>
      <c r="G94" s="8" t="s">
        <v>82</v>
      </c>
      <c r="H94" s="43">
        <v>-486305</v>
      </c>
      <c r="I94" s="8" t="s">
        <v>785</v>
      </c>
      <c r="J94" s="8">
        <v>35201</v>
      </c>
      <c r="K94" s="32" t="str">
        <f>VLOOKUP(Table2[[#This Row],[Konto]],Table5[[Konto]:[Konto nimetus]],2,FALSE)</f>
        <v>Toetusfond</v>
      </c>
      <c r="L94" s="8">
        <v>35201</v>
      </c>
      <c r="M94" s="8" t="str">
        <f t="shared" si="3"/>
        <v>35</v>
      </c>
      <c r="N94" s="32" t="str">
        <f>VLOOKUP(Table2[[#This Row],[Tulu/kulu liik2]],Table5[[Tulu/kulu liik]:[Kontode koondnimetus]],4,FALSE)</f>
        <v>Saadavad toetused tegevuskuludeks</v>
      </c>
      <c r="O94" s="32" t="str">
        <f>VLOOKUP(Table2[[#This Row],[Tulu/kulu liik2]],Table5[],6,FALSE)</f>
        <v>Toetusfond</v>
      </c>
      <c r="P94" s="32" t="str">
        <f>VLOOKUP(Table2[[#This Row],[Tulu/kulu liik2]],Table5[],5,FALSE)</f>
        <v>Põhitegevuse tulu</v>
      </c>
    </row>
    <row r="95" spans="1:16" hidden="1" x14ac:dyDescent="0.25">
      <c r="A95" t="str">
        <f t="shared" si="2"/>
        <v>04</v>
      </c>
      <c r="B95" t="s">
        <v>31</v>
      </c>
      <c r="C95" s="3" t="str">
        <f>VLOOKUP(Table2[[#This Row],[Tegevusala]],Table4[],2,FALSE)</f>
        <v>Maanteetransport</v>
      </c>
      <c r="D95" s="3" t="str">
        <f>VLOOKUP(Table2[[#This Row],[Tegevusala]],Table4[[Tegevusala kood]:[Tegevusala alanimetus]],4,FALSE)</f>
        <v>Maanteetransport</v>
      </c>
      <c r="E95" s="3" t="str">
        <f>VLOOKUP(Table2[[#This Row],[Tegevusala nimetus2]],Table4[[Tegevusala nimetus]:[Tegevusala koondnimetus]],2,FALSE)</f>
        <v>Majandus</v>
      </c>
      <c r="F95" t="s">
        <v>786</v>
      </c>
      <c r="G95" t="s">
        <v>2021</v>
      </c>
      <c r="H95" s="40">
        <v>10000</v>
      </c>
      <c r="J95">
        <v>1551</v>
      </c>
      <c r="K95" s="3" t="str">
        <f>VLOOKUP(Table2[[#This Row],[Konto]],Table5[[Konto]:[Konto nimetus]],2,FALSE)</f>
        <v>Rajatiste ja hoonete soetamine ja renoveerimine</v>
      </c>
      <c r="L95">
        <v>15</v>
      </c>
      <c r="M95" t="str">
        <f t="shared" si="3"/>
        <v>15</v>
      </c>
      <c r="N95" s="3" t="str">
        <f>VLOOKUP(Table2[[#This Row],[Tulu/kulu liik2]],Table5[[Tulu/kulu liik]:[Kontode koondnimetus]],4,FALSE)</f>
        <v>Põhivara soetus (-)</v>
      </c>
      <c r="O95" s="34" t="str">
        <f>VLOOKUP(Table2[[#This Row],[Tulu/kulu liik2]],Table5[],6,FALSE)</f>
        <v>Põhivara soetus (-)</v>
      </c>
      <c r="P95" s="3" t="str">
        <f>VLOOKUP(Table2[[#This Row],[Tulu/kulu liik2]],Table5[],5,FALSE)</f>
        <v>Investeerimistegevus</v>
      </c>
    </row>
    <row r="96" spans="1:16" hidden="1" x14ac:dyDescent="0.25">
      <c r="A96" s="77" t="str">
        <f t="shared" si="2"/>
        <v>04</v>
      </c>
      <c r="B96" s="77" t="s">
        <v>31</v>
      </c>
      <c r="C96" s="79" t="str">
        <f>VLOOKUP(Table2[[#This Row],[Tegevusala]],Table4[],2,FALSE)</f>
        <v>Maanteetransport</v>
      </c>
      <c r="D96" s="79" t="str">
        <f>VLOOKUP(Table2[[#This Row],[Tegevusala]],Table4[[Tegevusala kood]:[Tegevusala alanimetus]],4,FALSE)</f>
        <v>Maanteetransport</v>
      </c>
      <c r="E96" s="79" t="str">
        <f>VLOOKUP(Table2[[#This Row],[Tegevusala nimetus2]],Table4[[Tegevusala nimetus]:[Tegevusala koondnimetus]],2,FALSE)</f>
        <v>Majandus</v>
      </c>
      <c r="F96" s="77" t="s">
        <v>786</v>
      </c>
      <c r="G96" s="77" t="s">
        <v>787</v>
      </c>
      <c r="H96" s="78">
        <v>0</v>
      </c>
      <c r="I96" s="80" t="s">
        <v>788</v>
      </c>
      <c r="J96" s="77">
        <v>5512</v>
      </c>
      <c r="K96" s="79" t="str">
        <f>VLOOKUP(Table2[[#This Row],[Konto]],Table5[[Konto]:[Konto nimetus]],2,FALSE)</f>
        <v>Rajatiste majandamiskulud</v>
      </c>
      <c r="L96" s="77">
        <v>55</v>
      </c>
      <c r="M96" s="77" t="str">
        <f t="shared" si="3"/>
        <v>55</v>
      </c>
      <c r="N96" s="79" t="str">
        <f>VLOOKUP(Table2[[#This Row],[Tulu/kulu liik2]],Table5[[Tulu/kulu liik]:[Kontode koondnimetus]],4,FALSE)</f>
        <v>Muud tegevuskulud</v>
      </c>
      <c r="O96" s="79" t="str">
        <f>VLOOKUP(Table2[[#This Row],[Tulu/kulu liik2]],Table5[],6,FALSE)</f>
        <v>Majandamiskulud</v>
      </c>
      <c r="P96" s="79" t="str">
        <f>VLOOKUP(Table2[[#This Row],[Tulu/kulu liik2]],Table5[],5,FALSE)</f>
        <v>Põhitegevuse kulu</v>
      </c>
    </row>
    <row r="97" spans="1:16" hidden="1" x14ac:dyDescent="0.25">
      <c r="A97" s="82" t="str">
        <f t="shared" si="2"/>
        <v>04</v>
      </c>
      <c r="B97" s="82" t="s">
        <v>32</v>
      </c>
      <c r="C97" s="83" t="str">
        <f>VLOOKUP(Table2[[#This Row],[Tegevusala]],Table4[],2,FALSE)</f>
        <v xml:space="preserve"> Side</v>
      </c>
      <c r="D97" s="83" t="str">
        <f>VLOOKUP(Table2[[#This Row],[Tegevusala]],Table4[[Tegevusala kood]:[Tegevusala alanimetus]],4,FALSE)</f>
        <v>Side</v>
      </c>
      <c r="E97" s="83" t="str">
        <f>VLOOKUP(Table2[[#This Row],[Tegevusala nimetus2]],Table4[[Tegevusala nimetus]:[Tegevusala koondnimetus]],2,FALSE)</f>
        <v>Majandus</v>
      </c>
      <c r="F97" s="82" t="s">
        <v>783</v>
      </c>
      <c r="G97" s="82" t="s">
        <v>1968</v>
      </c>
      <c r="H97" s="84">
        <v>835.19999999999993</v>
      </c>
      <c r="I97" s="85" t="s">
        <v>1969</v>
      </c>
      <c r="J97" s="82">
        <v>5514</v>
      </c>
      <c r="K97" s="83" t="str">
        <f>VLOOKUP(Table2[[#This Row],[Konto]],Table5[[Konto]:[Konto nimetus]],2,FALSE)</f>
        <v>Info- ja kommunikatsioonitehnoliigised kulud</v>
      </c>
      <c r="L97" s="82">
        <v>55</v>
      </c>
      <c r="M97" s="82" t="str">
        <f t="shared" si="3"/>
        <v>55</v>
      </c>
      <c r="N97" s="83" t="str">
        <f>VLOOKUP(Table2[[#This Row],[Tulu/kulu liik2]],Table5[[Tulu/kulu liik]:[Kontode koondnimetus]],4,FALSE)</f>
        <v>Muud tegevuskulud</v>
      </c>
      <c r="O97" s="83" t="str">
        <f>VLOOKUP(Table2[[#This Row],[Tulu/kulu liik2]],Table5[],6,FALSE)</f>
        <v>Majandamiskulud</v>
      </c>
      <c r="P97" s="83" t="str">
        <f>VLOOKUP(Table2[[#This Row],[Tulu/kulu liik2]],Table5[],5,FALSE)</f>
        <v>Põhitegevuse kulu</v>
      </c>
    </row>
    <row r="98" spans="1:16" hidden="1" x14ac:dyDescent="0.25">
      <c r="A98" s="82" t="str">
        <f t="shared" si="2"/>
        <v>04</v>
      </c>
      <c r="B98" s="82" t="s">
        <v>32</v>
      </c>
      <c r="C98" s="83" t="str">
        <f>VLOOKUP(Table2[[#This Row],[Tegevusala]],Table4[],2,FALSE)</f>
        <v xml:space="preserve"> Side</v>
      </c>
      <c r="D98" s="83" t="str">
        <f>VLOOKUP(Table2[[#This Row],[Tegevusala]],Table4[[Tegevusala kood]:[Tegevusala alanimetus]],4,FALSE)</f>
        <v>Side</v>
      </c>
      <c r="E98" s="83" t="str">
        <f>VLOOKUP(Table2[[#This Row],[Tegevusala nimetus2]],Table4[[Tegevusala nimetus]:[Tegevusala koondnimetus]],2,FALSE)</f>
        <v>Majandus</v>
      </c>
      <c r="F98" s="82" t="s">
        <v>783</v>
      </c>
      <c r="G98" s="82" t="s">
        <v>1970</v>
      </c>
      <c r="H98" s="84">
        <v>1210.8000000000002</v>
      </c>
      <c r="I98" s="85" t="s">
        <v>1969</v>
      </c>
      <c r="J98" s="82">
        <v>5514</v>
      </c>
      <c r="K98" s="83" t="str">
        <f>VLOOKUP(Table2[[#This Row],[Konto]],Table5[[Konto]:[Konto nimetus]],2,FALSE)</f>
        <v>Info- ja kommunikatsioonitehnoliigised kulud</v>
      </c>
      <c r="L98" s="82">
        <v>55</v>
      </c>
      <c r="M98" s="82" t="str">
        <f t="shared" si="3"/>
        <v>55</v>
      </c>
      <c r="N98" s="83" t="str">
        <f>VLOOKUP(Table2[[#This Row],[Tulu/kulu liik2]],Table5[[Tulu/kulu liik]:[Kontode koondnimetus]],4,FALSE)</f>
        <v>Muud tegevuskulud</v>
      </c>
      <c r="O98" s="83" t="str">
        <f>VLOOKUP(Table2[[#This Row],[Tulu/kulu liik2]],Table5[],6,FALSE)</f>
        <v>Majandamiskulud</v>
      </c>
      <c r="P98" s="83" t="str">
        <f>VLOOKUP(Table2[[#This Row],[Tulu/kulu liik2]],Table5[],5,FALSE)</f>
        <v>Põhitegevuse kulu</v>
      </c>
    </row>
    <row r="99" spans="1:16" hidden="1" x14ac:dyDescent="0.25">
      <c r="A99" s="82" t="str">
        <f t="shared" si="2"/>
        <v>04</v>
      </c>
      <c r="B99" s="82" t="s">
        <v>32</v>
      </c>
      <c r="C99" s="83" t="str">
        <f>VLOOKUP(Table2[[#This Row],[Tegevusala]],Table4[],2,FALSE)</f>
        <v xml:space="preserve"> Side</v>
      </c>
      <c r="D99" s="83" t="str">
        <f>VLOOKUP(Table2[[#This Row],[Tegevusala]],Table4[[Tegevusala kood]:[Tegevusala alanimetus]],4,FALSE)</f>
        <v>Side</v>
      </c>
      <c r="E99" s="83" t="str">
        <f>VLOOKUP(Table2[[#This Row],[Tegevusala nimetus2]],Table4[[Tegevusala nimetus]:[Tegevusala koondnimetus]],2,FALSE)</f>
        <v>Majandus</v>
      </c>
      <c r="F99" s="82" t="s">
        <v>783</v>
      </c>
      <c r="G99" s="82" t="s">
        <v>1990</v>
      </c>
      <c r="H99" s="84">
        <v>4800</v>
      </c>
      <c r="I99" s="85" t="s">
        <v>1991</v>
      </c>
      <c r="J99" s="82">
        <v>5514</v>
      </c>
      <c r="K99" s="83" t="str">
        <f>VLOOKUP(Table2[[#This Row],[Konto]],Table5[[Konto]:[Konto nimetus]],2,FALSE)</f>
        <v>Info- ja kommunikatsioonitehnoliigised kulud</v>
      </c>
      <c r="L99" s="82">
        <v>55</v>
      </c>
      <c r="M99" s="82" t="str">
        <f t="shared" si="3"/>
        <v>55</v>
      </c>
      <c r="N99" s="83" t="str">
        <f>VLOOKUP(Table2[[#This Row],[Tulu/kulu liik2]],Table5[[Tulu/kulu liik]:[Kontode koondnimetus]],4,FALSE)</f>
        <v>Muud tegevuskulud</v>
      </c>
      <c r="O99" s="83" t="str">
        <f>VLOOKUP(Table2[[#This Row],[Tulu/kulu liik2]],Table5[],6,FALSE)</f>
        <v>Majandamiskulud</v>
      </c>
      <c r="P99" s="83" t="str">
        <f>VLOOKUP(Table2[[#This Row],[Tulu/kulu liik2]],Table5[],5,FALSE)</f>
        <v>Põhitegevuse kulu</v>
      </c>
    </row>
    <row r="100" spans="1:16" hidden="1" x14ac:dyDescent="0.25">
      <c r="A100" t="str">
        <f t="shared" si="2"/>
        <v>04</v>
      </c>
      <c r="B100" t="s">
        <v>32</v>
      </c>
      <c r="C100" s="3" t="str">
        <f>VLOOKUP(Table2[[#This Row],[Tegevusala]],Table4[],2,FALSE)</f>
        <v xml:space="preserve"> Side</v>
      </c>
      <c r="D100" s="3" t="str">
        <f>VLOOKUP(Table2[[#This Row],[Tegevusala]],Table4[[Tegevusala kood]:[Tegevusala alanimetus]],4,FALSE)</f>
        <v>Side</v>
      </c>
      <c r="E100" s="3" t="str">
        <f>VLOOKUP(Table2[[#This Row],[Tegevusala nimetus2]],Table4[[Tegevusala nimetus]:[Tegevusala koondnimetus]],2,FALSE)</f>
        <v>Majandus</v>
      </c>
      <c r="F100" t="s">
        <v>783</v>
      </c>
      <c r="G100" t="s">
        <v>194</v>
      </c>
      <c r="H100" s="40">
        <v>100</v>
      </c>
      <c r="J100">
        <v>5511</v>
      </c>
      <c r="K100" s="3" t="str">
        <f>VLOOKUP(Table2[[#This Row],[Konto]],Table5[[Konto]:[Konto nimetus]],2,FALSE)</f>
        <v>Kinnistute, hoonete ja ruumide majandamiskulud</v>
      </c>
      <c r="L100">
        <v>55</v>
      </c>
      <c r="M100" t="str">
        <f t="shared" si="3"/>
        <v>55</v>
      </c>
      <c r="N100" s="3" t="str">
        <f>VLOOKUP(Table2[[#This Row],[Tulu/kulu liik2]],Table5[[Tulu/kulu liik]:[Kontode koondnimetus]],4,FALSE)</f>
        <v>Muud tegevuskulud</v>
      </c>
      <c r="O100" s="3" t="str">
        <f>VLOOKUP(Table2[[#This Row],[Tulu/kulu liik2]],Table5[],6,FALSE)</f>
        <v>Majandamiskulud</v>
      </c>
      <c r="P100" s="3" t="str">
        <f>VLOOKUP(Table2[[#This Row],[Tulu/kulu liik2]],Table5[],5,FALSE)</f>
        <v>Põhitegevuse kulu</v>
      </c>
    </row>
    <row r="101" spans="1:16" hidden="1" x14ac:dyDescent="0.25">
      <c r="A101" t="str">
        <f t="shared" si="2"/>
        <v>04</v>
      </c>
      <c r="B101" t="s">
        <v>32</v>
      </c>
      <c r="C101" s="3" t="str">
        <f>VLOOKUP(Table2[[#This Row],[Tegevusala]],Table4[],2,FALSE)</f>
        <v xml:space="preserve"> Side</v>
      </c>
      <c r="D101" s="3" t="str">
        <f>VLOOKUP(Table2[[#This Row],[Tegevusala]],Table4[[Tegevusala kood]:[Tegevusala alanimetus]],4,FALSE)</f>
        <v>Side</v>
      </c>
      <c r="E101" s="3" t="str">
        <f>VLOOKUP(Table2[[#This Row],[Tegevusala nimetus2]],Table4[[Tegevusala nimetus]:[Tegevusala koondnimetus]],2,FALSE)</f>
        <v>Majandus</v>
      </c>
      <c r="F101" t="s">
        <v>783</v>
      </c>
      <c r="G101" t="s">
        <v>775</v>
      </c>
      <c r="H101" s="40">
        <v>240</v>
      </c>
      <c r="J101">
        <v>5500</v>
      </c>
      <c r="K101" s="3" t="str">
        <f>VLOOKUP(Table2[[#This Row],[Konto]],Table5[[Konto]:[Konto nimetus]],2,FALSE)</f>
        <v>Administreerimiskulud</v>
      </c>
      <c r="L101">
        <v>55</v>
      </c>
      <c r="M101" t="str">
        <f t="shared" si="3"/>
        <v>55</v>
      </c>
      <c r="N101" s="3" t="str">
        <f>VLOOKUP(Table2[[#This Row],[Tulu/kulu liik2]],Table5[[Tulu/kulu liik]:[Kontode koondnimetus]],4,FALSE)</f>
        <v>Muud tegevuskulud</v>
      </c>
      <c r="O101" s="3" t="str">
        <f>VLOOKUP(Table2[[#This Row],[Tulu/kulu liik2]],Table5[],6,FALSE)</f>
        <v>Majandamiskulud</v>
      </c>
      <c r="P101" s="3" t="str">
        <f>VLOOKUP(Table2[[#This Row],[Tulu/kulu liik2]],Table5[],5,FALSE)</f>
        <v>Põhitegevuse kulu</v>
      </c>
    </row>
    <row r="102" spans="1:16" hidden="1" x14ac:dyDescent="0.25">
      <c r="A102" t="str">
        <f t="shared" si="2"/>
        <v>04</v>
      </c>
      <c r="B102" t="s">
        <v>32</v>
      </c>
      <c r="C102" s="3" t="str">
        <f>VLOOKUP(Table2[[#This Row],[Tegevusala]],Table4[],2,FALSE)</f>
        <v xml:space="preserve"> Side</v>
      </c>
      <c r="D102" s="3" t="str">
        <f>VLOOKUP(Table2[[#This Row],[Tegevusala]],Table4[[Tegevusala kood]:[Tegevusala alanimetus]],4,FALSE)</f>
        <v>Side</v>
      </c>
      <c r="E102" s="3" t="str">
        <f>VLOOKUP(Table2[[#This Row],[Tegevusala nimetus2]],Table4[[Tegevusala nimetus]:[Tegevusala koondnimetus]],2,FALSE)</f>
        <v>Majandus</v>
      </c>
      <c r="F102" t="s">
        <v>783</v>
      </c>
      <c r="G102" t="s">
        <v>391</v>
      </c>
      <c r="H102" s="40">
        <v>592.64</v>
      </c>
      <c r="J102">
        <v>5504</v>
      </c>
      <c r="K102" s="3" t="str">
        <f>VLOOKUP(Table2[[#This Row],[Konto]],Table5[[Konto]:[Konto nimetus]],2,FALSE)</f>
        <v>Koolituskulud</v>
      </c>
      <c r="L102">
        <v>55</v>
      </c>
      <c r="M102" t="str">
        <f t="shared" si="3"/>
        <v>55</v>
      </c>
      <c r="N102" s="3" t="str">
        <f>VLOOKUP(Table2[[#This Row],[Tulu/kulu liik2]],Table5[[Tulu/kulu liik]:[Kontode koondnimetus]],4,FALSE)</f>
        <v>Muud tegevuskulud</v>
      </c>
      <c r="O102" s="3" t="str">
        <f>VLOOKUP(Table2[[#This Row],[Tulu/kulu liik2]],Table5[],6,FALSE)</f>
        <v>Majandamiskulud</v>
      </c>
      <c r="P102" s="3" t="str">
        <f>VLOOKUP(Table2[[#This Row],[Tulu/kulu liik2]],Table5[],5,FALSE)</f>
        <v>Põhitegevuse kulu</v>
      </c>
    </row>
    <row r="103" spans="1:16" hidden="1" x14ac:dyDescent="0.25">
      <c r="A103" t="str">
        <f t="shared" si="2"/>
        <v>04</v>
      </c>
      <c r="B103" t="s">
        <v>32</v>
      </c>
      <c r="C103" s="3" t="str">
        <f>VLOOKUP(Table2[[#This Row],[Tegevusala]],Table4[],2,FALSE)</f>
        <v xml:space="preserve"> Side</v>
      </c>
      <c r="D103" s="3" t="str">
        <f>VLOOKUP(Table2[[#This Row],[Tegevusala]],Table4[[Tegevusala kood]:[Tegevusala alanimetus]],4,FALSE)</f>
        <v>Side</v>
      </c>
      <c r="E103" s="3" t="str">
        <f>VLOOKUP(Table2[[#This Row],[Tegevusala nimetus2]],Table4[[Tegevusala nimetus]:[Tegevusala koondnimetus]],2,FALSE)</f>
        <v>Majandus</v>
      </c>
      <c r="F103" t="s">
        <v>783</v>
      </c>
      <c r="G103" t="s">
        <v>424</v>
      </c>
      <c r="H103" s="40">
        <f>11*335</f>
        <v>3685</v>
      </c>
      <c r="J103">
        <v>5513</v>
      </c>
      <c r="K103" s="3" t="str">
        <f>VLOOKUP(Table2[[#This Row],[Konto]],Table5[[Konto]:[Konto nimetus]],2,FALSE)</f>
        <v>Sõidukite ülalpidamise kulud</v>
      </c>
      <c r="L103">
        <v>55</v>
      </c>
      <c r="M103" t="str">
        <f t="shared" si="3"/>
        <v>55</v>
      </c>
      <c r="N103" s="3" t="str">
        <f>VLOOKUP(Table2[[#This Row],[Tulu/kulu liik2]],Table5[[Tulu/kulu liik]:[Kontode koondnimetus]],4,FALSE)</f>
        <v>Muud tegevuskulud</v>
      </c>
      <c r="O103" s="3" t="str">
        <f>VLOOKUP(Table2[[#This Row],[Tulu/kulu liik2]],Table5[],6,FALSE)</f>
        <v>Majandamiskulud</v>
      </c>
      <c r="P103" s="3" t="str">
        <f>VLOOKUP(Table2[[#This Row],[Tulu/kulu liik2]],Table5[],5,FALSE)</f>
        <v>Põhitegevuse kulu</v>
      </c>
    </row>
    <row r="104" spans="1:16" hidden="1" x14ac:dyDescent="0.25">
      <c r="A104" t="str">
        <f t="shared" si="2"/>
        <v>04</v>
      </c>
      <c r="B104" t="s">
        <v>32</v>
      </c>
      <c r="C104" s="3" t="str">
        <f>VLOOKUP(Table2[[#This Row],[Tegevusala]],Table4[],2,FALSE)</f>
        <v xml:space="preserve"> Side</v>
      </c>
      <c r="D104" s="3" t="str">
        <f>VLOOKUP(Table2[[#This Row],[Tegevusala]],Table4[[Tegevusala kood]:[Tegevusala alanimetus]],4,FALSE)</f>
        <v>Side</v>
      </c>
      <c r="E104" s="3" t="str">
        <f>VLOOKUP(Table2[[#This Row],[Tegevusala nimetus2]],Table4[[Tegevusala nimetus]:[Tegevusala koondnimetus]],2,FALSE)</f>
        <v>Majandus</v>
      </c>
      <c r="F104" t="s">
        <v>783</v>
      </c>
      <c r="G104" t="s">
        <v>784</v>
      </c>
      <c r="H104" s="40">
        <v>5000</v>
      </c>
      <c r="J104">
        <v>5515</v>
      </c>
      <c r="K104" s="3" t="str">
        <f>VLOOKUP(Table2[[#This Row],[Konto]],Table5[[Konto]:[Konto nimetus]],2,FALSE)</f>
        <v>Inventari kulud, v.a infotehnoloogia ja kaitseotstarbelised kulud</v>
      </c>
      <c r="L104">
        <v>55</v>
      </c>
      <c r="M104" t="str">
        <f t="shared" si="3"/>
        <v>55</v>
      </c>
      <c r="N104" s="3" t="str">
        <f>VLOOKUP(Table2[[#This Row],[Tulu/kulu liik2]],Table5[[Tulu/kulu liik]:[Kontode koondnimetus]],4,FALSE)</f>
        <v>Muud tegevuskulud</v>
      </c>
      <c r="O104" s="3" t="str">
        <f>VLOOKUP(Table2[[#This Row],[Tulu/kulu liik2]],Table5[],6,FALSE)</f>
        <v>Majandamiskulud</v>
      </c>
      <c r="P104" s="3" t="str">
        <f>VLOOKUP(Table2[[#This Row],[Tulu/kulu liik2]],Table5[],5,FALSE)</f>
        <v>Põhitegevuse kulu</v>
      </c>
    </row>
    <row r="105" spans="1:16" hidden="1" x14ac:dyDescent="0.25">
      <c r="A105" t="str">
        <f t="shared" si="2"/>
        <v>04</v>
      </c>
      <c r="B105" s="33" t="s">
        <v>32</v>
      </c>
      <c r="C105" s="3" t="str">
        <f>VLOOKUP(Table2[[#This Row],[Tegevusala]],Table4[],2,FALSE)</f>
        <v xml:space="preserve"> Side</v>
      </c>
      <c r="D105" s="3" t="str">
        <f>VLOOKUP(Table2[[#This Row],[Tegevusala]],Table4[[Tegevusala kood]:[Tegevusala alanimetus]],4,FALSE)</f>
        <v>Side</v>
      </c>
      <c r="E105" s="3" t="str">
        <f>VLOOKUP(Table2[[#This Row],[Tegevusala nimetus2]],Table4[[Tegevusala nimetus]:[Tegevusala koondnimetus]],2,FALSE)</f>
        <v>Majandus</v>
      </c>
      <c r="F105" t="s">
        <v>783</v>
      </c>
      <c r="G105" t="s">
        <v>1992</v>
      </c>
      <c r="H105" s="40">
        <v>5000</v>
      </c>
      <c r="J105">
        <v>5514</v>
      </c>
      <c r="K105" s="3" t="str">
        <f>VLOOKUP(Table2[[#This Row],[Konto]],Table5[[Konto]:[Konto nimetus]],2,FALSE)</f>
        <v>Info- ja kommunikatsioonitehnoliigised kulud</v>
      </c>
      <c r="L105">
        <v>55</v>
      </c>
      <c r="M105" t="str">
        <f t="shared" si="3"/>
        <v>55</v>
      </c>
      <c r="N105" s="3" t="str">
        <f>VLOOKUP(Table2[[#This Row],[Tulu/kulu liik2]],Table5[[Tulu/kulu liik]:[Kontode koondnimetus]],4,FALSE)</f>
        <v>Muud tegevuskulud</v>
      </c>
      <c r="O105" s="34" t="str">
        <f>VLOOKUP(Table2[[#This Row],[Tulu/kulu liik2]],Table5[],6,FALSE)</f>
        <v>Majandamiskulud</v>
      </c>
      <c r="P105" s="3" t="str">
        <f>VLOOKUP(Table2[[#This Row],[Tulu/kulu liik2]],Table5[],5,FALSE)</f>
        <v>Põhitegevuse kulu</v>
      </c>
    </row>
    <row r="106" spans="1:16" hidden="1" x14ac:dyDescent="0.25">
      <c r="A106" t="str">
        <f t="shared" si="2"/>
        <v>04</v>
      </c>
      <c r="B106" s="33" t="s">
        <v>32</v>
      </c>
      <c r="C106" s="3" t="str">
        <f>VLOOKUP(Table2[[#This Row],[Tegevusala]],Table4[],2,FALSE)</f>
        <v xml:space="preserve"> Side</v>
      </c>
      <c r="D106" s="3" t="str">
        <f>VLOOKUP(Table2[[#This Row],[Tegevusala]],Table4[[Tegevusala kood]:[Tegevusala alanimetus]],4,FALSE)</f>
        <v>Side</v>
      </c>
      <c r="E106" s="3" t="str">
        <f>VLOOKUP(Table2[[#This Row],[Tegevusala nimetus2]],Table4[[Tegevusala nimetus]:[Tegevusala koondnimetus]],2,FALSE)</f>
        <v>Majandus</v>
      </c>
      <c r="F106" t="s">
        <v>783</v>
      </c>
      <c r="G106" t="s">
        <v>1993</v>
      </c>
      <c r="H106" s="40">
        <v>1750</v>
      </c>
      <c r="J106">
        <v>5514</v>
      </c>
      <c r="K106" s="3" t="str">
        <f>VLOOKUP(Table2[[#This Row],[Konto]],Table5[[Konto]:[Konto nimetus]],2,FALSE)</f>
        <v>Info- ja kommunikatsioonitehnoliigised kulud</v>
      </c>
      <c r="L106">
        <v>55</v>
      </c>
      <c r="M106" t="str">
        <f t="shared" si="3"/>
        <v>55</v>
      </c>
      <c r="N106" s="3" t="str">
        <f>VLOOKUP(Table2[[#This Row],[Tulu/kulu liik2]],Table5[[Tulu/kulu liik]:[Kontode koondnimetus]],4,FALSE)</f>
        <v>Muud tegevuskulud</v>
      </c>
      <c r="O106" s="34" t="str">
        <f>VLOOKUP(Table2[[#This Row],[Tulu/kulu liik2]],Table5[],6,FALSE)</f>
        <v>Majandamiskulud</v>
      </c>
      <c r="P106" s="3" t="str">
        <f>VLOOKUP(Table2[[#This Row],[Tulu/kulu liik2]],Table5[],5,FALSE)</f>
        <v>Põhitegevuse kulu</v>
      </c>
    </row>
    <row r="107" spans="1:16" hidden="1" x14ac:dyDescent="0.25">
      <c r="A107" t="str">
        <f t="shared" si="2"/>
        <v>04</v>
      </c>
      <c r="B107" s="33" t="s">
        <v>32</v>
      </c>
      <c r="C107" s="3" t="str">
        <f>VLOOKUP(Table2[[#This Row],[Tegevusala]],Table4[],2,FALSE)</f>
        <v xml:space="preserve"> Side</v>
      </c>
      <c r="D107" s="3" t="str">
        <f>VLOOKUP(Table2[[#This Row],[Tegevusala]],Table4[[Tegevusala kood]:[Tegevusala alanimetus]],4,FALSE)</f>
        <v>Side</v>
      </c>
      <c r="E107" s="3" t="str">
        <f>VLOOKUP(Table2[[#This Row],[Tegevusala nimetus2]],Table4[[Tegevusala nimetus]:[Tegevusala koondnimetus]],2,FALSE)</f>
        <v>Majandus</v>
      </c>
      <c r="F107" t="s">
        <v>783</v>
      </c>
      <c r="G107" t="s">
        <v>1994</v>
      </c>
      <c r="H107" s="40">
        <v>2124</v>
      </c>
      <c r="J107">
        <v>5514</v>
      </c>
      <c r="K107" s="3" t="str">
        <f>VLOOKUP(Table2[[#This Row],[Konto]],Table5[[Konto]:[Konto nimetus]],2,FALSE)</f>
        <v>Info- ja kommunikatsioonitehnoliigised kulud</v>
      </c>
      <c r="L107">
        <v>55</v>
      </c>
      <c r="M107" t="str">
        <f t="shared" si="3"/>
        <v>55</v>
      </c>
      <c r="N107" s="3" t="str">
        <f>VLOOKUP(Table2[[#This Row],[Tulu/kulu liik2]],Table5[[Tulu/kulu liik]:[Kontode koondnimetus]],4,FALSE)</f>
        <v>Muud tegevuskulud</v>
      </c>
      <c r="O107" s="34" t="str">
        <f>VLOOKUP(Table2[[#This Row],[Tulu/kulu liik2]],Table5[],6,FALSE)</f>
        <v>Majandamiskulud</v>
      </c>
      <c r="P107" s="3" t="str">
        <f>VLOOKUP(Table2[[#This Row],[Tulu/kulu liik2]],Table5[],5,FALSE)</f>
        <v>Põhitegevuse kulu</v>
      </c>
    </row>
    <row r="108" spans="1:16" hidden="1" x14ac:dyDescent="0.25">
      <c r="A108" t="str">
        <f t="shared" si="2"/>
        <v>04</v>
      </c>
      <c r="B108" s="33" t="s">
        <v>32</v>
      </c>
      <c r="C108" s="3" t="str">
        <f>VLOOKUP(Table2[[#This Row],[Tegevusala]],Table4[],2,FALSE)</f>
        <v xml:space="preserve"> Side</v>
      </c>
      <c r="D108" s="3" t="str">
        <f>VLOOKUP(Table2[[#This Row],[Tegevusala]],Table4[[Tegevusala kood]:[Tegevusala alanimetus]],4,FALSE)</f>
        <v>Side</v>
      </c>
      <c r="E108" s="3" t="str">
        <f>VLOOKUP(Table2[[#This Row],[Tegevusala nimetus2]],Table4[[Tegevusala nimetus]:[Tegevusala koondnimetus]],2,FALSE)</f>
        <v>Majandus</v>
      </c>
      <c r="F108" t="s">
        <v>783</v>
      </c>
      <c r="G108" t="s">
        <v>1995</v>
      </c>
      <c r="H108" s="40">
        <v>5000</v>
      </c>
      <c r="J108">
        <v>5514</v>
      </c>
      <c r="K108" s="3" t="str">
        <f>VLOOKUP(Table2[[#This Row],[Konto]],Table5[[Konto]:[Konto nimetus]],2,FALSE)</f>
        <v>Info- ja kommunikatsioonitehnoliigised kulud</v>
      </c>
      <c r="L108">
        <v>55</v>
      </c>
      <c r="M108" t="str">
        <f t="shared" si="3"/>
        <v>55</v>
      </c>
      <c r="N108" s="3" t="str">
        <f>VLOOKUP(Table2[[#This Row],[Tulu/kulu liik2]],Table5[[Tulu/kulu liik]:[Kontode koondnimetus]],4,FALSE)</f>
        <v>Muud tegevuskulud</v>
      </c>
      <c r="O108" s="34" t="str">
        <f>VLOOKUP(Table2[[#This Row],[Tulu/kulu liik2]],Table5[],6,FALSE)</f>
        <v>Majandamiskulud</v>
      </c>
      <c r="P108" s="3" t="str">
        <f>VLOOKUP(Table2[[#This Row],[Tulu/kulu liik2]],Table5[],5,FALSE)</f>
        <v>Põhitegevuse kulu</v>
      </c>
    </row>
    <row r="109" spans="1:16" hidden="1" x14ac:dyDescent="0.25">
      <c r="A109" t="str">
        <f t="shared" si="2"/>
        <v>04</v>
      </c>
      <c r="B109" s="33" t="s">
        <v>32</v>
      </c>
      <c r="C109" s="3" t="str">
        <f>VLOOKUP(Table2[[#This Row],[Tegevusala]],Table4[],2,FALSE)</f>
        <v xml:space="preserve"> Side</v>
      </c>
      <c r="D109" s="3" t="str">
        <f>VLOOKUP(Table2[[#This Row],[Tegevusala]],Table4[[Tegevusala kood]:[Tegevusala alanimetus]],4,FALSE)</f>
        <v>Side</v>
      </c>
      <c r="E109" s="3" t="str">
        <f>VLOOKUP(Table2[[#This Row],[Tegevusala nimetus2]],Table4[[Tegevusala nimetus]:[Tegevusala koondnimetus]],2,FALSE)</f>
        <v>Majandus</v>
      </c>
      <c r="F109" t="s">
        <v>783</v>
      </c>
      <c r="G109" t="s">
        <v>1996</v>
      </c>
      <c r="H109" s="40">
        <v>149.76</v>
      </c>
      <c r="J109">
        <v>5514</v>
      </c>
      <c r="K109" s="3" t="str">
        <f>VLOOKUP(Table2[[#This Row],[Konto]],Table5[[Konto]:[Konto nimetus]],2,FALSE)</f>
        <v>Info- ja kommunikatsioonitehnoliigised kulud</v>
      </c>
      <c r="L109">
        <v>55</v>
      </c>
      <c r="M109" t="str">
        <f t="shared" si="3"/>
        <v>55</v>
      </c>
      <c r="N109" s="3" t="str">
        <f>VLOOKUP(Table2[[#This Row],[Tulu/kulu liik2]],Table5[[Tulu/kulu liik]:[Kontode koondnimetus]],4,FALSE)</f>
        <v>Muud tegevuskulud</v>
      </c>
      <c r="O109" s="34" t="str">
        <f>VLOOKUP(Table2[[#This Row],[Tulu/kulu liik2]],Table5[],6,FALSE)</f>
        <v>Majandamiskulud</v>
      </c>
      <c r="P109" s="3" t="str">
        <f>VLOOKUP(Table2[[#This Row],[Tulu/kulu liik2]],Table5[],5,FALSE)</f>
        <v>Põhitegevuse kulu</v>
      </c>
    </row>
    <row r="110" spans="1:16" hidden="1" x14ac:dyDescent="0.25">
      <c r="A110" t="str">
        <f t="shared" si="2"/>
        <v>04</v>
      </c>
      <c r="B110" s="33" t="s">
        <v>32</v>
      </c>
      <c r="C110" s="3" t="str">
        <f>VLOOKUP(Table2[[#This Row],[Tegevusala]],Table4[],2,FALSE)</f>
        <v xml:space="preserve"> Side</v>
      </c>
      <c r="D110" s="3" t="str">
        <f>VLOOKUP(Table2[[#This Row],[Tegevusala]],Table4[[Tegevusala kood]:[Tegevusala alanimetus]],4,FALSE)</f>
        <v>Side</v>
      </c>
      <c r="E110" s="3" t="str">
        <f>VLOOKUP(Table2[[#This Row],[Tegevusala nimetus2]],Table4[[Tegevusala nimetus]:[Tegevusala koondnimetus]],2,FALSE)</f>
        <v>Majandus</v>
      </c>
      <c r="F110" t="s">
        <v>783</v>
      </c>
      <c r="G110" t="s">
        <v>1997</v>
      </c>
      <c r="H110" s="40">
        <v>994.8</v>
      </c>
      <c r="J110">
        <v>5514</v>
      </c>
      <c r="K110" s="3" t="str">
        <f>VLOOKUP(Table2[[#This Row],[Konto]],Table5[[Konto]:[Konto nimetus]],2,FALSE)</f>
        <v>Info- ja kommunikatsioonitehnoliigised kulud</v>
      </c>
      <c r="L110">
        <v>55</v>
      </c>
      <c r="M110" t="str">
        <f t="shared" si="3"/>
        <v>55</v>
      </c>
      <c r="N110" s="3" t="str">
        <f>VLOOKUP(Table2[[#This Row],[Tulu/kulu liik2]],Table5[[Tulu/kulu liik]:[Kontode koondnimetus]],4,FALSE)</f>
        <v>Muud tegevuskulud</v>
      </c>
      <c r="O110" s="34" t="str">
        <f>VLOOKUP(Table2[[#This Row],[Tulu/kulu liik2]],Table5[],6,FALSE)</f>
        <v>Majandamiskulud</v>
      </c>
      <c r="P110" s="3" t="str">
        <f>VLOOKUP(Table2[[#This Row],[Tulu/kulu liik2]],Table5[],5,FALSE)</f>
        <v>Põhitegevuse kulu</v>
      </c>
    </row>
    <row r="111" spans="1:16" hidden="1" x14ac:dyDescent="0.25">
      <c r="A111" t="str">
        <f t="shared" si="2"/>
        <v>04</v>
      </c>
      <c r="B111" s="33" t="s">
        <v>32</v>
      </c>
      <c r="C111" s="3" t="str">
        <f>VLOOKUP(Table2[[#This Row],[Tegevusala]],Table4[],2,FALSE)</f>
        <v xml:space="preserve"> Side</v>
      </c>
      <c r="D111" s="3" t="str">
        <f>VLOOKUP(Table2[[#This Row],[Tegevusala]],Table4[[Tegevusala kood]:[Tegevusala alanimetus]],4,FALSE)</f>
        <v>Side</v>
      </c>
      <c r="E111" s="3" t="str">
        <f>VLOOKUP(Table2[[#This Row],[Tegevusala nimetus2]],Table4[[Tegevusala nimetus]:[Tegevusala koondnimetus]],2,FALSE)</f>
        <v>Majandus</v>
      </c>
      <c r="F111" t="s">
        <v>783</v>
      </c>
      <c r="G111" t="s">
        <v>1998</v>
      </c>
      <c r="H111" s="40">
        <v>8000</v>
      </c>
      <c r="J111">
        <v>5514</v>
      </c>
      <c r="K111" s="3" t="str">
        <f>VLOOKUP(Table2[[#This Row],[Konto]],Table5[[Konto]:[Konto nimetus]],2,FALSE)</f>
        <v>Info- ja kommunikatsioonitehnoliigised kulud</v>
      </c>
      <c r="L111">
        <v>55</v>
      </c>
      <c r="M111" t="str">
        <f t="shared" si="3"/>
        <v>55</v>
      </c>
      <c r="N111" s="3" t="str">
        <f>VLOOKUP(Table2[[#This Row],[Tulu/kulu liik2]],Table5[[Tulu/kulu liik]:[Kontode koondnimetus]],4,FALSE)</f>
        <v>Muud tegevuskulud</v>
      </c>
      <c r="O111" s="34" t="str">
        <f>VLOOKUP(Table2[[#This Row],[Tulu/kulu liik2]],Table5[],6,FALSE)</f>
        <v>Majandamiskulud</v>
      </c>
      <c r="P111" s="3" t="str">
        <f>VLOOKUP(Table2[[#This Row],[Tulu/kulu liik2]],Table5[],5,FALSE)</f>
        <v>Põhitegevuse kulu</v>
      </c>
    </row>
    <row r="112" spans="1:16" x14ac:dyDescent="0.25">
      <c r="A112" t="str">
        <f t="shared" si="2"/>
        <v>04</v>
      </c>
      <c r="B112" t="s">
        <v>34</v>
      </c>
      <c r="C112" s="3" t="str">
        <f>VLOOKUP(Table2[[#This Row],[Tegevusala]],Table4[],2,FALSE)</f>
        <v xml:space="preserve"> Muu majandus (sh majanduse haldus)</v>
      </c>
      <c r="D112" s="3" t="str">
        <f>VLOOKUP(Table2[[#This Row],[Tegevusala]],Table4[[Tegevusala kood]:[Tegevusala alanimetus]],4,FALSE)</f>
        <v>Muu majandus (sh majanduse haldus)</v>
      </c>
      <c r="E112" s="3" t="str">
        <f>VLOOKUP(Table2[[#This Row],[Tegevusala nimetus2]],Table4[[Tegevusala nimetus]:[Tegevusala koondnimetus]],2,FALSE)</f>
        <v>Majandus</v>
      </c>
      <c r="F112" s="14" t="s">
        <v>823</v>
      </c>
      <c r="G112" t="s">
        <v>934</v>
      </c>
      <c r="H112" s="40">
        <v>1750</v>
      </c>
      <c r="J112">
        <v>5511</v>
      </c>
      <c r="K112" s="3" t="str">
        <f>VLOOKUP(Table2[[#This Row],[Konto]],Table5[[Konto]:[Konto nimetus]],2,FALSE)</f>
        <v>Kinnistute, hoonete ja ruumide majandamiskulud</v>
      </c>
      <c r="L112">
        <v>55</v>
      </c>
      <c r="M112" t="str">
        <f t="shared" si="3"/>
        <v>55</v>
      </c>
      <c r="N112" s="3" t="str">
        <f>VLOOKUP(Table2[[#This Row],[Tulu/kulu liik2]],Table5[[Tulu/kulu liik]:[Kontode koondnimetus]],4,FALSE)</f>
        <v>Muud tegevuskulud</v>
      </c>
      <c r="O112" s="3" t="str">
        <f>VLOOKUP(Table2[[#This Row],[Tulu/kulu liik2]],Table5[],6,FALSE)</f>
        <v>Majandamiskulud</v>
      </c>
      <c r="P112" s="3" t="str">
        <f>VLOOKUP(Table2[[#This Row],[Tulu/kulu liik2]],Table5[],5,FALSE)</f>
        <v>Põhitegevuse kulu</v>
      </c>
    </row>
    <row r="113" spans="1:16" x14ac:dyDescent="0.25">
      <c r="A113" s="33" t="str">
        <f t="shared" si="2"/>
        <v>04</v>
      </c>
      <c r="B113" s="33" t="s">
        <v>34</v>
      </c>
      <c r="C113" s="34" t="str">
        <f>VLOOKUP(Table2[[#This Row],[Tegevusala]],Table4[],2,FALSE)</f>
        <v xml:space="preserve"> Muu majandus (sh majanduse haldus)</v>
      </c>
      <c r="D113" s="34" t="str">
        <f>VLOOKUP(Table2[[#This Row],[Tegevusala]],Table4[[Tegevusala kood]:[Tegevusala alanimetus]],4,FALSE)</f>
        <v>Muu majandus (sh majanduse haldus)</v>
      </c>
      <c r="E113" s="34" t="str">
        <f>VLOOKUP(Table2[[#This Row],[Tegevusala nimetus2]],Table4[[Tegevusala nimetus]:[Tegevusala koondnimetus]],2,FALSE)</f>
        <v>Majandus</v>
      </c>
      <c r="F113" s="33" t="s">
        <v>630</v>
      </c>
      <c r="G113" s="33" t="s">
        <v>824</v>
      </c>
      <c r="H113" s="47">
        <v>15000</v>
      </c>
      <c r="I113" s="35"/>
      <c r="J113" s="33">
        <v>45028</v>
      </c>
      <c r="K113" s="34" t="str">
        <f>VLOOKUP(Table2[[#This Row],[Konto]],Table5[[Konto]:[Konto nimetus]],2,FALSE)</f>
        <v>Sihtotstarbelised eraldised põhivara soetamiseks muudele residentidele</v>
      </c>
      <c r="L113" s="33">
        <v>4502</v>
      </c>
      <c r="M113" s="33" t="str">
        <f t="shared" si="3"/>
        <v>45</v>
      </c>
      <c r="N113" s="34" t="str">
        <f>VLOOKUP(Table2[[#This Row],[Tulu/kulu liik2]],Table5[[Tulu/kulu liik]:[Kontode koondnimetus]],4,FALSE)</f>
        <v>Põhivara soetuseks antav sihtfinantseerimine (-)</v>
      </c>
      <c r="O113" s="34" t="str">
        <f>VLOOKUP(Table2[[#This Row],[Tulu/kulu liik2]],Table5[],6,FALSE)</f>
        <v>Põhivara soetuseks antav sihtfinantseerimine (-)</v>
      </c>
      <c r="P113" s="34" t="str">
        <f>VLOOKUP(Table2[[#This Row],[Tulu/kulu liik2]],Table5[],5,FALSE)</f>
        <v>Investeerimistegevus</v>
      </c>
    </row>
    <row r="114" spans="1:16" x14ac:dyDescent="0.25">
      <c r="A114" s="33" t="str">
        <f t="shared" si="2"/>
        <v>04</v>
      </c>
      <c r="B114" s="33" t="s">
        <v>34</v>
      </c>
      <c r="C114" s="34" t="str">
        <f>VLOOKUP(Table2[[#This Row],[Tegevusala]],Table4[],2,FALSE)</f>
        <v xml:space="preserve"> Muu majandus (sh majanduse haldus)</v>
      </c>
      <c r="D114" s="34" t="str">
        <f>VLOOKUP(Table2[[#This Row],[Tegevusala]],Table4[[Tegevusala kood]:[Tegevusala alanimetus]],4,FALSE)</f>
        <v>Muu majandus (sh majanduse haldus)</v>
      </c>
      <c r="E114" s="34" t="str">
        <f>VLOOKUP(Table2[[#This Row],[Tegevusala nimetus2]],Table4[[Tegevusala nimetus]:[Tegevusala koondnimetus]],2,FALSE)</f>
        <v>Majandus</v>
      </c>
      <c r="F114" s="33" t="s">
        <v>606</v>
      </c>
      <c r="G114" s="33" t="s">
        <v>775</v>
      </c>
      <c r="H114" s="47">
        <v>550</v>
      </c>
      <c r="I114" s="35"/>
      <c r="J114" s="33">
        <v>5500</v>
      </c>
      <c r="K114" s="34" t="str">
        <f>VLOOKUP(Table2[[#This Row],[Konto]],Table5[[Konto]:[Konto nimetus]],2,FALSE)</f>
        <v>Administreerimiskulud</v>
      </c>
      <c r="L114" s="33">
        <v>55</v>
      </c>
      <c r="M114" s="33" t="str">
        <f t="shared" si="3"/>
        <v>55</v>
      </c>
      <c r="N114" s="34" t="str">
        <f>VLOOKUP(Table2[[#This Row],[Tulu/kulu liik2]],Table5[[Tulu/kulu liik]:[Kontode koondnimetus]],4,FALSE)</f>
        <v>Muud tegevuskulud</v>
      </c>
      <c r="O114" s="34" t="str">
        <f>VLOOKUP(Table2[[#This Row],[Tulu/kulu liik2]],Table5[],6,FALSE)</f>
        <v>Majandamiskulud</v>
      </c>
      <c r="P114" s="34" t="str">
        <f>VLOOKUP(Table2[[#This Row],[Tulu/kulu liik2]],Table5[],5,FALSE)</f>
        <v>Põhitegevuse kulu</v>
      </c>
    </row>
    <row r="115" spans="1:16" x14ac:dyDescent="0.25">
      <c r="A115" t="str">
        <f t="shared" si="2"/>
        <v>04</v>
      </c>
      <c r="B115" t="s">
        <v>34</v>
      </c>
      <c r="C115" s="3" t="str">
        <f>VLOOKUP(Table2[[#This Row],[Tegevusala]],Table4[],2,FALSE)</f>
        <v xml:space="preserve"> Muu majandus (sh majanduse haldus)</v>
      </c>
      <c r="D115" s="3" t="str">
        <f>VLOOKUP(Table2[[#This Row],[Tegevusala]],Table4[[Tegevusala kood]:[Tegevusala alanimetus]],4,FALSE)</f>
        <v>Muu majandus (sh majanduse haldus)</v>
      </c>
      <c r="E115" s="3" t="str">
        <f>VLOOKUP(Table2[[#This Row],[Tegevusala nimetus2]],Table4[[Tegevusala nimetus]:[Tegevusala koondnimetus]],2,FALSE)</f>
        <v>Majandus</v>
      </c>
      <c r="F115" t="s">
        <v>606</v>
      </c>
      <c r="G115" t="s">
        <v>424</v>
      </c>
      <c r="H115" s="40">
        <f>(11*150)+(11*335)+(11*150)+(11*150)+(5*150)</f>
        <v>9385</v>
      </c>
      <c r="I115" s="2" t="s">
        <v>2094</v>
      </c>
      <c r="J115">
        <v>5513</v>
      </c>
      <c r="K115" s="3" t="str">
        <f>VLOOKUP(Table2[[#This Row],[Konto]],Table5[[Konto]:[Konto nimetus]],2,FALSE)</f>
        <v>Sõidukite ülalpidamise kulud</v>
      </c>
      <c r="L115">
        <v>55</v>
      </c>
      <c r="M115" t="str">
        <f t="shared" si="3"/>
        <v>55</v>
      </c>
      <c r="N115" s="3" t="str">
        <f>VLOOKUP(Table2[[#This Row],[Tulu/kulu liik2]],Table5[[Tulu/kulu liik]:[Kontode koondnimetus]],4,FALSE)</f>
        <v>Muud tegevuskulud</v>
      </c>
      <c r="O115" s="3" t="str">
        <f>VLOOKUP(Table2[[#This Row],[Tulu/kulu liik2]],Table5[],6,FALSE)</f>
        <v>Majandamiskulud</v>
      </c>
      <c r="P115" s="3" t="str">
        <f>VLOOKUP(Table2[[#This Row],[Tulu/kulu liik2]],Table5[],5,FALSE)</f>
        <v>Põhitegevuse kulu</v>
      </c>
    </row>
    <row r="116" spans="1:16" x14ac:dyDescent="0.25">
      <c r="A116" s="33" t="str">
        <f t="shared" si="2"/>
        <v>04</v>
      </c>
      <c r="B116" s="33" t="s">
        <v>34</v>
      </c>
      <c r="C116" s="34" t="str">
        <f>VLOOKUP(Table2[[#This Row],[Tegevusala]],Table4[],2,FALSE)</f>
        <v xml:space="preserve"> Muu majandus (sh majanduse haldus)</v>
      </c>
      <c r="D116" s="34" t="str">
        <f>VLOOKUP(Table2[[#This Row],[Tegevusala]],Table4[[Tegevusala kood]:[Tegevusala alanimetus]],4,FALSE)</f>
        <v>Muu majandus (sh majanduse haldus)</v>
      </c>
      <c r="E116" s="34" t="str">
        <f>VLOOKUP(Table2[[#This Row],[Tegevusala nimetus2]],Table4[[Tegevusala nimetus]:[Tegevusala koondnimetus]],2,FALSE)</f>
        <v>Majandus</v>
      </c>
      <c r="F116" s="33" t="s">
        <v>606</v>
      </c>
      <c r="G116" s="33" t="s">
        <v>391</v>
      </c>
      <c r="H116" s="47">
        <f>4*400</f>
        <v>1600</v>
      </c>
      <c r="I116" s="35" t="s">
        <v>2093</v>
      </c>
      <c r="J116" s="33">
        <v>5504</v>
      </c>
      <c r="K116" s="34" t="str">
        <f>VLOOKUP(Table2[[#This Row],[Konto]],Table5[[Konto]:[Konto nimetus]],2,FALSE)</f>
        <v>Koolituskulud</v>
      </c>
      <c r="L116" s="33">
        <v>55</v>
      </c>
      <c r="M116" s="33" t="str">
        <f t="shared" si="3"/>
        <v>55</v>
      </c>
      <c r="N116" s="34" t="str">
        <f>VLOOKUP(Table2[[#This Row],[Tulu/kulu liik2]],Table5[[Tulu/kulu liik]:[Kontode koondnimetus]],4,FALSE)</f>
        <v>Muud tegevuskulud</v>
      </c>
      <c r="O116" s="34" t="str">
        <f>VLOOKUP(Table2[[#This Row],[Tulu/kulu liik2]],Table5[],6,FALSE)</f>
        <v>Majandamiskulud</v>
      </c>
      <c r="P116" s="34" t="str">
        <f>VLOOKUP(Table2[[#This Row],[Tulu/kulu liik2]],Table5[],5,FALSE)</f>
        <v>Põhitegevuse kulu</v>
      </c>
    </row>
    <row r="117" spans="1:16" x14ac:dyDescent="0.25">
      <c r="A117" t="str">
        <f t="shared" si="2"/>
        <v>04</v>
      </c>
      <c r="B117" t="s">
        <v>34</v>
      </c>
      <c r="C117" s="3" t="str">
        <f>VLOOKUP(Table2[[#This Row],[Tegevusala]],Table4[],2,FALSE)</f>
        <v xml:space="preserve"> Muu majandus (sh majanduse haldus)</v>
      </c>
      <c r="D117" s="3" t="str">
        <f>VLOOKUP(Table2[[#This Row],[Tegevusala]],Table4[[Tegevusala kood]:[Tegevusala alanimetus]],4,FALSE)</f>
        <v>Muu majandus (sh majanduse haldus)</v>
      </c>
      <c r="E117" s="3" t="str">
        <f>VLOOKUP(Table2[[#This Row],[Tegevusala nimetus2]],Table4[[Tegevusala nimetus]:[Tegevusala koondnimetus]],2,FALSE)</f>
        <v>Majandus</v>
      </c>
      <c r="F117" t="s">
        <v>606</v>
      </c>
      <c r="G117" t="s">
        <v>797</v>
      </c>
      <c r="H117" s="40">
        <f>4*400</f>
        <v>1600</v>
      </c>
      <c r="J117">
        <v>5540</v>
      </c>
      <c r="K117" s="3" t="str">
        <f>VLOOKUP(Table2[[#This Row],[Konto]],Table5[[Konto]:[Konto nimetus]],2,FALSE)</f>
        <v>Mitmesugused majanduskulud</v>
      </c>
      <c r="L117">
        <v>55</v>
      </c>
      <c r="M117" t="str">
        <f t="shared" si="3"/>
        <v>55</v>
      </c>
      <c r="N117" s="3" t="str">
        <f>VLOOKUP(Table2[[#This Row],[Tulu/kulu liik2]],Table5[[Tulu/kulu liik]:[Kontode koondnimetus]],4,FALSE)</f>
        <v>Muud tegevuskulud</v>
      </c>
      <c r="O117" s="3" t="str">
        <f>VLOOKUP(Table2[[#This Row],[Tulu/kulu liik2]],Table5[],6,FALSE)</f>
        <v>Majandamiskulud</v>
      </c>
      <c r="P117" s="3" t="str">
        <f>VLOOKUP(Table2[[#This Row],[Tulu/kulu liik2]],Table5[],5,FALSE)</f>
        <v>Põhitegevuse kulu</v>
      </c>
    </row>
    <row r="118" spans="1:16" x14ac:dyDescent="0.25">
      <c r="A118" t="str">
        <f t="shared" si="2"/>
        <v>04</v>
      </c>
      <c r="B118" t="s">
        <v>34</v>
      </c>
      <c r="C118" s="3" t="str">
        <f>VLOOKUP(Table2[[#This Row],[Tegevusala]],Table4[],2,FALSE)</f>
        <v xml:space="preserve"> Muu majandus (sh majanduse haldus)</v>
      </c>
      <c r="D118" s="3" t="str">
        <f>VLOOKUP(Table2[[#This Row],[Tegevusala]],Table4[[Tegevusala kood]:[Tegevusala alanimetus]],4,FALSE)</f>
        <v>Muu majandus (sh majanduse haldus)</v>
      </c>
      <c r="E118" s="3" t="str">
        <f>VLOOKUP(Table2[[#This Row],[Tegevusala nimetus2]],Table4[[Tegevusala nimetus]:[Tegevusala koondnimetus]],2,FALSE)</f>
        <v>Majandus</v>
      </c>
      <c r="F118" t="s">
        <v>630</v>
      </c>
      <c r="G118" t="s">
        <v>936</v>
      </c>
      <c r="H118" s="40">
        <v>70000</v>
      </c>
      <c r="J118">
        <v>45028</v>
      </c>
      <c r="K118" s="3" t="str">
        <f>VLOOKUP(Table2[[#This Row],[Konto]],Table5[[Konto]:[Konto nimetus]],2,FALSE)</f>
        <v>Sihtotstarbelised eraldised põhivara soetamiseks muudele residentidele</v>
      </c>
      <c r="L118">
        <v>4502</v>
      </c>
      <c r="M118" t="str">
        <f t="shared" si="3"/>
        <v>45</v>
      </c>
      <c r="N118" s="3" t="str">
        <f>VLOOKUP(Table2[[#This Row],[Tulu/kulu liik2]],Table5[[Tulu/kulu liik]:[Kontode koondnimetus]],4,FALSE)</f>
        <v>Põhivara soetuseks antav sihtfinantseerimine (-)</v>
      </c>
      <c r="O118" s="3" t="str">
        <f>VLOOKUP(Table2[[#This Row],[Tulu/kulu liik2]],Table5[],6,FALSE)</f>
        <v>Põhivara soetuseks antav sihtfinantseerimine (-)</v>
      </c>
      <c r="P118" s="3" t="str">
        <f>VLOOKUP(Table2[[#This Row],[Tulu/kulu liik2]],Table5[],5,FALSE)</f>
        <v>Investeerimistegevus</v>
      </c>
    </row>
    <row r="119" spans="1:16" x14ac:dyDescent="0.25">
      <c r="A119" t="str">
        <f t="shared" si="2"/>
        <v>04</v>
      </c>
      <c r="B119" t="s">
        <v>34</v>
      </c>
      <c r="C119" s="3" t="str">
        <f>VLOOKUP(Table2[[#This Row],[Tegevusala]],Table4[],2,FALSE)</f>
        <v xml:space="preserve"> Muu majandus (sh majanduse haldus)</v>
      </c>
      <c r="D119" s="3" t="str">
        <f>VLOOKUP(Table2[[#This Row],[Tegevusala]],Table4[[Tegevusala kood]:[Tegevusala alanimetus]],4,FALSE)</f>
        <v>Muu majandus (sh majanduse haldus)</v>
      </c>
      <c r="E119" s="3" t="str">
        <f>VLOOKUP(Table2[[#This Row],[Tegevusala nimetus2]],Table4[[Tegevusala nimetus]:[Tegevusala koondnimetus]],2,FALSE)</f>
        <v>Majandus</v>
      </c>
      <c r="F119" s="14" t="s">
        <v>823</v>
      </c>
      <c r="G119" t="s">
        <v>935</v>
      </c>
      <c r="H119" s="40">
        <v>1114.5</v>
      </c>
      <c r="J119">
        <v>5500</v>
      </c>
      <c r="K119" s="3" t="str">
        <f>VLOOKUP(Table2[[#This Row],[Konto]],Table5[[Konto]:[Konto nimetus]],2,FALSE)</f>
        <v>Administreerimiskulud</v>
      </c>
      <c r="L119">
        <v>55</v>
      </c>
      <c r="M119" t="str">
        <f t="shared" si="3"/>
        <v>55</v>
      </c>
      <c r="N119" s="3" t="str">
        <f>VLOOKUP(Table2[[#This Row],[Tulu/kulu liik2]],Table5[[Tulu/kulu liik]:[Kontode koondnimetus]],4,FALSE)</f>
        <v>Muud tegevuskulud</v>
      </c>
      <c r="O119" s="3" t="str">
        <f>VLOOKUP(Table2[[#This Row],[Tulu/kulu liik2]],Table5[],6,FALSE)</f>
        <v>Majandamiskulud</v>
      </c>
      <c r="P119" s="3" t="str">
        <f>VLOOKUP(Table2[[#This Row],[Tulu/kulu liik2]],Table5[],5,FALSE)</f>
        <v>Põhitegevuse kulu</v>
      </c>
    </row>
    <row r="120" spans="1:16" x14ac:dyDescent="0.25">
      <c r="A120" t="str">
        <f t="shared" si="2"/>
        <v>04</v>
      </c>
      <c r="B120" t="s">
        <v>34</v>
      </c>
      <c r="C120" s="3" t="str">
        <f>VLOOKUP(Table2[[#This Row],[Tegevusala]],Table4[],2,FALSE)</f>
        <v xml:space="preserve"> Muu majandus (sh majanduse haldus)</v>
      </c>
      <c r="D120" s="3" t="str">
        <f>VLOOKUP(Table2[[#This Row],[Tegevusala]],Table4[[Tegevusala kood]:[Tegevusala alanimetus]],4,FALSE)</f>
        <v>Muu majandus (sh majanduse haldus)</v>
      </c>
      <c r="E120" s="3" t="str">
        <f>VLOOKUP(Table2[[#This Row],[Tegevusala nimetus2]],Table4[[Tegevusala nimetus]:[Tegevusala koondnimetus]],2,FALSE)</f>
        <v>Majandus</v>
      </c>
      <c r="F120" t="s">
        <v>1023</v>
      </c>
      <c r="G120" t="s">
        <v>1926</v>
      </c>
      <c r="H120" s="40">
        <v>1500</v>
      </c>
      <c r="J120">
        <v>45008</v>
      </c>
      <c r="K120" s="3" t="str">
        <f>VLOOKUP(Table2[[#This Row],[Konto]],Table5[[Konto]:[Konto nimetus]],2,FALSE)</f>
        <v>Sihtotstarbelised eraldised muudele residentidele</v>
      </c>
      <c r="L120">
        <v>4500</v>
      </c>
      <c r="M120" t="str">
        <f t="shared" si="3"/>
        <v>45</v>
      </c>
      <c r="N120" s="3" t="str">
        <f>VLOOKUP(Table2[[#This Row],[Tulu/kulu liik2]],Table5[[Tulu/kulu liik]:[Kontode koondnimetus]],4,FALSE)</f>
        <v>Antavad toetused tegevuskuludeks</v>
      </c>
      <c r="O120" s="3" t="str">
        <f>VLOOKUP(Table2[[#This Row],[Tulu/kulu liik2]],Table5[],6,FALSE)</f>
        <v>Sihtotstarbelised toetused tegevuskuludeks</v>
      </c>
      <c r="P120" s="3" t="str">
        <f>VLOOKUP(Table2[[#This Row],[Tulu/kulu liik2]],Table5[],5,FALSE)</f>
        <v>Põhitegevuse kulu</v>
      </c>
    </row>
    <row r="121" spans="1:16" x14ac:dyDescent="0.25">
      <c r="A121" t="str">
        <f t="shared" si="2"/>
        <v>04</v>
      </c>
      <c r="B121" t="s">
        <v>34</v>
      </c>
      <c r="C121" s="3" t="str">
        <f>VLOOKUP(Table2[[#This Row],[Tegevusala]],Table4[],2,FALSE)</f>
        <v xml:space="preserve"> Muu majandus (sh majanduse haldus)</v>
      </c>
      <c r="D121" s="3" t="str">
        <f>VLOOKUP(Table2[[#This Row],[Tegevusala]],Table4[[Tegevusala kood]:[Tegevusala alanimetus]],4,FALSE)</f>
        <v>Muu majandus (sh majanduse haldus)</v>
      </c>
      <c r="E121" s="3" t="str">
        <f>VLOOKUP(Table2[[#This Row],[Tegevusala nimetus2]],Table4[[Tegevusala nimetus]:[Tegevusala koondnimetus]],2,FALSE)</f>
        <v>Majandus</v>
      </c>
      <c r="F121" t="s">
        <v>1023</v>
      </c>
      <c r="G121" t="s">
        <v>1927</v>
      </c>
      <c r="H121" s="40">
        <v>1500</v>
      </c>
      <c r="I121" s="2" t="s">
        <v>2134</v>
      </c>
      <c r="J121">
        <v>45008</v>
      </c>
      <c r="K121" s="3" t="str">
        <f>VLOOKUP(Table2[[#This Row],[Konto]],Table5[[Konto]:[Konto nimetus]],2,FALSE)</f>
        <v>Sihtotstarbelised eraldised muudele residentidele</v>
      </c>
      <c r="L121">
        <v>4500</v>
      </c>
      <c r="M121" t="str">
        <f t="shared" si="3"/>
        <v>45</v>
      </c>
      <c r="N121" s="3" t="str">
        <f>VLOOKUP(Table2[[#This Row],[Tulu/kulu liik2]],Table5[[Tulu/kulu liik]:[Kontode koondnimetus]],4,FALSE)</f>
        <v>Antavad toetused tegevuskuludeks</v>
      </c>
      <c r="O121" s="3" t="str">
        <f>VLOOKUP(Table2[[#This Row],[Tulu/kulu liik2]],Table5[],6,FALSE)</f>
        <v>Sihtotstarbelised toetused tegevuskuludeks</v>
      </c>
      <c r="P121" s="3" t="str">
        <f>VLOOKUP(Table2[[#This Row],[Tulu/kulu liik2]],Table5[],5,FALSE)</f>
        <v>Põhitegevuse kulu</v>
      </c>
    </row>
    <row r="122" spans="1:16" x14ac:dyDescent="0.25">
      <c r="A122" t="str">
        <f t="shared" si="2"/>
        <v>04</v>
      </c>
      <c r="B122" t="s">
        <v>34</v>
      </c>
      <c r="C122" s="3" t="str">
        <f>VLOOKUP(Table2[[#This Row],[Tegevusala]],Table4[],2,FALSE)</f>
        <v xml:space="preserve"> Muu majandus (sh majanduse haldus)</v>
      </c>
      <c r="D122" s="3" t="str">
        <f>VLOOKUP(Table2[[#This Row],[Tegevusala]],Table4[[Tegevusala kood]:[Tegevusala alanimetus]],4,FALSE)</f>
        <v>Muu majandus (sh majanduse haldus)</v>
      </c>
      <c r="E122" s="3" t="str">
        <f>VLOOKUP(Table2[[#This Row],[Tegevusala nimetus2]],Table4[[Tegevusala nimetus]:[Tegevusala koondnimetus]],2,FALSE)</f>
        <v>Majandus</v>
      </c>
      <c r="F122" t="s">
        <v>786</v>
      </c>
      <c r="G122" t="s">
        <v>2095</v>
      </c>
      <c r="H122" s="40">
        <f>37.2*12</f>
        <v>446.40000000000003</v>
      </c>
      <c r="I122" s="2" t="s">
        <v>2096</v>
      </c>
      <c r="J122">
        <v>5514</v>
      </c>
      <c r="K122" s="3" t="str">
        <f>VLOOKUP(Table2[[#This Row],[Konto]],Table5[[Konto]:[Konto nimetus]],2,FALSE)</f>
        <v>Info- ja kommunikatsioonitehnoliigised kulud</v>
      </c>
      <c r="L122">
        <v>55</v>
      </c>
      <c r="M122" t="str">
        <f t="shared" si="3"/>
        <v>55</v>
      </c>
      <c r="N122" s="3" t="str">
        <f>VLOOKUP(Table2[[#This Row],[Tulu/kulu liik2]],Table5[[Tulu/kulu liik]:[Kontode koondnimetus]],4,FALSE)</f>
        <v>Muud tegevuskulud</v>
      </c>
      <c r="O122" s="34" t="str">
        <f>VLOOKUP(Table2[[#This Row],[Tulu/kulu liik2]],Table5[],6,FALSE)</f>
        <v>Majandamiskulud</v>
      </c>
      <c r="P122" s="3" t="str">
        <f>VLOOKUP(Table2[[#This Row],[Tulu/kulu liik2]],Table5[],5,FALSE)</f>
        <v>Põhitegevuse kulu</v>
      </c>
    </row>
    <row r="123" spans="1:16" x14ac:dyDescent="0.25">
      <c r="A123" t="str">
        <f t="shared" si="2"/>
        <v>04</v>
      </c>
      <c r="B123" t="s">
        <v>34</v>
      </c>
      <c r="C123" s="3" t="str">
        <f>VLOOKUP(Table2[[#This Row],[Tegevusala]],Table4[],2,FALSE)</f>
        <v xml:space="preserve"> Muu majandus (sh majanduse haldus)</v>
      </c>
      <c r="D123" s="3" t="str">
        <f>VLOOKUP(Table2[[#This Row],[Tegevusala]],Table4[[Tegevusala kood]:[Tegevusala alanimetus]],4,FALSE)</f>
        <v>Muu majandus (sh majanduse haldus)</v>
      </c>
      <c r="E123" s="3" t="str">
        <f>VLOOKUP(Table2[[#This Row],[Tegevusala nimetus2]],Table4[[Tegevusala nimetus]:[Tegevusala koondnimetus]],2,FALSE)</f>
        <v>Majandus</v>
      </c>
      <c r="F123" t="s">
        <v>786</v>
      </c>
      <c r="G123" t="s">
        <v>2097</v>
      </c>
      <c r="H123" s="40">
        <f>24*12</f>
        <v>288</v>
      </c>
      <c r="I123" s="2" t="s">
        <v>2096</v>
      </c>
      <c r="J123">
        <v>5514</v>
      </c>
      <c r="K123" s="3" t="str">
        <f>VLOOKUP(Table2[[#This Row],[Konto]],Table5[[Konto]:[Konto nimetus]],2,FALSE)</f>
        <v>Info- ja kommunikatsioonitehnoliigised kulud</v>
      </c>
      <c r="L123">
        <v>55</v>
      </c>
      <c r="M123" t="str">
        <f t="shared" si="3"/>
        <v>55</v>
      </c>
      <c r="N123" s="3" t="str">
        <f>VLOOKUP(Table2[[#This Row],[Tulu/kulu liik2]],Table5[[Tulu/kulu liik]:[Kontode koondnimetus]],4,FALSE)</f>
        <v>Muud tegevuskulud</v>
      </c>
      <c r="O123" s="34" t="str">
        <f>VLOOKUP(Table2[[#This Row],[Tulu/kulu liik2]],Table5[],6,FALSE)</f>
        <v>Majandamiskulud</v>
      </c>
      <c r="P123" s="3" t="str">
        <f>VLOOKUP(Table2[[#This Row],[Tulu/kulu liik2]],Table5[],5,FALSE)</f>
        <v>Põhitegevuse kulu</v>
      </c>
    </row>
    <row r="124" spans="1:16" x14ac:dyDescent="0.25">
      <c r="A124" t="str">
        <f t="shared" si="2"/>
        <v>04</v>
      </c>
      <c r="B124" t="s">
        <v>34</v>
      </c>
      <c r="C124" s="3" t="str">
        <f>VLOOKUP(Table2[[#This Row],[Tegevusala]],Table4[],2,FALSE)</f>
        <v xml:space="preserve"> Muu majandus (sh majanduse haldus)</v>
      </c>
      <c r="D124" s="3" t="str">
        <f>VLOOKUP(Table2[[#This Row],[Tegevusala]],Table4[[Tegevusala kood]:[Tegevusala alanimetus]],4,FALSE)</f>
        <v>Muu majandus (sh majanduse haldus)</v>
      </c>
      <c r="E124" s="3" t="str">
        <f>VLOOKUP(Table2[[#This Row],[Tegevusala nimetus2]],Table4[[Tegevusala nimetus]:[Tegevusala koondnimetus]],2,FALSE)</f>
        <v>Majandus</v>
      </c>
      <c r="F124" t="s">
        <v>606</v>
      </c>
      <c r="G124" t="s">
        <v>2098</v>
      </c>
      <c r="H124" s="40">
        <v>500</v>
      </c>
      <c r="J124">
        <v>5540</v>
      </c>
      <c r="K124" s="3" t="str">
        <f>VLOOKUP(Table2[[#This Row],[Konto]],Table5[[Konto]:[Konto nimetus]],2,FALSE)</f>
        <v>Mitmesugused majanduskulud</v>
      </c>
      <c r="L124">
        <v>55</v>
      </c>
      <c r="M124" t="str">
        <f t="shared" si="3"/>
        <v>55</v>
      </c>
      <c r="N124" s="3" t="str">
        <f>VLOOKUP(Table2[[#This Row],[Tulu/kulu liik2]],Table5[[Tulu/kulu liik]:[Kontode koondnimetus]],4,FALSE)</f>
        <v>Muud tegevuskulud</v>
      </c>
      <c r="O124" s="34" t="str">
        <f>VLOOKUP(Table2[[#This Row],[Tulu/kulu liik2]],Table5[],6,FALSE)</f>
        <v>Majandamiskulud</v>
      </c>
      <c r="P124" s="3" t="str">
        <f>VLOOKUP(Table2[[#This Row],[Tulu/kulu liik2]],Table5[],5,FALSE)</f>
        <v>Põhitegevuse kulu</v>
      </c>
    </row>
    <row r="125" spans="1:16" x14ac:dyDescent="0.25">
      <c r="A125" t="str">
        <f t="shared" si="2"/>
        <v>04</v>
      </c>
      <c r="B125" t="s">
        <v>34</v>
      </c>
      <c r="C125" s="3" t="str">
        <f>VLOOKUP(Table2[[#This Row],[Tegevusala]],Table4[],2,FALSE)</f>
        <v xml:space="preserve"> Muu majandus (sh majanduse haldus)</v>
      </c>
      <c r="D125" s="3" t="str">
        <f>VLOOKUP(Table2[[#This Row],[Tegevusala]],Table4[[Tegevusala kood]:[Tegevusala alanimetus]],4,FALSE)</f>
        <v>Muu majandus (sh majanduse haldus)</v>
      </c>
      <c r="E125" s="3" t="str">
        <f>VLOOKUP(Table2[[#This Row],[Tegevusala nimetus2]],Table4[[Tegevusala nimetus]:[Tegevusala koondnimetus]],2,FALSE)</f>
        <v>Majandus</v>
      </c>
      <c r="F125" t="s">
        <v>606</v>
      </c>
      <c r="G125" t="s">
        <v>2099</v>
      </c>
      <c r="H125" s="40">
        <v>250</v>
      </c>
      <c r="J125">
        <v>601</v>
      </c>
      <c r="K125" s="3" t="str">
        <f>VLOOKUP(Table2[[#This Row],[Konto]],Table5[[Konto]:[Konto nimetus]],2,FALSE)</f>
        <v>Maksu-, riigilõivu- ja trahvikulud</v>
      </c>
      <c r="L125">
        <v>60</v>
      </c>
      <c r="M125" t="str">
        <f t="shared" si="3"/>
        <v>60</v>
      </c>
      <c r="N125" s="3" t="str">
        <f>VLOOKUP(Table2[[#This Row],[Tulu/kulu liik2]],Table5[[Tulu/kulu liik]:[Kontode koondnimetus]],4,FALSE)</f>
        <v>Muud tegevuskulud</v>
      </c>
      <c r="O125" s="34" t="str">
        <f>VLOOKUP(Table2[[#This Row],[Tulu/kulu liik2]],Table5[],6,FALSE)</f>
        <v>Muud kulud</v>
      </c>
      <c r="P125" s="3" t="str">
        <f>VLOOKUP(Table2[[#This Row],[Tulu/kulu liik2]],Table5[],5,FALSE)</f>
        <v>Põhitegevuse kulu</v>
      </c>
    </row>
    <row r="126" spans="1:16" hidden="1" x14ac:dyDescent="0.25">
      <c r="A126" t="str">
        <f t="shared" si="2"/>
        <v>05</v>
      </c>
      <c r="B126" t="s">
        <v>36</v>
      </c>
      <c r="C126" s="3" t="str">
        <f>VLOOKUP(Table2[[#This Row],[Tegevusala]],Table4[],2,FALSE)</f>
        <v xml:space="preserve"> Jäätmekäitlus</v>
      </c>
      <c r="D126" s="3" t="str">
        <f>VLOOKUP(Table2[[#This Row],[Tegevusala]],Table4[[Tegevusala kood]:[Tegevusala alanimetus]],4,FALSE)</f>
        <v>Jäätmekäitlus</v>
      </c>
      <c r="E126" s="3" t="str">
        <f>VLOOKUP(Table2[[#This Row],[Tegevusala nimetus2]],Table4[[Tegevusala nimetus]:[Tegevusala koondnimetus]],2,FALSE)</f>
        <v>Keskkonnakaitse</v>
      </c>
      <c r="F126" t="s">
        <v>1023</v>
      </c>
      <c r="G126" t="s">
        <v>1890</v>
      </c>
      <c r="H126" s="40">
        <v>2000</v>
      </c>
      <c r="J126">
        <v>5511</v>
      </c>
      <c r="K126" s="3" t="str">
        <f>VLOOKUP(Table2[[#This Row],[Konto]],Table5[[Konto]:[Konto nimetus]],2,FALSE)</f>
        <v>Kinnistute, hoonete ja ruumide majandamiskulud</v>
      </c>
      <c r="L126">
        <v>55</v>
      </c>
      <c r="M126" t="str">
        <f t="shared" si="3"/>
        <v>55</v>
      </c>
      <c r="N126" s="3" t="str">
        <f>VLOOKUP(Table2[[#This Row],[Tulu/kulu liik2]],Table5[[Tulu/kulu liik]:[Kontode koondnimetus]],4,FALSE)</f>
        <v>Muud tegevuskulud</v>
      </c>
      <c r="O126" s="3" t="str">
        <f>VLOOKUP(Table2[[#This Row],[Tulu/kulu liik2]],Table5[],6,FALSE)</f>
        <v>Majandamiskulud</v>
      </c>
      <c r="P126" s="3" t="str">
        <f>VLOOKUP(Table2[[#This Row],[Tulu/kulu liik2]],Table5[],5,FALSE)</f>
        <v>Põhitegevuse kulu</v>
      </c>
    </row>
    <row r="127" spans="1:16" hidden="1" x14ac:dyDescent="0.25">
      <c r="A127" t="str">
        <f t="shared" si="2"/>
        <v>05</v>
      </c>
      <c r="B127" t="s">
        <v>36</v>
      </c>
      <c r="C127" s="3" t="str">
        <f>VLOOKUP(Table2[[#This Row],[Tegevusala]],Table4[],2,FALSE)</f>
        <v xml:space="preserve"> Jäätmekäitlus</v>
      </c>
      <c r="D127" s="3" t="str">
        <f>VLOOKUP(Table2[[#This Row],[Tegevusala]],Table4[[Tegevusala kood]:[Tegevusala alanimetus]],4,FALSE)</f>
        <v>Jäätmekäitlus</v>
      </c>
      <c r="E127" s="3" t="str">
        <f>VLOOKUP(Table2[[#This Row],[Tegevusala nimetus2]],Table4[[Tegevusala nimetus]:[Tegevusala koondnimetus]],2,FALSE)</f>
        <v>Keskkonnakaitse</v>
      </c>
      <c r="F127" t="s">
        <v>1023</v>
      </c>
      <c r="G127" t="s">
        <v>1891</v>
      </c>
      <c r="H127" s="40">
        <f>37.2*12</f>
        <v>446.40000000000003</v>
      </c>
      <c r="J127">
        <v>5514</v>
      </c>
      <c r="K127" s="3" t="str">
        <f>VLOOKUP(Table2[[#This Row],[Konto]],Table5[[Konto]:[Konto nimetus]],2,FALSE)</f>
        <v>Info- ja kommunikatsioonitehnoliigised kulud</v>
      </c>
      <c r="L127">
        <v>55</v>
      </c>
      <c r="M127" t="str">
        <f t="shared" si="3"/>
        <v>55</v>
      </c>
      <c r="N127" s="3" t="str">
        <f>VLOOKUP(Table2[[#This Row],[Tulu/kulu liik2]],Table5[[Tulu/kulu liik]:[Kontode koondnimetus]],4,FALSE)</f>
        <v>Muud tegevuskulud</v>
      </c>
      <c r="O127" s="3" t="str">
        <f>VLOOKUP(Table2[[#This Row],[Tulu/kulu liik2]],Table5[],6,FALSE)</f>
        <v>Majandamiskulud</v>
      </c>
      <c r="P127" s="3" t="str">
        <f>VLOOKUP(Table2[[#This Row],[Tulu/kulu liik2]],Table5[],5,FALSE)</f>
        <v>Põhitegevuse kulu</v>
      </c>
    </row>
    <row r="128" spans="1:16" ht="75" hidden="1" x14ac:dyDescent="0.25">
      <c r="A128" t="str">
        <f t="shared" si="2"/>
        <v>05</v>
      </c>
      <c r="B128" t="s">
        <v>38</v>
      </c>
      <c r="C128" s="3" t="str">
        <f>VLOOKUP(Table2[[#This Row],[Tegevusala]],Table4[],2,FALSE)</f>
        <v>Muu keskkonnakaitse (sh keskkonnakaitse haldus)</v>
      </c>
      <c r="D128" s="3" t="str">
        <f>VLOOKUP(Table2[[#This Row],[Tegevusala]],Table4[[Tegevusala kood]:[Tegevusala alanimetus]],4,FALSE)</f>
        <v>Muu keskkonnakaitse (sh keskkonnakaitse haldus)</v>
      </c>
      <c r="E128" s="3" t="str">
        <f>VLOOKUP(Table2[[#This Row],[Tegevusala nimetus2]],Table4[[Tegevusala nimetus]:[Tegevusala koondnimetus]],2,FALSE)</f>
        <v>Keskkonnakaitse</v>
      </c>
      <c r="F128" t="s">
        <v>1023</v>
      </c>
      <c r="G128" s="54" t="s">
        <v>1895</v>
      </c>
      <c r="H128" s="40">
        <v>9053.6</v>
      </c>
      <c r="J128">
        <v>5511</v>
      </c>
      <c r="K128" s="3" t="str">
        <f>VLOOKUP(Table2[[#This Row],[Konto]],Table5[[Konto]:[Konto nimetus]],2,FALSE)</f>
        <v>Kinnistute, hoonete ja ruumide majandamiskulud</v>
      </c>
      <c r="L128">
        <v>55</v>
      </c>
      <c r="M128" t="str">
        <f t="shared" si="3"/>
        <v>55</v>
      </c>
      <c r="N128" s="3" t="str">
        <f>VLOOKUP(Table2[[#This Row],[Tulu/kulu liik2]],Table5[[Tulu/kulu liik]:[Kontode koondnimetus]],4,FALSE)</f>
        <v>Muud tegevuskulud</v>
      </c>
      <c r="O128" s="3" t="str">
        <f>VLOOKUP(Table2[[#This Row],[Tulu/kulu liik2]],Table5[],6,FALSE)</f>
        <v>Majandamiskulud</v>
      </c>
      <c r="P128" s="3" t="str">
        <f>VLOOKUP(Table2[[#This Row],[Tulu/kulu liik2]],Table5[],5,FALSE)</f>
        <v>Põhitegevuse kulu</v>
      </c>
    </row>
    <row r="129" spans="1:16" hidden="1" x14ac:dyDescent="0.25">
      <c r="A129" t="str">
        <f t="shared" ref="A129:A191" si="4">LEFT(B129,2)</f>
        <v>05</v>
      </c>
      <c r="B129" t="s">
        <v>38</v>
      </c>
      <c r="C129" s="3" t="str">
        <f>VLOOKUP(Table2[[#This Row],[Tegevusala]],Table4[],2,FALSE)</f>
        <v>Muu keskkonnakaitse (sh keskkonnakaitse haldus)</v>
      </c>
      <c r="D129" s="3" t="str">
        <f>VLOOKUP(Table2[[#This Row],[Tegevusala]],Table4[[Tegevusala kood]:[Tegevusala alanimetus]],4,FALSE)</f>
        <v>Muu keskkonnakaitse (sh keskkonnakaitse haldus)</v>
      </c>
      <c r="E129" s="3" t="str">
        <f>VLOOKUP(Table2[[#This Row],[Tegevusala nimetus2]],Table4[[Tegevusala nimetus]:[Tegevusala koondnimetus]],2,FALSE)</f>
        <v>Keskkonnakaitse</v>
      </c>
      <c r="F129" t="s">
        <v>1023</v>
      </c>
      <c r="G129" t="s">
        <v>1892</v>
      </c>
      <c r="H129" s="40">
        <f>12*37.2</f>
        <v>446.40000000000003</v>
      </c>
      <c r="J129">
        <v>5514</v>
      </c>
      <c r="K129" s="3" t="str">
        <f>VLOOKUP(Table2[[#This Row],[Konto]],Table5[[Konto]:[Konto nimetus]],2,FALSE)</f>
        <v>Info- ja kommunikatsioonitehnoliigised kulud</v>
      </c>
      <c r="L129">
        <v>55</v>
      </c>
      <c r="M129" t="str">
        <f t="shared" ref="M129:M191" si="5">LEFT(J129,2)</f>
        <v>55</v>
      </c>
      <c r="N129" s="3" t="str">
        <f>VLOOKUP(Table2[[#This Row],[Tulu/kulu liik2]],Table5[[Tulu/kulu liik]:[Kontode koondnimetus]],4,FALSE)</f>
        <v>Muud tegevuskulud</v>
      </c>
      <c r="O129" s="3" t="str">
        <f>VLOOKUP(Table2[[#This Row],[Tulu/kulu liik2]],Table5[],6,FALSE)</f>
        <v>Majandamiskulud</v>
      </c>
      <c r="P129" s="3" t="str">
        <f>VLOOKUP(Table2[[#This Row],[Tulu/kulu liik2]],Table5[],5,FALSE)</f>
        <v>Põhitegevuse kulu</v>
      </c>
    </row>
    <row r="130" spans="1:16" hidden="1" x14ac:dyDescent="0.25">
      <c r="A130" t="str">
        <f t="shared" si="4"/>
        <v>06</v>
      </c>
      <c r="B130" t="s">
        <v>39</v>
      </c>
      <c r="C130" s="3" t="str">
        <f>VLOOKUP(Table2[[#This Row],[Tegevusala]],Table4[],2,FALSE)</f>
        <v>Veevarustus</v>
      </c>
      <c r="D130" s="3" t="str">
        <f>VLOOKUP(Table2[[#This Row],[Tegevusala]],Table4[[Tegevusala kood]:[Tegevusala alanimetus]],4,FALSE)</f>
        <v>Veevarustus</v>
      </c>
      <c r="E130" s="3" t="str">
        <f>VLOOKUP(Table2[[#This Row],[Tegevusala nimetus2]],Table4[[Tegevusala nimetus]:[Tegevusala koondnimetus]],2,FALSE)</f>
        <v>Elamu- ja kommunaalmajandus</v>
      </c>
      <c r="F130" t="s">
        <v>822</v>
      </c>
      <c r="G130" t="s">
        <v>2023</v>
      </c>
      <c r="H130" s="40">
        <v>68000</v>
      </c>
      <c r="J130">
        <v>1551</v>
      </c>
      <c r="K130" s="3" t="str">
        <f>VLOOKUP(Table2[[#This Row],[Konto]],Table5[[Konto]:[Konto nimetus]],2,FALSE)</f>
        <v>Rajatiste ja hoonete soetamine ja renoveerimine</v>
      </c>
      <c r="L130">
        <v>15</v>
      </c>
      <c r="M130" t="str">
        <f t="shared" si="5"/>
        <v>15</v>
      </c>
      <c r="N130" s="3" t="str">
        <f>VLOOKUP(Table2[[#This Row],[Tulu/kulu liik2]],Table5[[Tulu/kulu liik]:[Kontode koondnimetus]],4,FALSE)</f>
        <v>Põhivara soetus (-)</v>
      </c>
      <c r="O130" s="34" t="str">
        <f>VLOOKUP(Table2[[#This Row],[Tulu/kulu liik2]],Table5[],6,FALSE)</f>
        <v>Põhivara soetus (-)</v>
      </c>
      <c r="P130" s="3" t="str">
        <f>VLOOKUP(Table2[[#This Row],[Tulu/kulu liik2]],Table5[],5,FALSE)</f>
        <v>Investeerimistegevus</v>
      </c>
    </row>
    <row r="131" spans="1:16" hidden="1" x14ac:dyDescent="0.25">
      <c r="A131" s="33" t="str">
        <f t="shared" si="4"/>
        <v>06</v>
      </c>
      <c r="B131" s="33" t="s">
        <v>39</v>
      </c>
      <c r="C131" s="34" t="str">
        <f>VLOOKUP(Table2[[#This Row],[Tegevusala]],Table4[],2,FALSE)</f>
        <v>Veevarustus</v>
      </c>
      <c r="D131" s="34" t="str">
        <f>VLOOKUP(Table2[[#This Row],[Tegevusala]],Table4[[Tegevusala kood]:[Tegevusala alanimetus]],4,FALSE)</f>
        <v>Veevarustus</v>
      </c>
      <c r="E131" s="34" t="str">
        <f>VLOOKUP(Table2[[#This Row],[Tegevusala nimetus2]],Table4[[Tegevusala nimetus]:[Tegevusala koondnimetus]],2,FALSE)</f>
        <v>Elamu- ja kommunaalmajandus</v>
      </c>
      <c r="F131" s="33" t="s">
        <v>630</v>
      </c>
      <c r="G131" s="33" t="s">
        <v>2026</v>
      </c>
      <c r="H131" s="47">
        <v>200000</v>
      </c>
      <c r="I131" s="35"/>
      <c r="J131" s="33">
        <v>1551</v>
      </c>
      <c r="K131" s="34" t="str">
        <f>VLOOKUP(Table2[[#This Row],[Konto]],Table5[[Konto]:[Konto nimetus]],2,FALSE)</f>
        <v>Rajatiste ja hoonete soetamine ja renoveerimine</v>
      </c>
      <c r="L131" s="33">
        <v>15</v>
      </c>
      <c r="M131" s="33" t="str">
        <f t="shared" si="5"/>
        <v>15</v>
      </c>
      <c r="N131" s="34" t="str">
        <f>VLOOKUP(Table2[[#This Row],[Tulu/kulu liik2]],Table5[[Tulu/kulu liik]:[Kontode koondnimetus]],4,FALSE)</f>
        <v>Põhivara soetus (-)</v>
      </c>
      <c r="O131" s="34" t="str">
        <f>VLOOKUP(Table2[[#This Row],[Tulu/kulu liik2]],Table5[],6,FALSE)</f>
        <v>Põhivara soetus (-)</v>
      </c>
      <c r="P131" s="34" t="str">
        <f>VLOOKUP(Table2[[#This Row],[Tulu/kulu liik2]],Table5[],5,FALSE)</f>
        <v>Investeerimistegevus</v>
      </c>
    </row>
    <row r="132" spans="1:16" hidden="1" x14ac:dyDescent="0.25">
      <c r="A132" t="str">
        <f t="shared" si="4"/>
        <v>06</v>
      </c>
      <c r="B132" t="s">
        <v>40</v>
      </c>
      <c r="C132" s="3" t="str">
        <f>VLOOKUP(Table2[[#This Row],[Tegevusala]],Table4[],2,FALSE)</f>
        <v>Tänavavalgustus</v>
      </c>
      <c r="D132" s="3" t="str">
        <f>VLOOKUP(Table2[[#This Row],[Tegevusala]],Table4[[Tegevusala kood]:[Tegevusala alanimetus]],4,FALSE)</f>
        <v>Tänavavalgustus</v>
      </c>
      <c r="E132" s="3" t="str">
        <f>VLOOKUP(Table2[[#This Row],[Tegevusala nimetus2]],Table4[[Tegevusala nimetus]:[Tegevusala koondnimetus]],2,FALSE)</f>
        <v>Elamu- ja kommunaalmajandus</v>
      </c>
      <c r="F132" s="14" t="s">
        <v>822</v>
      </c>
      <c r="G132" t="s">
        <v>825</v>
      </c>
      <c r="H132" s="40">
        <v>53000</v>
      </c>
      <c r="J132">
        <v>5512</v>
      </c>
      <c r="K132" s="3" t="str">
        <f>VLOOKUP(Table2[[#This Row],[Konto]],Table5[[Konto]:[Konto nimetus]],2,FALSE)</f>
        <v>Rajatiste majandamiskulud</v>
      </c>
      <c r="L132">
        <v>55</v>
      </c>
      <c r="M132" t="str">
        <f t="shared" si="5"/>
        <v>55</v>
      </c>
      <c r="N132" s="3" t="str">
        <f>VLOOKUP(Table2[[#This Row],[Tulu/kulu liik2]],Table5[[Tulu/kulu liik]:[Kontode koondnimetus]],4,FALSE)</f>
        <v>Muud tegevuskulud</v>
      </c>
      <c r="O132" s="3" t="str">
        <f>VLOOKUP(Table2[[#This Row],[Tulu/kulu liik2]],Table5[],6,FALSE)</f>
        <v>Majandamiskulud</v>
      </c>
      <c r="P132" s="3" t="str">
        <f>VLOOKUP(Table2[[#This Row],[Tulu/kulu liik2]],Table5[],5,FALSE)</f>
        <v>Põhitegevuse kulu</v>
      </c>
    </row>
    <row r="133" spans="1:16" hidden="1" x14ac:dyDescent="0.25">
      <c r="A133" t="str">
        <f t="shared" si="4"/>
        <v>06</v>
      </c>
      <c r="B133" t="s">
        <v>40</v>
      </c>
      <c r="C133" s="3" t="str">
        <f>VLOOKUP(Table2[[#This Row],[Tegevusala]],Table4[],2,FALSE)</f>
        <v>Tänavavalgustus</v>
      </c>
      <c r="D133" s="3" t="str">
        <f>VLOOKUP(Table2[[#This Row],[Tegevusala]],Table4[[Tegevusala kood]:[Tegevusala alanimetus]],4,FALSE)</f>
        <v>Tänavavalgustus</v>
      </c>
      <c r="E133" s="3" t="str">
        <f>VLOOKUP(Table2[[#This Row],[Tegevusala nimetus2]],Table4[[Tegevusala nimetus]:[Tegevusala koondnimetus]],2,FALSE)</f>
        <v>Elamu- ja kommunaalmajandus</v>
      </c>
      <c r="F133" s="14" t="s">
        <v>822</v>
      </c>
      <c r="G133" t="s">
        <v>832</v>
      </c>
      <c r="H133" s="40">
        <v>230000</v>
      </c>
      <c r="J133">
        <v>1551</v>
      </c>
      <c r="K133" s="3" t="str">
        <f>VLOOKUP(Table2[[#This Row],[Konto]],Table5[[Konto]:[Konto nimetus]],2,FALSE)</f>
        <v>Rajatiste ja hoonete soetamine ja renoveerimine</v>
      </c>
      <c r="L133">
        <v>15</v>
      </c>
      <c r="M133" t="str">
        <f t="shared" si="5"/>
        <v>15</v>
      </c>
      <c r="N133" s="3" t="str">
        <f>VLOOKUP(Table2[[#This Row],[Tulu/kulu liik2]],Table5[[Tulu/kulu liik]:[Kontode koondnimetus]],4,FALSE)</f>
        <v>Põhivara soetus (-)</v>
      </c>
      <c r="O133" s="3" t="str">
        <f>VLOOKUP(Table2[[#This Row],[Tulu/kulu liik2]],Table5[],6,FALSE)</f>
        <v>Põhivara soetus (-)</v>
      </c>
      <c r="P133" s="3" t="str">
        <f>VLOOKUP(Table2[[#This Row],[Tulu/kulu liik2]],Table5[],5,FALSE)</f>
        <v>Investeerimistegevus</v>
      </c>
    </row>
    <row r="134" spans="1:16" hidden="1" x14ac:dyDescent="0.25">
      <c r="A134" t="str">
        <f t="shared" si="4"/>
        <v>06</v>
      </c>
      <c r="B134" t="s">
        <v>40</v>
      </c>
      <c r="C134" s="3" t="str">
        <f>VLOOKUP(Table2[[#This Row],[Tegevusala]],Table4[],2,FALSE)</f>
        <v>Tänavavalgustus</v>
      </c>
      <c r="D134" s="3" t="str">
        <f>VLOOKUP(Table2[[#This Row],[Tegevusala]],Table4[[Tegevusala kood]:[Tegevusala alanimetus]],4,FALSE)</f>
        <v>Tänavavalgustus</v>
      </c>
      <c r="E134" s="3" t="str">
        <f>VLOOKUP(Table2[[#This Row],[Tegevusala nimetus2]],Table4[[Tegevusala nimetus]:[Tegevusala koondnimetus]],2,FALSE)</f>
        <v>Elamu- ja kommunaalmajandus</v>
      </c>
      <c r="F134" s="14" t="s">
        <v>822</v>
      </c>
      <c r="G134" t="s">
        <v>832</v>
      </c>
      <c r="H134" s="40">
        <v>470000</v>
      </c>
      <c r="I134" s="2" t="s">
        <v>833</v>
      </c>
      <c r="J134">
        <v>1551</v>
      </c>
      <c r="K134" s="3" t="str">
        <f>VLOOKUP(Table2[[#This Row],[Konto]],Table5[[Konto]:[Konto nimetus]],2,FALSE)</f>
        <v>Rajatiste ja hoonete soetamine ja renoveerimine</v>
      </c>
      <c r="L134">
        <v>15</v>
      </c>
      <c r="M134" t="str">
        <f t="shared" si="5"/>
        <v>15</v>
      </c>
      <c r="N134" s="3" t="str">
        <f>VLOOKUP(Table2[[#This Row],[Tulu/kulu liik2]],Table5[[Tulu/kulu liik]:[Kontode koondnimetus]],4,FALSE)</f>
        <v>Põhivara soetus (-)</v>
      </c>
      <c r="O134" s="3" t="str">
        <f>VLOOKUP(Table2[[#This Row],[Tulu/kulu liik2]],Table5[],6,FALSE)</f>
        <v>Põhivara soetus (-)</v>
      </c>
      <c r="P134" s="3" t="str">
        <f>VLOOKUP(Table2[[#This Row],[Tulu/kulu liik2]],Table5[],5,FALSE)</f>
        <v>Investeerimistegevus</v>
      </c>
    </row>
    <row r="135" spans="1:16" hidden="1" x14ac:dyDescent="0.25">
      <c r="A135" t="str">
        <f t="shared" si="4"/>
        <v>06</v>
      </c>
      <c r="B135" t="s">
        <v>254</v>
      </c>
      <c r="C135" s="3" t="str">
        <f>VLOOKUP(Table2[[#This Row],[Tegevusala]],Table4[],2,FALSE)</f>
        <v>Laekvere teeninduspiirkond</v>
      </c>
      <c r="D135" s="3" t="str">
        <f>VLOOKUP(Table2[[#This Row],[Tegevusala]],Table4[[Tegevusala kood]:[Tegevusala alanimetus]],4,FALSE)</f>
        <v>Muu elamu- ja kommunaalmajanduse tegevus</v>
      </c>
      <c r="E135" s="3" t="str">
        <f>VLOOKUP(Table2[[#This Row],[Tegevusala nimetus2]],Table4[[Tegevusala nimetus]:[Tegevusala koondnimetus]],2,FALSE)</f>
        <v>Elamu- ja kommunaalmajandus</v>
      </c>
      <c r="F135" t="s">
        <v>831</v>
      </c>
      <c r="G135" t="s">
        <v>847</v>
      </c>
      <c r="H135" s="40">
        <v>1100</v>
      </c>
      <c r="I135" s="2" t="s">
        <v>848</v>
      </c>
      <c r="J135">
        <v>5511</v>
      </c>
      <c r="K135" s="3" t="str">
        <f>VLOOKUP(Table2[[#This Row],[Konto]],Table5[[Konto]:[Konto nimetus]],2,FALSE)</f>
        <v>Kinnistute, hoonete ja ruumide majandamiskulud</v>
      </c>
      <c r="L135">
        <v>55</v>
      </c>
      <c r="M135" t="str">
        <f t="shared" si="5"/>
        <v>55</v>
      </c>
      <c r="N135" s="3" t="str">
        <f>VLOOKUP(Table2[[#This Row],[Tulu/kulu liik2]],Table5[[Tulu/kulu liik]:[Kontode koondnimetus]],4,FALSE)</f>
        <v>Muud tegevuskulud</v>
      </c>
      <c r="O135" s="3" t="str">
        <f>VLOOKUP(Table2[[#This Row],[Tulu/kulu liik2]],Table5[],6,FALSE)</f>
        <v>Majandamiskulud</v>
      </c>
      <c r="P135" s="3" t="str">
        <f>VLOOKUP(Table2[[#This Row],[Tulu/kulu liik2]],Table5[],5,FALSE)</f>
        <v>Põhitegevuse kulu</v>
      </c>
    </row>
    <row r="136" spans="1:16" hidden="1" x14ac:dyDescent="0.25">
      <c r="A136" t="str">
        <f t="shared" si="4"/>
        <v>06</v>
      </c>
      <c r="B136" t="s">
        <v>254</v>
      </c>
      <c r="C136" s="3" t="str">
        <f>VLOOKUP(Table2[[#This Row],[Tegevusala]],Table4[],2,FALSE)</f>
        <v>Laekvere teeninduspiirkond</v>
      </c>
      <c r="D136" s="3" t="str">
        <f>VLOOKUP(Table2[[#This Row],[Tegevusala]],Table4[[Tegevusala kood]:[Tegevusala alanimetus]],4,FALSE)</f>
        <v>Muu elamu- ja kommunaalmajanduse tegevus</v>
      </c>
      <c r="E136" s="3" t="str">
        <f>VLOOKUP(Table2[[#This Row],[Tegevusala nimetus2]],Table4[[Tegevusala nimetus]:[Tegevusala koondnimetus]],2,FALSE)</f>
        <v>Elamu- ja kommunaalmajandus</v>
      </c>
      <c r="F136" t="s">
        <v>831</v>
      </c>
      <c r="G136" t="s">
        <v>849</v>
      </c>
      <c r="H136" s="40">
        <v>4500</v>
      </c>
      <c r="I136" s="2" t="s">
        <v>850</v>
      </c>
      <c r="J136">
        <v>5511</v>
      </c>
      <c r="K136" s="3" t="str">
        <f>VLOOKUP(Table2[[#This Row],[Konto]],Table5[[Konto]:[Konto nimetus]],2,FALSE)</f>
        <v>Kinnistute, hoonete ja ruumide majandamiskulud</v>
      </c>
      <c r="L136">
        <v>55</v>
      </c>
      <c r="M136" t="str">
        <f t="shared" si="5"/>
        <v>55</v>
      </c>
      <c r="N136" s="3" t="str">
        <f>VLOOKUP(Table2[[#This Row],[Tulu/kulu liik2]],Table5[[Tulu/kulu liik]:[Kontode koondnimetus]],4,FALSE)</f>
        <v>Muud tegevuskulud</v>
      </c>
      <c r="O136" s="3" t="str">
        <f>VLOOKUP(Table2[[#This Row],[Tulu/kulu liik2]],Table5[],6,FALSE)</f>
        <v>Majandamiskulud</v>
      </c>
      <c r="P136" s="3" t="str">
        <f>VLOOKUP(Table2[[#This Row],[Tulu/kulu liik2]],Table5[],5,FALSE)</f>
        <v>Põhitegevuse kulu</v>
      </c>
    </row>
    <row r="137" spans="1:16" hidden="1" x14ac:dyDescent="0.25">
      <c r="A137" t="str">
        <f t="shared" si="4"/>
        <v>06</v>
      </c>
      <c r="B137" t="s">
        <v>254</v>
      </c>
      <c r="C137" s="3" t="str">
        <f>VLOOKUP(Table2[[#This Row],[Tegevusala]],Table4[],2,FALSE)</f>
        <v>Laekvere teeninduspiirkond</v>
      </c>
      <c r="D137" s="3" t="str">
        <f>VLOOKUP(Table2[[#This Row],[Tegevusala]],Table4[[Tegevusala kood]:[Tegevusala alanimetus]],4,FALSE)</f>
        <v>Muu elamu- ja kommunaalmajanduse tegevus</v>
      </c>
      <c r="E137" s="3" t="str">
        <f>VLOOKUP(Table2[[#This Row],[Tegevusala nimetus2]],Table4[[Tegevusala nimetus]:[Tegevusala koondnimetus]],2,FALSE)</f>
        <v>Elamu- ja kommunaalmajandus</v>
      </c>
      <c r="F137" t="s">
        <v>831</v>
      </c>
      <c r="G137" s="33" t="s">
        <v>851</v>
      </c>
      <c r="H137" s="47">
        <v>10000</v>
      </c>
      <c r="I137" s="35" t="s">
        <v>852</v>
      </c>
      <c r="J137">
        <v>5511</v>
      </c>
      <c r="K137" s="3" t="str">
        <f>VLOOKUP(Table2[[#This Row],[Konto]],Table5[[Konto]:[Konto nimetus]],2,FALSE)</f>
        <v>Kinnistute, hoonete ja ruumide majandamiskulud</v>
      </c>
      <c r="L137">
        <v>55</v>
      </c>
      <c r="M137" t="str">
        <f t="shared" si="5"/>
        <v>55</v>
      </c>
      <c r="N137" s="3" t="str">
        <f>VLOOKUP(Table2[[#This Row],[Tulu/kulu liik2]],Table5[[Tulu/kulu liik]:[Kontode koondnimetus]],4,FALSE)</f>
        <v>Muud tegevuskulud</v>
      </c>
      <c r="O137" s="3" t="str">
        <f>VLOOKUP(Table2[[#This Row],[Tulu/kulu liik2]],Table5[],6,FALSE)</f>
        <v>Majandamiskulud</v>
      </c>
      <c r="P137" s="3" t="str">
        <f>VLOOKUP(Table2[[#This Row],[Tulu/kulu liik2]],Table5[],5,FALSE)</f>
        <v>Põhitegevuse kulu</v>
      </c>
    </row>
    <row r="138" spans="1:16" hidden="1" x14ac:dyDescent="0.25">
      <c r="A138" t="str">
        <f t="shared" si="4"/>
        <v>06</v>
      </c>
      <c r="B138" t="s">
        <v>254</v>
      </c>
      <c r="C138" s="3" t="str">
        <f>VLOOKUP(Table2[[#This Row],[Tegevusala]],Table4[],2,FALSE)</f>
        <v>Laekvere teeninduspiirkond</v>
      </c>
      <c r="D138" s="3" t="str">
        <f>VLOOKUP(Table2[[#This Row],[Tegevusala]],Table4[[Tegevusala kood]:[Tegevusala alanimetus]],4,FALSE)</f>
        <v>Muu elamu- ja kommunaalmajanduse tegevus</v>
      </c>
      <c r="E138" s="3" t="str">
        <f>VLOOKUP(Table2[[#This Row],[Tegevusala nimetus2]],Table4[[Tegevusala nimetus]:[Tegevusala koondnimetus]],2,FALSE)</f>
        <v>Elamu- ja kommunaalmajandus</v>
      </c>
      <c r="F138" t="s">
        <v>831</v>
      </c>
      <c r="G138" t="s">
        <v>853</v>
      </c>
      <c r="H138" s="40">
        <v>1700</v>
      </c>
      <c r="I138" s="2" t="s">
        <v>854</v>
      </c>
      <c r="J138">
        <v>5511</v>
      </c>
      <c r="K138" s="3" t="str">
        <f>VLOOKUP(Table2[[#This Row],[Konto]],Table5[[Konto]:[Konto nimetus]],2,FALSE)</f>
        <v>Kinnistute, hoonete ja ruumide majandamiskulud</v>
      </c>
      <c r="L138">
        <v>55</v>
      </c>
      <c r="M138" t="str">
        <f t="shared" si="5"/>
        <v>55</v>
      </c>
      <c r="N138" s="3" t="str">
        <f>VLOOKUP(Table2[[#This Row],[Tulu/kulu liik2]],Table5[[Tulu/kulu liik]:[Kontode koondnimetus]],4,FALSE)</f>
        <v>Muud tegevuskulud</v>
      </c>
      <c r="O138" s="3" t="str">
        <f>VLOOKUP(Table2[[#This Row],[Tulu/kulu liik2]],Table5[],6,FALSE)</f>
        <v>Majandamiskulud</v>
      </c>
      <c r="P138" s="3" t="str">
        <f>VLOOKUP(Table2[[#This Row],[Tulu/kulu liik2]],Table5[],5,FALSE)</f>
        <v>Põhitegevuse kulu</v>
      </c>
    </row>
    <row r="139" spans="1:16" hidden="1" x14ac:dyDescent="0.25">
      <c r="A139" t="str">
        <f t="shared" si="4"/>
        <v>06</v>
      </c>
      <c r="B139" t="s">
        <v>254</v>
      </c>
      <c r="C139" s="3" t="str">
        <f>VLOOKUP(Table2[[#This Row],[Tegevusala]],Table4[],2,FALSE)</f>
        <v>Laekvere teeninduspiirkond</v>
      </c>
      <c r="D139" s="3" t="str">
        <f>VLOOKUP(Table2[[#This Row],[Tegevusala]],Table4[[Tegevusala kood]:[Tegevusala alanimetus]],4,FALSE)</f>
        <v>Muu elamu- ja kommunaalmajanduse tegevus</v>
      </c>
      <c r="E139" s="3" t="str">
        <f>VLOOKUP(Table2[[#This Row],[Tegevusala nimetus2]],Table4[[Tegevusala nimetus]:[Tegevusala koondnimetus]],2,FALSE)</f>
        <v>Elamu- ja kommunaalmajandus</v>
      </c>
      <c r="F139" t="s">
        <v>831</v>
      </c>
      <c r="G139" t="s">
        <v>855</v>
      </c>
      <c r="H139" s="40">
        <v>550</v>
      </c>
      <c r="I139" s="2" t="s">
        <v>856</v>
      </c>
      <c r="J139">
        <v>5511</v>
      </c>
      <c r="K139" s="3" t="str">
        <f>VLOOKUP(Table2[[#This Row],[Konto]],Table5[[Konto]:[Konto nimetus]],2,FALSE)</f>
        <v>Kinnistute, hoonete ja ruumide majandamiskulud</v>
      </c>
      <c r="L139">
        <v>55</v>
      </c>
      <c r="M139" t="str">
        <f t="shared" si="5"/>
        <v>55</v>
      </c>
      <c r="N139" s="3" t="str">
        <f>VLOOKUP(Table2[[#This Row],[Tulu/kulu liik2]],Table5[[Tulu/kulu liik]:[Kontode koondnimetus]],4,FALSE)</f>
        <v>Muud tegevuskulud</v>
      </c>
      <c r="O139" s="3" t="str">
        <f>VLOOKUP(Table2[[#This Row],[Tulu/kulu liik2]],Table5[],6,FALSE)</f>
        <v>Majandamiskulud</v>
      </c>
      <c r="P139" s="3" t="str">
        <f>VLOOKUP(Table2[[#This Row],[Tulu/kulu liik2]],Table5[],5,FALSE)</f>
        <v>Põhitegevuse kulu</v>
      </c>
    </row>
    <row r="140" spans="1:16" hidden="1" x14ac:dyDescent="0.25">
      <c r="A140" t="str">
        <f t="shared" si="4"/>
        <v>06</v>
      </c>
      <c r="B140" t="s">
        <v>254</v>
      </c>
      <c r="C140" s="3" t="str">
        <f>VLOOKUP(Table2[[#This Row],[Tegevusala]],Table4[],2,FALSE)</f>
        <v>Laekvere teeninduspiirkond</v>
      </c>
      <c r="D140" s="3" t="str">
        <f>VLOOKUP(Table2[[#This Row],[Tegevusala]],Table4[[Tegevusala kood]:[Tegevusala alanimetus]],4,FALSE)</f>
        <v>Muu elamu- ja kommunaalmajanduse tegevus</v>
      </c>
      <c r="E140" s="3" t="str">
        <f>VLOOKUP(Table2[[#This Row],[Tegevusala nimetus2]],Table4[[Tegevusala nimetus]:[Tegevusala koondnimetus]],2,FALSE)</f>
        <v>Elamu- ja kommunaalmajandus</v>
      </c>
      <c r="F140" t="s">
        <v>831</v>
      </c>
      <c r="G140" t="s">
        <v>857</v>
      </c>
      <c r="H140" s="40">
        <v>120</v>
      </c>
      <c r="I140" s="2" t="s">
        <v>856</v>
      </c>
      <c r="J140">
        <v>5511</v>
      </c>
      <c r="K140" s="3" t="str">
        <f>VLOOKUP(Table2[[#This Row],[Konto]],Table5[[Konto]:[Konto nimetus]],2,FALSE)</f>
        <v>Kinnistute, hoonete ja ruumide majandamiskulud</v>
      </c>
      <c r="L140">
        <v>55</v>
      </c>
      <c r="M140" t="str">
        <f t="shared" si="5"/>
        <v>55</v>
      </c>
      <c r="N140" s="3" t="str">
        <f>VLOOKUP(Table2[[#This Row],[Tulu/kulu liik2]],Table5[[Tulu/kulu liik]:[Kontode koondnimetus]],4,FALSE)</f>
        <v>Muud tegevuskulud</v>
      </c>
      <c r="O140" s="3" t="str">
        <f>VLOOKUP(Table2[[#This Row],[Tulu/kulu liik2]],Table5[],6,FALSE)</f>
        <v>Majandamiskulud</v>
      </c>
      <c r="P140" s="3" t="str">
        <f>VLOOKUP(Table2[[#This Row],[Tulu/kulu liik2]],Table5[],5,FALSE)</f>
        <v>Põhitegevuse kulu</v>
      </c>
    </row>
    <row r="141" spans="1:16" hidden="1" x14ac:dyDescent="0.25">
      <c r="A141" t="str">
        <f t="shared" si="4"/>
        <v>06</v>
      </c>
      <c r="B141" t="s">
        <v>254</v>
      </c>
      <c r="C141" s="3" t="str">
        <f>VLOOKUP(Table2[[#This Row],[Tegevusala]],Table4[],2,FALSE)</f>
        <v>Laekvere teeninduspiirkond</v>
      </c>
      <c r="D141" s="3" t="str">
        <f>VLOOKUP(Table2[[#This Row],[Tegevusala]],Table4[[Tegevusala kood]:[Tegevusala alanimetus]],4,FALSE)</f>
        <v>Muu elamu- ja kommunaalmajanduse tegevus</v>
      </c>
      <c r="E141" s="3" t="str">
        <f>VLOOKUP(Table2[[#This Row],[Tegevusala nimetus2]],Table4[[Tegevusala nimetus]:[Tegevusala koondnimetus]],2,FALSE)</f>
        <v>Elamu- ja kommunaalmajandus</v>
      </c>
      <c r="F141" t="s">
        <v>831</v>
      </c>
      <c r="G141" t="s">
        <v>858</v>
      </c>
      <c r="H141" s="40">
        <v>650</v>
      </c>
      <c r="I141" s="2" t="s">
        <v>859</v>
      </c>
      <c r="J141">
        <v>5511</v>
      </c>
      <c r="K141" s="3" t="str">
        <f>VLOOKUP(Table2[[#This Row],[Konto]],Table5[[Konto]:[Konto nimetus]],2,FALSE)</f>
        <v>Kinnistute, hoonete ja ruumide majandamiskulud</v>
      </c>
      <c r="L141">
        <v>55</v>
      </c>
      <c r="M141" t="str">
        <f t="shared" si="5"/>
        <v>55</v>
      </c>
      <c r="N141" s="3" t="str">
        <f>VLOOKUP(Table2[[#This Row],[Tulu/kulu liik2]],Table5[[Tulu/kulu liik]:[Kontode koondnimetus]],4,FALSE)</f>
        <v>Muud tegevuskulud</v>
      </c>
      <c r="O141" s="3" t="str">
        <f>VLOOKUP(Table2[[#This Row],[Tulu/kulu liik2]],Table5[],6,FALSE)</f>
        <v>Majandamiskulud</v>
      </c>
      <c r="P141" s="3" t="str">
        <f>VLOOKUP(Table2[[#This Row],[Tulu/kulu liik2]],Table5[],5,FALSE)</f>
        <v>Põhitegevuse kulu</v>
      </c>
    </row>
    <row r="142" spans="1:16" hidden="1" x14ac:dyDescent="0.25">
      <c r="A142" t="str">
        <f t="shared" si="4"/>
        <v>06</v>
      </c>
      <c r="B142" t="s">
        <v>254</v>
      </c>
      <c r="C142" s="3" t="str">
        <f>VLOOKUP(Table2[[#This Row],[Tegevusala]],Table4[],2,FALSE)</f>
        <v>Laekvere teeninduspiirkond</v>
      </c>
      <c r="D142" s="3" t="str">
        <f>VLOOKUP(Table2[[#This Row],[Tegevusala]],Table4[[Tegevusala kood]:[Tegevusala alanimetus]],4,FALSE)</f>
        <v>Muu elamu- ja kommunaalmajanduse tegevus</v>
      </c>
      <c r="E142" s="3" t="str">
        <f>VLOOKUP(Table2[[#This Row],[Tegevusala nimetus2]],Table4[[Tegevusala nimetus]:[Tegevusala koondnimetus]],2,FALSE)</f>
        <v>Elamu- ja kommunaalmajandus</v>
      </c>
      <c r="F142" t="s">
        <v>831</v>
      </c>
      <c r="G142" t="s">
        <v>860</v>
      </c>
      <c r="H142" s="40">
        <v>7500</v>
      </c>
      <c r="I142" s="2" t="s">
        <v>861</v>
      </c>
      <c r="J142">
        <v>5511</v>
      </c>
      <c r="K142" s="3" t="str">
        <f>VLOOKUP(Table2[[#This Row],[Konto]],Table5[[Konto]:[Konto nimetus]],2,FALSE)</f>
        <v>Kinnistute, hoonete ja ruumide majandamiskulud</v>
      </c>
      <c r="L142">
        <v>55</v>
      </c>
      <c r="M142" t="str">
        <f t="shared" si="5"/>
        <v>55</v>
      </c>
      <c r="N142" s="3" t="str">
        <f>VLOOKUP(Table2[[#This Row],[Tulu/kulu liik2]],Table5[[Tulu/kulu liik]:[Kontode koondnimetus]],4,FALSE)</f>
        <v>Muud tegevuskulud</v>
      </c>
      <c r="O142" s="3" t="str">
        <f>VLOOKUP(Table2[[#This Row],[Tulu/kulu liik2]],Table5[],6,FALSE)</f>
        <v>Majandamiskulud</v>
      </c>
      <c r="P142" s="3" t="str">
        <f>VLOOKUP(Table2[[#This Row],[Tulu/kulu liik2]],Table5[],5,FALSE)</f>
        <v>Põhitegevuse kulu</v>
      </c>
    </row>
    <row r="143" spans="1:16" hidden="1" x14ac:dyDescent="0.25">
      <c r="A143" t="str">
        <f t="shared" si="4"/>
        <v>06</v>
      </c>
      <c r="B143" t="s">
        <v>254</v>
      </c>
      <c r="C143" s="3" t="str">
        <f>VLOOKUP(Table2[[#This Row],[Tegevusala]],Table4[],2,FALSE)</f>
        <v>Laekvere teeninduspiirkond</v>
      </c>
      <c r="D143" s="3" t="str">
        <f>VLOOKUP(Table2[[#This Row],[Tegevusala]],Table4[[Tegevusala kood]:[Tegevusala alanimetus]],4,FALSE)</f>
        <v>Muu elamu- ja kommunaalmajanduse tegevus</v>
      </c>
      <c r="E143" s="3" t="str">
        <f>VLOOKUP(Table2[[#This Row],[Tegevusala nimetus2]],Table4[[Tegevusala nimetus]:[Tegevusala koondnimetus]],2,FALSE)</f>
        <v>Elamu- ja kommunaalmajandus</v>
      </c>
      <c r="F143" t="s">
        <v>831</v>
      </c>
      <c r="G143" t="s">
        <v>862</v>
      </c>
      <c r="H143" s="40">
        <v>7400</v>
      </c>
      <c r="I143" s="2" t="s">
        <v>863</v>
      </c>
      <c r="J143">
        <v>5511</v>
      </c>
      <c r="K143" s="3" t="str">
        <f>VLOOKUP(Table2[[#This Row],[Konto]],Table5[[Konto]:[Konto nimetus]],2,FALSE)</f>
        <v>Kinnistute, hoonete ja ruumide majandamiskulud</v>
      </c>
      <c r="L143">
        <v>55</v>
      </c>
      <c r="M143" t="str">
        <f t="shared" si="5"/>
        <v>55</v>
      </c>
      <c r="N143" s="3" t="str">
        <f>VLOOKUP(Table2[[#This Row],[Tulu/kulu liik2]],Table5[[Tulu/kulu liik]:[Kontode koondnimetus]],4,FALSE)</f>
        <v>Muud tegevuskulud</v>
      </c>
      <c r="O143" s="3" t="str">
        <f>VLOOKUP(Table2[[#This Row],[Tulu/kulu liik2]],Table5[],6,FALSE)</f>
        <v>Majandamiskulud</v>
      </c>
      <c r="P143" s="3" t="str">
        <f>VLOOKUP(Table2[[#This Row],[Tulu/kulu liik2]],Table5[],5,FALSE)</f>
        <v>Põhitegevuse kulu</v>
      </c>
    </row>
    <row r="144" spans="1:16" hidden="1" x14ac:dyDescent="0.25">
      <c r="A144" t="str">
        <f t="shared" si="4"/>
        <v>06</v>
      </c>
      <c r="B144" t="s">
        <v>254</v>
      </c>
      <c r="C144" s="3" t="str">
        <f>VLOOKUP(Table2[[#This Row],[Tegevusala]],Table4[],2,FALSE)</f>
        <v>Laekvere teeninduspiirkond</v>
      </c>
      <c r="D144" s="3" t="str">
        <f>VLOOKUP(Table2[[#This Row],[Tegevusala]],Table4[[Tegevusala kood]:[Tegevusala alanimetus]],4,FALSE)</f>
        <v>Muu elamu- ja kommunaalmajanduse tegevus</v>
      </c>
      <c r="E144" s="3" t="str">
        <f>VLOOKUP(Table2[[#This Row],[Tegevusala nimetus2]],Table4[[Tegevusala nimetus]:[Tegevusala koondnimetus]],2,FALSE)</f>
        <v>Elamu- ja kommunaalmajandus</v>
      </c>
      <c r="F144" t="s">
        <v>831</v>
      </c>
      <c r="G144" t="s">
        <v>864</v>
      </c>
      <c r="H144" s="40">
        <v>9360</v>
      </c>
      <c r="I144" s="2" t="s">
        <v>865</v>
      </c>
      <c r="J144">
        <v>5511</v>
      </c>
      <c r="K144" s="3" t="str">
        <f>VLOOKUP(Table2[[#This Row],[Konto]],Table5[[Konto]:[Konto nimetus]],2,FALSE)</f>
        <v>Kinnistute, hoonete ja ruumide majandamiskulud</v>
      </c>
      <c r="L144">
        <v>55</v>
      </c>
      <c r="M144" t="str">
        <f t="shared" si="5"/>
        <v>55</v>
      </c>
      <c r="N144" s="3" t="str">
        <f>VLOOKUP(Table2[[#This Row],[Tulu/kulu liik2]],Table5[[Tulu/kulu liik]:[Kontode koondnimetus]],4,FALSE)</f>
        <v>Muud tegevuskulud</v>
      </c>
      <c r="O144" s="3" t="str">
        <f>VLOOKUP(Table2[[#This Row],[Tulu/kulu liik2]],Table5[],6,FALSE)</f>
        <v>Majandamiskulud</v>
      </c>
      <c r="P144" s="3" t="str">
        <f>VLOOKUP(Table2[[#This Row],[Tulu/kulu liik2]],Table5[],5,FALSE)</f>
        <v>Põhitegevuse kulu</v>
      </c>
    </row>
    <row r="145" spans="1:16" hidden="1" x14ac:dyDescent="0.25">
      <c r="A145" t="str">
        <f t="shared" si="4"/>
        <v>06</v>
      </c>
      <c r="B145" t="s">
        <v>254</v>
      </c>
      <c r="C145" s="3" t="str">
        <f>VLOOKUP(Table2[[#This Row],[Tegevusala]],Table4[],2,FALSE)</f>
        <v>Laekvere teeninduspiirkond</v>
      </c>
      <c r="D145" s="3" t="str">
        <f>VLOOKUP(Table2[[#This Row],[Tegevusala]],Table4[[Tegevusala kood]:[Tegevusala alanimetus]],4,FALSE)</f>
        <v>Muu elamu- ja kommunaalmajanduse tegevus</v>
      </c>
      <c r="E145" s="3" t="str">
        <f>VLOOKUP(Table2[[#This Row],[Tegevusala nimetus2]],Table4[[Tegevusala nimetus]:[Tegevusala koondnimetus]],2,FALSE)</f>
        <v>Elamu- ja kommunaalmajandus</v>
      </c>
      <c r="F145" t="s">
        <v>831</v>
      </c>
      <c r="G145" t="s">
        <v>866</v>
      </c>
      <c r="H145" s="40">
        <v>210</v>
      </c>
      <c r="I145" s="2" t="s">
        <v>867</v>
      </c>
      <c r="J145">
        <v>5511</v>
      </c>
      <c r="K145" s="3" t="str">
        <f>VLOOKUP(Table2[[#This Row],[Konto]],Table5[[Konto]:[Konto nimetus]],2,FALSE)</f>
        <v>Kinnistute, hoonete ja ruumide majandamiskulud</v>
      </c>
      <c r="L145">
        <v>55</v>
      </c>
      <c r="M145" t="str">
        <f t="shared" si="5"/>
        <v>55</v>
      </c>
      <c r="N145" s="3" t="str">
        <f>VLOOKUP(Table2[[#This Row],[Tulu/kulu liik2]],Table5[[Tulu/kulu liik]:[Kontode koondnimetus]],4,FALSE)</f>
        <v>Muud tegevuskulud</v>
      </c>
      <c r="O145" s="3" t="str">
        <f>VLOOKUP(Table2[[#This Row],[Tulu/kulu liik2]],Table5[],6,FALSE)</f>
        <v>Majandamiskulud</v>
      </c>
      <c r="P145" s="3" t="str">
        <f>VLOOKUP(Table2[[#This Row],[Tulu/kulu liik2]],Table5[],5,FALSE)</f>
        <v>Põhitegevuse kulu</v>
      </c>
    </row>
    <row r="146" spans="1:16" hidden="1" x14ac:dyDescent="0.25">
      <c r="A146" t="str">
        <f t="shared" si="4"/>
        <v>06</v>
      </c>
      <c r="B146" t="s">
        <v>254</v>
      </c>
      <c r="C146" s="3" t="str">
        <f>VLOOKUP(Table2[[#This Row],[Tegevusala]],Table4[],2,FALSE)</f>
        <v>Laekvere teeninduspiirkond</v>
      </c>
      <c r="D146" s="3" t="str">
        <f>VLOOKUP(Table2[[#This Row],[Tegevusala]],Table4[[Tegevusala kood]:[Tegevusala alanimetus]],4,FALSE)</f>
        <v>Muu elamu- ja kommunaalmajanduse tegevus</v>
      </c>
      <c r="E146" s="3" t="str">
        <f>VLOOKUP(Table2[[#This Row],[Tegevusala nimetus2]],Table4[[Tegevusala nimetus]:[Tegevusala koondnimetus]],2,FALSE)</f>
        <v>Elamu- ja kommunaalmajandus</v>
      </c>
      <c r="F146" t="s">
        <v>831</v>
      </c>
      <c r="G146" s="33" t="s">
        <v>868</v>
      </c>
      <c r="H146" s="47">
        <v>3500</v>
      </c>
      <c r="I146" s="35" t="s">
        <v>869</v>
      </c>
      <c r="J146">
        <v>5511</v>
      </c>
      <c r="K146" s="3" t="str">
        <f>VLOOKUP(Table2[[#This Row],[Konto]],Table5[[Konto]:[Konto nimetus]],2,FALSE)</f>
        <v>Kinnistute, hoonete ja ruumide majandamiskulud</v>
      </c>
      <c r="L146">
        <v>55</v>
      </c>
      <c r="M146" t="str">
        <f t="shared" si="5"/>
        <v>55</v>
      </c>
      <c r="N146" s="3" t="str">
        <f>VLOOKUP(Table2[[#This Row],[Tulu/kulu liik2]],Table5[[Tulu/kulu liik]:[Kontode koondnimetus]],4,FALSE)</f>
        <v>Muud tegevuskulud</v>
      </c>
      <c r="O146" s="3" t="str">
        <f>VLOOKUP(Table2[[#This Row],[Tulu/kulu liik2]],Table5[],6,FALSE)</f>
        <v>Majandamiskulud</v>
      </c>
      <c r="P146" s="3" t="str">
        <f>VLOOKUP(Table2[[#This Row],[Tulu/kulu liik2]],Table5[],5,FALSE)</f>
        <v>Põhitegevuse kulu</v>
      </c>
    </row>
    <row r="147" spans="1:16" hidden="1" x14ac:dyDescent="0.25">
      <c r="A147" t="str">
        <f t="shared" si="4"/>
        <v>06</v>
      </c>
      <c r="B147" t="s">
        <v>254</v>
      </c>
      <c r="C147" s="3" t="str">
        <f>VLOOKUP(Table2[[#This Row],[Tegevusala]],Table4[],2,FALSE)</f>
        <v>Laekvere teeninduspiirkond</v>
      </c>
      <c r="D147" s="3" t="str">
        <f>VLOOKUP(Table2[[#This Row],[Tegevusala]],Table4[[Tegevusala kood]:[Tegevusala alanimetus]],4,FALSE)</f>
        <v>Muu elamu- ja kommunaalmajanduse tegevus</v>
      </c>
      <c r="E147" s="3" t="str">
        <f>VLOOKUP(Table2[[#This Row],[Tegevusala nimetus2]],Table4[[Tegevusala nimetus]:[Tegevusala koondnimetus]],2,FALSE)</f>
        <v>Elamu- ja kommunaalmajandus</v>
      </c>
      <c r="F147" t="s">
        <v>831</v>
      </c>
      <c r="G147" s="33" t="s">
        <v>870</v>
      </c>
      <c r="H147" s="47">
        <v>2100</v>
      </c>
      <c r="I147" s="35" t="s">
        <v>871</v>
      </c>
      <c r="J147">
        <v>5511</v>
      </c>
      <c r="K147" s="3" t="str">
        <f>VLOOKUP(Table2[[#This Row],[Konto]],Table5[[Konto]:[Konto nimetus]],2,FALSE)</f>
        <v>Kinnistute, hoonete ja ruumide majandamiskulud</v>
      </c>
      <c r="L147">
        <v>55</v>
      </c>
      <c r="M147" t="str">
        <f t="shared" si="5"/>
        <v>55</v>
      </c>
      <c r="N147" s="3" t="str">
        <f>VLOOKUP(Table2[[#This Row],[Tulu/kulu liik2]],Table5[[Tulu/kulu liik]:[Kontode koondnimetus]],4,FALSE)</f>
        <v>Muud tegevuskulud</v>
      </c>
      <c r="O147" s="3" t="str">
        <f>VLOOKUP(Table2[[#This Row],[Tulu/kulu liik2]],Table5[],6,FALSE)</f>
        <v>Majandamiskulud</v>
      </c>
      <c r="P147" s="3" t="str">
        <f>VLOOKUP(Table2[[#This Row],[Tulu/kulu liik2]],Table5[],5,FALSE)</f>
        <v>Põhitegevuse kulu</v>
      </c>
    </row>
    <row r="148" spans="1:16" hidden="1" x14ac:dyDescent="0.25">
      <c r="A148" t="str">
        <f t="shared" si="4"/>
        <v>06</v>
      </c>
      <c r="B148" t="s">
        <v>254</v>
      </c>
      <c r="C148" s="3" t="str">
        <f>VLOOKUP(Table2[[#This Row],[Tegevusala]],Table4[],2,FALSE)</f>
        <v>Laekvere teeninduspiirkond</v>
      </c>
      <c r="D148" s="3" t="str">
        <f>VLOOKUP(Table2[[#This Row],[Tegevusala]],Table4[[Tegevusala kood]:[Tegevusala alanimetus]],4,FALSE)</f>
        <v>Muu elamu- ja kommunaalmajanduse tegevus</v>
      </c>
      <c r="E148" s="3" t="str">
        <f>VLOOKUP(Table2[[#This Row],[Tegevusala nimetus2]],Table4[[Tegevusala nimetus]:[Tegevusala koondnimetus]],2,FALSE)</f>
        <v>Elamu- ja kommunaalmajandus</v>
      </c>
      <c r="F148" t="s">
        <v>831</v>
      </c>
      <c r="G148" t="s">
        <v>872</v>
      </c>
      <c r="H148" s="40">
        <v>600</v>
      </c>
      <c r="I148" s="2" t="s">
        <v>1251</v>
      </c>
      <c r="J148">
        <v>5511</v>
      </c>
      <c r="K148" s="3" t="str">
        <f>VLOOKUP(Table2[[#This Row],[Konto]],Table5[[Konto]:[Konto nimetus]],2,FALSE)</f>
        <v>Kinnistute, hoonete ja ruumide majandamiskulud</v>
      </c>
      <c r="L148">
        <v>55</v>
      </c>
      <c r="M148" t="str">
        <f t="shared" si="5"/>
        <v>55</v>
      </c>
      <c r="N148" s="3" t="str">
        <f>VLOOKUP(Table2[[#This Row],[Tulu/kulu liik2]],Table5[[Tulu/kulu liik]:[Kontode koondnimetus]],4,FALSE)</f>
        <v>Muud tegevuskulud</v>
      </c>
      <c r="O148" s="3" t="str">
        <f>VLOOKUP(Table2[[#This Row],[Tulu/kulu liik2]],Table5[],6,FALSE)</f>
        <v>Majandamiskulud</v>
      </c>
      <c r="P148" s="3" t="str">
        <f>VLOOKUP(Table2[[#This Row],[Tulu/kulu liik2]],Table5[],5,FALSE)</f>
        <v>Põhitegevuse kulu</v>
      </c>
    </row>
    <row r="149" spans="1:16" hidden="1" x14ac:dyDescent="0.25">
      <c r="A149" t="str">
        <f t="shared" si="4"/>
        <v>06</v>
      </c>
      <c r="B149" t="s">
        <v>254</v>
      </c>
      <c r="C149" s="3" t="str">
        <f>VLOOKUP(Table2[[#This Row],[Tegevusala]],Table4[],2,FALSE)</f>
        <v>Laekvere teeninduspiirkond</v>
      </c>
      <c r="D149" s="3" t="str">
        <f>VLOOKUP(Table2[[#This Row],[Tegevusala]],Table4[[Tegevusala kood]:[Tegevusala alanimetus]],4,FALSE)</f>
        <v>Muu elamu- ja kommunaalmajanduse tegevus</v>
      </c>
      <c r="E149" s="3" t="str">
        <f>VLOOKUP(Table2[[#This Row],[Tegevusala nimetus2]],Table4[[Tegevusala nimetus]:[Tegevusala koondnimetus]],2,FALSE)</f>
        <v>Elamu- ja kommunaalmajandus</v>
      </c>
      <c r="F149" t="s">
        <v>831</v>
      </c>
      <c r="G149" t="s">
        <v>873</v>
      </c>
      <c r="H149" s="40">
        <v>670</v>
      </c>
      <c r="I149" s="2" t="s">
        <v>874</v>
      </c>
      <c r="J149">
        <v>5511</v>
      </c>
      <c r="K149" s="3" t="str">
        <f>VLOOKUP(Table2[[#This Row],[Konto]],Table5[[Konto]:[Konto nimetus]],2,FALSE)</f>
        <v>Kinnistute, hoonete ja ruumide majandamiskulud</v>
      </c>
      <c r="L149">
        <v>55</v>
      </c>
      <c r="M149" t="str">
        <f t="shared" si="5"/>
        <v>55</v>
      </c>
      <c r="N149" s="3" t="str">
        <f>VLOOKUP(Table2[[#This Row],[Tulu/kulu liik2]],Table5[[Tulu/kulu liik]:[Kontode koondnimetus]],4,FALSE)</f>
        <v>Muud tegevuskulud</v>
      </c>
      <c r="O149" s="3" t="str">
        <f>VLOOKUP(Table2[[#This Row],[Tulu/kulu liik2]],Table5[],6,FALSE)</f>
        <v>Majandamiskulud</v>
      </c>
      <c r="P149" s="3" t="str">
        <f>VLOOKUP(Table2[[#This Row],[Tulu/kulu liik2]],Table5[],5,FALSE)</f>
        <v>Põhitegevuse kulu</v>
      </c>
    </row>
    <row r="150" spans="1:16" hidden="1" x14ac:dyDescent="0.25">
      <c r="A150" t="str">
        <f t="shared" si="4"/>
        <v>06</v>
      </c>
      <c r="B150" t="s">
        <v>254</v>
      </c>
      <c r="C150" s="3" t="str">
        <f>VLOOKUP(Table2[[#This Row],[Tegevusala]],Table4[],2,FALSE)</f>
        <v>Laekvere teeninduspiirkond</v>
      </c>
      <c r="D150" s="3" t="str">
        <f>VLOOKUP(Table2[[#This Row],[Tegevusala]],Table4[[Tegevusala kood]:[Tegevusala alanimetus]],4,FALSE)</f>
        <v>Muu elamu- ja kommunaalmajanduse tegevus</v>
      </c>
      <c r="E150" s="3" t="str">
        <f>VLOOKUP(Table2[[#This Row],[Tegevusala nimetus2]],Table4[[Tegevusala nimetus]:[Tegevusala koondnimetus]],2,FALSE)</f>
        <v>Elamu- ja kommunaalmajandus</v>
      </c>
      <c r="F150" t="s">
        <v>831</v>
      </c>
      <c r="G150" t="s">
        <v>875</v>
      </c>
      <c r="H150" s="40">
        <v>12000</v>
      </c>
      <c r="I150" s="2" t="s">
        <v>876</v>
      </c>
      <c r="J150">
        <v>5511</v>
      </c>
      <c r="K150" s="3" t="str">
        <f>VLOOKUP(Table2[[#This Row],[Konto]],Table5[[Konto]:[Konto nimetus]],2,FALSE)</f>
        <v>Kinnistute, hoonete ja ruumide majandamiskulud</v>
      </c>
      <c r="L150">
        <v>55</v>
      </c>
      <c r="M150" t="str">
        <f t="shared" si="5"/>
        <v>55</v>
      </c>
      <c r="N150" s="3" t="str">
        <f>VLOOKUP(Table2[[#This Row],[Tulu/kulu liik2]],Table5[[Tulu/kulu liik]:[Kontode koondnimetus]],4,FALSE)</f>
        <v>Muud tegevuskulud</v>
      </c>
      <c r="O150" s="3" t="str">
        <f>VLOOKUP(Table2[[#This Row],[Tulu/kulu liik2]],Table5[],6,FALSE)</f>
        <v>Majandamiskulud</v>
      </c>
      <c r="P150" s="3" t="str">
        <f>VLOOKUP(Table2[[#This Row],[Tulu/kulu liik2]],Table5[],5,FALSE)</f>
        <v>Põhitegevuse kulu</v>
      </c>
    </row>
    <row r="151" spans="1:16" hidden="1" x14ac:dyDescent="0.25">
      <c r="A151" t="str">
        <f t="shared" si="4"/>
        <v>06</v>
      </c>
      <c r="B151" t="s">
        <v>254</v>
      </c>
      <c r="C151" s="3" t="str">
        <f>VLOOKUP(Table2[[#This Row],[Tegevusala]],Table4[],2,FALSE)</f>
        <v>Laekvere teeninduspiirkond</v>
      </c>
      <c r="D151" s="3" t="str">
        <f>VLOOKUP(Table2[[#This Row],[Tegevusala]],Table4[[Tegevusala kood]:[Tegevusala alanimetus]],4,FALSE)</f>
        <v>Muu elamu- ja kommunaalmajanduse tegevus</v>
      </c>
      <c r="E151" s="3" t="str">
        <f>VLOOKUP(Table2[[#This Row],[Tegevusala nimetus2]],Table4[[Tegevusala nimetus]:[Tegevusala koondnimetus]],2,FALSE)</f>
        <v>Elamu- ja kommunaalmajandus</v>
      </c>
      <c r="F151" t="s">
        <v>831</v>
      </c>
      <c r="G151" s="33" t="s">
        <v>877</v>
      </c>
      <c r="H151" s="47">
        <v>1300</v>
      </c>
      <c r="I151" s="35" t="s">
        <v>878</v>
      </c>
      <c r="J151">
        <v>5511</v>
      </c>
      <c r="K151" s="3" t="str">
        <f>VLOOKUP(Table2[[#This Row],[Konto]],Table5[[Konto]:[Konto nimetus]],2,FALSE)</f>
        <v>Kinnistute, hoonete ja ruumide majandamiskulud</v>
      </c>
      <c r="L151">
        <v>55</v>
      </c>
      <c r="M151" t="str">
        <f t="shared" si="5"/>
        <v>55</v>
      </c>
      <c r="N151" s="3" t="str">
        <f>VLOOKUP(Table2[[#This Row],[Tulu/kulu liik2]],Table5[[Tulu/kulu liik]:[Kontode koondnimetus]],4,FALSE)</f>
        <v>Muud tegevuskulud</v>
      </c>
      <c r="O151" s="3" t="str">
        <f>VLOOKUP(Table2[[#This Row],[Tulu/kulu liik2]],Table5[],6,FALSE)</f>
        <v>Majandamiskulud</v>
      </c>
      <c r="P151" s="3" t="str">
        <f>VLOOKUP(Table2[[#This Row],[Tulu/kulu liik2]],Table5[],5,FALSE)</f>
        <v>Põhitegevuse kulu</v>
      </c>
    </row>
    <row r="152" spans="1:16" hidden="1" x14ac:dyDescent="0.25">
      <c r="A152" t="str">
        <f t="shared" si="4"/>
        <v>06</v>
      </c>
      <c r="B152" t="s">
        <v>254</v>
      </c>
      <c r="C152" s="3" t="str">
        <f>VLOOKUP(Table2[[#This Row],[Tegevusala]],Table4[],2,FALSE)</f>
        <v>Laekvere teeninduspiirkond</v>
      </c>
      <c r="D152" s="3" t="str">
        <f>VLOOKUP(Table2[[#This Row],[Tegevusala]],Table4[[Tegevusala kood]:[Tegevusala alanimetus]],4,FALSE)</f>
        <v>Muu elamu- ja kommunaalmajanduse tegevus</v>
      </c>
      <c r="E152" s="3" t="str">
        <f>VLOOKUP(Table2[[#This Row],[Tegevusala nimetus2]],Table4[[Tegevusala nimetus]:[Tegevusala koondnimetus]],2,FALSE)</f>
        <v>Elamu- ja kommunaalmajandus</v>
      </c>
      <c r="F152" t="s">
        <v>831</v>
      </c>
      <c r="G152" t="s">
        <v>895</v>
      </c>
      <c r="H152" s="40">
        <v>360</v>
      </c>
      <c r="I152" s="2" t="s">
        <v>896</v>
      </c>
      <c r="J152">
        <v>5511</v>
      </c>
      <c r="K152" s="3" t="str">
        <f>VLOOKUP(Table2[[#This Row],[Konto]],Table5[[Konto]:[Konto nimetus]],2,FALSE)</f>
        <v>Kinnistute, hoonete ja ruumide majandamiskulud</v>
      </c>
      <c r="L152">
        <v>55</v>
      </c>
      <c r="M152" t="str">
        <f t="shared" si="5"/>
        <v>55</v>
      </c>
      <c r="N152" s="3" t="str">
        <f>VLOOKUP(Table2[[#This Row],[Tulu/kulu liik2]],Table5[[Tulu/kulu liik]:[Kontode koondnimetus]],4,FALSE)</f>
        <v>Muud tegevuskulud</v>
      </c>
      <c r="O152" s="3" t="str">
        <f>VLOOKUP(Table2[[#This Row],[Tulu/kulu liik2]],Table5[],6,FALSE)</f>
        <v>Majandamiskulud</v>
      </c>
      <c r="P152" s="3" t="str">
        <f>VLOOKUP(Table2[[#This Row],[Tulu/kulu liik2]],Table5[],5,FALSE)</f>
        <v>Põhitegevuse kulu</v>
      </c>
    </row>
    <row r="153" spans="1:16" hidden="1" x14ac:dyDescent="0.25">
      <c r="A153" t="str">
        <f t="shared" si="4"/>
        <v>06</v>
      </c>
      <c r="B153" t="s">
        <v>254</v>
      </c>
      <c r="C153" s="3" t="str">
        <f>VLOOKUP(Table2[[#This Row],[Tegevusala]],Table4[],2,FALSE)</f>
        <v>Laekvere teeninduspiirkond</v>
      </c>
      <c r="D153" s="3" t="str">
        <f>VLOOKUP(Table2[[#This Row],[Tegevusala]],Table4[[Tegevusala kood]:[Tegevusala alanimetus]],4,FALSE)</f>
        <v>Muu elamu- ja kommunaalmajanduse tegevus</v>
      </c>
      <c r="E153" s="3" t="str">
        <f>VLOOKUP(Table2[[#This Row],[Tegevusala nimetus2]],Table4[[Tegevusala nimetus]:[Tegevusala koondnimetus]],2,FALSE)</f>
        <v>Elamu- ja kommunaalmajandus</v>
      </c>
      <c r="F153" t="s">
        <v>831</v>
      </c>
      <c r="G153" t="s">
        <v>845</v>
      </c>
      <c r="H153" s="40">
        <v>400</v>
      </c>
      <c r="I153" s="2" t="s">
        <v>846</v>
      </c>
      <c r="J153">
        <v>5500</v>
      </c>
      <c r="K153" s="3" t="str">
        <f>VLOOKUP(Table2[[#This Row],[Konto]],Table5[[Konto]:[Konto nimetus]],2,FALSE)</f>
        <v>Administreerimiskulud</v>
      </c>
      <c r="L153">
        <v>55</v>
      </c>
      <c r="M153" t="str">
        <f t="shared" si="5"/>
        <v>55</v>
      </c>
      <c r="N153" s="3" t="str">
        <f>VLOOKUP(Table2[[#This Row],[Tulu/kulu liik2]],Table5[[Tulu/kulu liik]:[Kontode koondnimetus]],4,FALSE)</f>
        <v>Muud tegevuskulud</v>
      </c>
      <c r="O153" s="3" t="str">
        <f>VLOOKUP(Table2[[#This Row],[Tulu/kulu liik2]],Table5[],6,FALSE)</f>
        <v>Majandamiskulud</v>
      </c>
      <c r="P153" s="3" t="str">
        <f>VLOOKUP(Table2[[#This Row],[Tulu/kulu liik2]],Table5[],5,FALSE)</f>
        <v>Põhitegevuse kulu</v>
      </c>
    </row>
    <row r="154" spans="1:16" hidden="1" x14ac:dyDescent="0.25">
      <c r="A154" t="str">
        <f t="shared" si="4"/>
        <v>06</v>
      </c>
      <c r="B154" t="s">
        <v>254</v>
      </c>
      <c r="C154" s="3" t="str">
        <f>VLOOKUP(Table2[[#This Row],[Tegevusala]],Table4[],2,FALSE)</f>
        <v>Laekvere teeninduspiirkond</v>
      </c>
      <c r="D154" s="3" t="str">
        <f>VLOOKUP(Table2[[#This Row],[Tegevusala]],Table4[[Tegevusala kood]:[Tegevusala alanimetus]],4,FALSE)</f>
        <v>Muu elamu- ja kommunaalmajanduse tegevus</v>
      </c>
      <c r="E154" s="3" t="str">
        <f>VLOOKUP(Table2[[#This Row],[Tegevusala nimetus2]],Table4[[Tegevusala nimetus]:[Tegevusala koondnimetus]],2,FALSE)</f>
        <v>Elamu- ja kommunaalmajandus</v>
      </c>
      <c r="F154" t="s">
        <v>831</v>
      </c>
      <c r="G154" t="s">
        <v>774</v>
      </c>
      <c r="H154" s="40">
        <v>1020</v>
      </c>
      <c r="J154">
        <v>5500</v>
      </c>
      <c r="K154" s="3" t="str">
        <f>VLOOKUP(Table2[[#This Row],[Konto]],Table5[[Konto]:[Konto nimetus]],2,FALSE)</f>
        <v>Administreerimiskulud</v>
      </c>
      <c r="L154">
        <v>55</v>
      </c>
      <c r="M154" t="str">
        <f t="shared" si="5"/>
        <v>55</v>
      </c>
      <c r="N154" s="3" t="str">
        <f>VLOOKUP(Table2[[#This Row],[Tulu/kulu liik2]],Table5[[Tulu/kulu liik]:[Kontode koondnimetus]],4,FALSE)</f>
        <v>Muud tegevuskulud</v>
      </c>
      <c r="O154" s="3" t="str">
        <f>VLOOKUP(Table2[[#This Row],[Tulu/kulu liik2]],Table5[],6,FALSE)</f>
        <v>Majandamiskulud</v>
      </c>
      <c r="P154" s="3" t="str">
        <f>VLOOKUP(Table2[[#This Row],[Tulu/kulu liik2]],Table5[],5,FALSE)</f>
        <v>Põhitegevuse kulu</v>
      </c>
    </row>
    <row r="155" spans="1:16" hidden="1" x14ac:dyDescent="0.25">
      <c r="A155" t="str">
        <f t="shared" si="4"/>
        <v>06</v>
      </c>
      <c r="B155" t="s">
        <v>254</v>
      </c>
      <c r="C155" s="3" t="str">
        <f>VLOOKUP(Table2[[#This Row],[Tegevusala]],Table4[],2,FALSE)</f>
        <v>Laekvere teeninduspiirkond</v>
      </c>
      <c r="D155" s="3" t="str">
        <f>VLOOKUP(Table2[[#This Row],[Tegevusala]],Table4[[Tegevusala kood]:[Tegevusala alanimetus]],4,FALSE)</f>
        <v>Muu elamu- ja kommunaalmajanduse tegevus</v>
      </c>
      <c r="E155" s="3" t="str">
        <f>VLOOKUP(Table2[[#This Row],[Tegevusala nimetus2]],Table4[[Tegevusala nimetus]:[Tegevusala koondnimetus]],2,FALSE)</f>
        <v>Elamu- ja kommunaalmajandus</v>
      </c>
      <c r="F155" t="s">
        <v>831</v>
      </c>
      <c r="G155" t="s">
        <v>391</v>
      </c>
      <c r="H155" s="40">
        <v>350</v>
      </c>
      <c r="J155">
        <v>5504</v>
      </c>
      <c r="K155" s="3" t="str">
        <f>VLOOKUP(Table2[[#This Row],[Konto]],Table5[[Konto]:[Konto nimetus]],2,FALSE)</f>
        <v>Koolituskulud</v>
      </c>
      <c r="L155">
        <v>55</v>
      </c>
      <c r="M155" t="str">
        <f t="shared" si="5"/>
        <v>55</v>
      </c>
      <c r="N155" s="3" t="str">
        <f>VLOOKUP(Table2[[#This Row],[Tulu/kulu liik2]],Table5[[Tulu/kulu liik]:[Kontode koondnimetus]],4,FALSE)</f>
        <v>Muud tegevuskulud</v>
      </c>
      <c r="O155" s="3" t="str">
        <f>VLOOKUP(Table2[[#This Row],[Tulu/kulu liik2]],Table5[],6,FALSE)</f>
        <v>Majandamiskulud</v>
      </c>
      <c r="P155" s="3" t="str">
        <f>VLOOKUP(Table2[[#This Row],[Tulu/kulu liik2]],Table5[],5,FALSE)</f>
        <v>Põhitegevuse kulu</v>
      </c>
    </row>
    <row r="156" spans="1:16" hidden="1" x14ac:dyDescent="0.25">
      <c r="A156" t="str">
        <f t="shared" si="4"/>
        <v>06</v>
      </c>
      <c r="B156" t="s">
        <v>254</v>
      </c>
      <c r="C156" s="3" t="str">
        <f>VLOOKUP(Table2[[#This Row],[Tegevusala]],Table4[],2,FALSE)</f>
        <v>Laekvere teeninduspiirkond</v>
      </c>
      <c r="D156" s="3" t="str">
        <f>VLOOKUP(Table2[[#This Row],[Tegevusala]],Table4[[Tegevusala kood]:[Tegevusala alanimetus]],4,FALSE)</f>
        <v>Muu elamu- ja kommunaalmajanduse tegevus</v>
      </c>
      <c r="E156" s="3" t="str">
        <f>VLOOKUP(Table2[[#This Row],[Tegevusala nimetus2]],Table4[[Tegevusala nimetus]:[Tegevusala koondnimetus]],2,FALSE)</f>
        <v>Elamu- ja kommunaalmajandus</v>
      </c>
      <c r="F156" t="s">
        <v>831</v>
      </c>
      <c r="G156" t="s">
        <v>879</v>
      </c>
      <c r="H156" s="40">
        <v>2200</v>
      </c>
      <c r="I156" s="2" t="s">
        <v>198</v>
      </c>
      <c r="J156">
        <v>5513</v>
      </c>
      <c r="K156" s="3" t="str">
        <f>VLOOKUP(Table2[[#This Row],[Konto]],Table5[[Konto]:[Konto nimetus]],2,FALSE)</f>
        <v>Sõidukite ülalpidamise kulud</v>
      </c>
      <c r="L156">
        <v>55</v>
      </c>
      <c r="M156" t="str">
        <f t="shared" si="5"/>
        <v>55</v>
      </c>
      <c r="N156" s="3" t="str">
        <f>VLOOKUP(Table2[[#This Row],[Tulu/kulu liik2]],Table5[[Tulu/kulu liik]:[Kontode koondnimetus]],4,FALSE)</f>
        <v>Muud tegevuskulud</v>
      </c>
      <c r="O156" s="3" t="str">
        <f>VLOOKUP(Table2[[#This Row],[Tulu/kulu liik2]],Table5[],6,FALSE)</f>
        <v>Majandamiskulud</v>
      </c>
      <c r="P156" s="3" t="str">
        <f>VLOOKUP(Table2[[#This Row],[Tulu/kulu liik2]],Table5[],5,FALSE)</f>
        <v>Põhitegevuse kulu</v>
      </c>
    </row>
    <row r="157" spans="1:16" hidden="1" x14ac:dyDescent="0.25">
      <c r="A157" t="str">
        <f t="shared" si="4"/>
        <v>06</v>
      </c>
      <c r="B157" t="s">
        <v>254</v>
      </c>
      <c r="C157" s="3" t="str">
        <f>VLOOKUP(Table2[[#This Row],[Tegevusala]],Table4[],2,FALSE)</f>
        <v>Laekvere teeninduspiirkond</v>
      </c>
      <c r="D157" s="3" t="str">
        <f>VLOOKUP(Table2[[#This Row],[Tegevusala]],Table4[[Tegevusala kood]:[Tegevusala alanimetus]],4,FALSE)</f>
        <v>Muu elamu- ja kommunaalmajanduse tegevus</v>
      </c>
      <c r="E157" s="3" t="str">
        <f>VLOOKUP(Table2[[#This Row],[Tegevusala nimetus2]],Table4[[Tegevusala nimetus]:[Tegevusala koondnimetus]],2,FALSE)</f>
        <v>Elamu- ja kommunaalmajandus</v>
      </c>
      <c r="F157" t="s">
        <v>831</v>
      </c>
      <c r="G157" t="s">
        <v>879</v>
      </c>
      <c r="H157" s="40">
        <v>700</v>
      </c>
      <c r="I157" s="2" t="s">
        <v>880</v>
      </c>
      <c r="J157">
        <v>5513</v>
      </c>
      <c r="K157" s="3" t="str">
        <f>VLOOKUP(Table2[[#This Row],[Konto]],Table5[[Konto]:[Konto nimetus]],2,FALSE)</f>
        <v>Sõidukite ülalpidamise kulud</v>
      </c>
      <c r="L157">
        <v>55</v>
      </c>
      <c r="M157" t="str">
        <f t="shared" si="5"/>
        <v>55</v>
      </c>
      <c r="N157" s="3" t="str">
        <f>VLOOKUP(Table2[[#This Row],[Tulu/kulu liik2]],Table5[[Tulu/kulu liik]:[Kontode koondnimetus]],4,FALSE)</f>
        <v>Muud tegevuskulud</v>
      </c>
      <c r="O157" s="3" t="str">
        <f>VLOOKUP(Table2[[#This Row],[Tulu/kulu liik2]],Table5[],6,FALSE)</f>
        <v>Majandamiskulud</v>
      </c>
      <c r="P157" s="3" t="str">
        <f>VLOOKUP(Table2[[#This Row],[Tulu/kulu liik2]],Table5[],5,FALSE)</f>
        <v>Põhitegevuse kulu</v>
      </c>
    </row>
    <row r="158" spans="1:16" hidden="1" x14ac:dyDescent="0.25">
      <c r="A158" t="str">
        <f t="shared" si="4"/>
        <v>06</v>
      </c>
      <c r="B158" t="s">
        <v>254</v>
      </c>
      <c r="C158" s="3" t="str">
        <f>VLOOKUP(Table2[[#This Row],[Tegevusala]],Table4[],2,FALSE)</f>
        <v>Laekvere teeninduspiirkond</v>
      </c>
      <c r="D158" s="3" t="str">
        <f>VLOOKUP(Table2[[#This Row],[Tegevusala]],Table4[[Tegevusala kood]:[Tegevusala alanimetus]],4,FALSE)</f>
        <v>Muu elamu- ja kommunaalmajanduse tegevus</v>
      </c>
      <c r="E158" s="3" t="str">
        <f>VLOOKUP(Table2[[#This Row],[Tegevusala nimetus2]],Table4[[Tegevusala nimetus]:[Tegevusala koondnimetus]],2,FALSE)</f>
        <v>Elamu- ja kommunaalmajandus</v>
      </c>
      <c r="F158" t="s">
        <v>831</v>
      </c>
      <c r="G158" t="s">
        <v>879</v>
      </c>
      <c r="H158" s="40">
        <v>400</v>
      </c>
      <c r="I158" s="2" t="s">
        <v>881</v>
      </c>
      <c r="J158">
        <v>5513</v>
      </c>
      <c r="K158" s="3" t="str">
        <f>VLOOKUP(Table2[[#This Row],[Konto]],Table5[[Konto]:[Konto nimetus]],2,FALSE)</f>
        <v>Sõidukite ülalpidamise kulud</v>
      </c>
      <c r="L158">
        <v>55</v>
      </c>
      <c r="M158" t="str">
        <f t="shared" si="5"/>
        <v>55</v>
      </c>
      <c r="N158" s="3" t="str">
        <f>VLOOKUP(Table2[[#This Row],[Tulu/kulu liik2]],Table5[[Tulu/kulu liik]:[Kontode koondnimetus]],4,FALSE)</f>
        <v>Muud tegevuskulud</v>
      </c>
      <c r="O158" s="3" t="str">
        <f>VLOOKUP(Table2[[#This Row],[Tulu/kulu liik2]],Table5[],6,FALSE)</f>
        <v>Majandamiskulud</v>
      </c>
      <c r="P158" s="3" t="str">
        <f>VLOOKUP(Table2[[#This Row],[Tulu/kulu liik2]],Table5[],5,FALSE)</f>
        <v>Põhitegevuse kulu</v>
      </c>
    </row>
    <row r="159" spans="1:16" hidden="1" x14ac:dyDescent="0.25">
      <c r="A159" t="str">
        <f t="shared" si="4"/>
        <v>06</v>
      </c>
      <c r="B159" t="s">
        <v>254</v>
      </c>
      <c r="C159" s="3" t="str">
        <f>VLOOKUP(Table2[[#This Row],[Tegevusala]],Table4[],2,FALSE)</f>
        <v>Laekvere teeninduspiirkond</v>
      </c>
      <c r="D159" s="3" t="str">
        <f>VLOOKUP(Table2[[#This Row],[Tegevusala]],Table4[[Tegevusala kood]:[Tegevusala alanimetus]],4,FALSE)</f>
        <v>Muu elamu- ja kommunaalmajanduse tegevus</v>
      </c>
      <c r="E159" s="3" t="str">
        <f>VLOOKUP(Table2[[#This Row],[Tegevusala nimetus2]],Table4[[Tegevusala nimetus]:[Tegevusala koondnimetus]],2,FALSE)</f>
        <v>Elamu- ja kommunaalmajandus</v>
      </c>
      <c r="F159" t="s">
        <v>831</v>
      </c>
      <c r="G159" t="s">
        <v>879</v>
      </c>
      <c r="H159" s="40">
        <v>3024</v>
      </c>
      <c r="I159" s="2" t="s">
        <v>882</v>
      </c>
      <c r="J159">
        <v>5513</v>
      </c>
      <c r="K159" s="3" t="str">
        <f>VLOOKUP(Table2[[#This Row],[Konto]],Table5[[Konto]:[Konto nimetus]],2,FALSE)</f>
        <v>Sõidukite ülalpidamise kulud</v>
      </c>
      <c r="L159">
        <v>55</v>
      </c>
      <c r="M159" t="str">
        <f t="shared" si="5"/>
        <v>55</v>
      </c>
      <c r="N159" s="3" t="str">
        <f>VLOOKUP(Table2[[#This Row],[Tulu/kulu liik2]],Table5[[Tulu/kulu liik]:[Kontode koondnimetus]],4,FALSE)</f>
        <v>Muud tegevuskulud</v>
      </c>
      <c r="O159" s="3" t="str">
        <f>VLOOKUP(Table2[[#This Row],[Tulu/kulu liik2]],Table5[],6,FALSE)</f>
        <v>Majandamiskulud</v>
      </c>
      <c r="P159" s="3" t="str">
        <f>VLOOKUP(Table2[[#This Row],[Tulu/kulu liik2]],Table5[],5,FALSE)</f>
        <v>Põhitegevuse kulu</v>
      </c>
    </row>
    <row r="160" spans="1:16" hidden="1" x14ac:dyDescent="0.25">
      <c r="A160" t="str">
        <f t="shared" si="4"/>
        <v>06</v>
      </c>
      <c r="B160" t="s">
        <v>254</v>
      </c>
      <c r="C160" s="3" t="str">
        <f>VLOOKUP(Table2[[#This Row],[Tegevusala]],Table4[],2,FALSE)</f>
        <v>Laekvere teeninduspiirkond</v>
      </c>
      <c r="D160" s="3" t="str">
        <f>VLOOKUP(Table2[[#This Row],[Tegevusala]],Table4[[Tegevusala kood]:[Tegevusala alanimetus]],4,FALSE)</f>
        <v>Muu elamu- ja kommunaalmajanduse tegevus</v>
      </c>
      <c r="E160" s="3" t="str">
        <f>VLOOKUP(Table2[[#This Row],[Tegevusala nimetus2]],Table4[[Tegevusala nimetus]:[Tegevusala koondnimetus]],2,FALSE)</f>
        <v>Elamu- ja kommunaalmajandus</v>
      </c>
      <c r="F160" t="s">
        <v>831</v>
      </c>
      <c r="G160" t="s">
        <v>883</v>
      </c>
      <c r="H160" s="40">
        <v>500</v>
      </c>
      <c r="I160" s="2" t="s">
        <v>884</v>
      </c>
      <c r="J160">
        <v>5513</v>
      </c>
      <c r="K160" s="3" t="str">
        <f>VLOOKUP(Table2[[#This Row],[Konto]],Table5[[Konto]:[Konto nimetus]],2,FALSE)</f>
        <v>Sõidukite ülalpidamise kulud</v>
      </c>
      <c r="L160">
        <v>55</v>
      </c>
      <c r="M160" t="str">
        <f t="shared" si="5"/>
        <v>55</v>
      </c>
      <c r="N160" s="3" t="str">
        <f>VLOOKUP(Table2[[#This Row],[Tulu/kulu liik2]],Table5[[Tulu/kulu liik]:[Kontode koondnimetus]],4,FALSE)</f>
        <v>Muud tegevuskulud</v>
      </c>
      <c r="O160" s="3" t="str">
        <f>VLOOKUP(Table2[[#This Row],[Tulu/kulu liik2]],Table5[],6,FALSE)</f>
        <v>Majandamiskulud</v>
      </c>
      <c r="P160" s="3" t="str">
        <f>VLOOKUP(Table2[[#This Row],[Tulu/kulu liik2]],Table5[],5,FALSE)</f>
        <v>Põhitegevuse kulu</v>
      </c>
    </row>
    <row r="161" spans="1:16" hidden="1" x14ac:dyDescent="0.25">
      <c r="A161" t="str">
        <f t="shared" si="4"/>
        <v>06</v>
      </c>
      <c r="B161" t="s">
        <v>254</v>
      </c>
      <c r="C161" s="3" t="str">
        <f>VLOOKUP(Table2[[#This Row],[Tegevusala]],Table4[],2,FALSE)</f>
        <v>Laekvere teeninduspiirkond</v>
      </c>
      <c r="D161" s="3" t="str">
        <f>VLOOKUP(Table2[[#This Row],[Tegevusala]],Table4[[Tegevusala kood]:[Tegevusala alanimetus]],4,FALSE)</f>
        <v>Muu elamu- ja kommunaalmajanduse tegevus</v>
      </c>
      <c r="E161" s="3" t="str">
        <f>VLOOKUP(Table2[[#This Row],[Tegevusala nimetus2]],Table4[[Tegevusala nimetus]:[Tegevusala koondnimetus]],2,FALSE)</f>
        <v>Elamu- ja kommunaalmajandus</v>
      </c>
      <c r="F161" t="s">
        <v>831</v>
      </c>
      <c r="G161" t="s">
        <v>883</v>
      </c>
      <c r="H161" s="40">
        <v>2100</v>
      </c>
      <c r="I161" s="2" t="s">
        <v>198</v>
      </c>
      <c r="J161">
        <v>5513</v>
      </c>
      <c r="K161" s="3" t="str">
        <f>VLOOKUP(Table2[[#This Row],[Konto]],Table5[[Konto]:[Konto nimetus]],2,FALSE)</f>
        <v>Sõidukite ülalpidamise kulud</v>
      </c>
      <c r="L161">
        <v>55</v>
      </c>
      <c r="M161" t="str">
        <f t="shared" si="5"/>
        <v>55</v>
      </c>
      <c r="N161" s="3" t="str">
        <f>VLOOKUP(Table2[[#This Row],[Tulu/kulu liik2]],Table5[[Tulu/kulu liik]:[Kontode koondnimetus]],4,FALSE)</f>
        <v>Muud tegevuskulud</v>
      </c>
      <c r="O161" s="3" t="str">
        <f>VLOOKUP(Table2[[#This Row],[Tulu/kulu liik2]],Table5[],6,FALSE)</f>
        <v>Majandamiskulud</v>
      </c>
      <c r="P161" s="3" t="str">
        <f>VLOOKUP(Table2[[#This Row],[Tulu/kulu liik2]],Table5[],5,FALSE)</f>
        <v>Põhitegevuse kulu</v>
      </c>
    </row>
    <row r="162" spans="1:16" hidden="1" x14ac:dyDescent="0.25">
      <c r="A162" t="str">
        <f t="shared" si="4"/>
        <v>06</v>
      </c>
      <c r="B162" t="s">
        <v>254</v>
      </c>
      <c r="C162" s="3" t="str">
        <f>VLOOKUP(Table2[[#This Row],[Tegevusala]],Table4[],2,FALSE)</f>
        <v>Laekvere teeninduspiirkond</v>
      </c>
      <c r="D162" s="3" t="str">
        <f>VLOOKUP(Table2[[#This Row],[Tegevusala]],Table4[[Tegevusala kood]:[Tegevusala alanimetus]],4,FALSE)</f>
        <v>Muu elamu- ja kommunaalmajanduse tegevus</v>
      </c>
      <c r="E162" s="3" t="str">
        <f>VLOOKUP(Table2[[#This Row],[Tegevusala nimetus2]],Table4[[Tegevusala nimetus]:[Tegevusala koondnimetus]],2,FALSE)</f>
        <v>Elamu- ja kommunaalmajandus</v>
      </c>
      <c r="F162" t="s">
        <v>831</v>
      </c>
      <c r="G162" t="s">
        <v>883</v>
      </c>
      <c r="H162" s="40">
        <v>400</v>
      </c>
      <c r="I162" s="2" t="s">
        <v>881</v>
      </c>
      <c r="J162">
        <v>5513</v>
      </c>
      <c r="K162" s="3" t="str">
        <f>VLOOKUP(Table2[[#This Row],[Konto]],Table5[[Konto]:[Konto nimetus]],2,FALSE)</f>
        <v>Sõidukite ülalpidamise kulud</v>
      </c>
      <c r="L162">
        <v>55</v>
      </c>
      <c r="M162" t="str">
        <f t="shared" si="5"/>
        <v>55</v>
      </c>
      <c r="N162" s="3" t="str">
        <f>VLOOKUP(Table2[[#This Row],[Tulu/kulu liik2]],Table5[[Tulu/kulu liik]:[Kontode koondnimetus]],4,FALSE)</f>
        <v>Muud tegevuskulud</v>
      </c>
      <c r="O162" s="3" t="str">
        <f>VLOOKUP(Table2[[#This Row],[Tulu/kulu liik2]],Table5[],6,FALSE)</f>
        <v>Majandamiskulud</v>
      </c>
      <c r="P162" s="3" t="str">
        <f>VLOOKUP(Table2[[#This Row],[Tulu/kulu liik2]],Table5[],5,FALSE)</f>
        <v>Põhitegevuse kulu</v>
      </c>
    </row>
    <row r="163" spans="1:16" hidden="1" x14ac:dyDescent="0.25">
      <c r="A163" t="str">
        <f t="shared" si="4"/>
        <v>06</v>
      </c>
      <c r="B163" t="s">
        <v>254</v>
      </c>
      <c r="C163" s="3" t="str">
        <f>VLOOKUP(Table2[[#This Row],[Tegevusala]],Table4[],2,FALSE)</f>
        <v>Laekvere teeninduspiirkond</v>
      </c>
      <c r="D163" s="3" t="str">
        <f>VLOOKUP(Table2[[#This Row],[Tegevusala]],Table4[[Tegevusala kood]:[Tegevusala alanimetus]],4,FALSE)</f>
        <v>Muu elamu- ja kommunaalmajanduse tegevus</v>
      </c>
      <c r="E163" s="3" t="str">
        <f>VLOOKUP(Table2[[#This Row],[Tegevusala nimetus2]],Table4[[Tegevusala nimetus]:[Tegevusala koondnimetus]],2,FALSE)</f>
        <v>Elamu- ja kommunaalmajandus</v>
      </c>
      <c r="F163" t="s">
        <v>831</v>
      </c>
      <c r="G163" t="s">
        <v>885</v>
      </c>
      <c r="H163" s="40">
        <v>100</v>
      </c>
      <c r="I163" s="2" t="s">
        <v>886</v>
      </c>
      <c r="J163">
        <v>5513</v>
      </c>
      <c r="K163" s="3" t="str">
        <f>VLOOKUP(Table2[[#This Row],[Konto]],Table5[[Konto]:[Konto nimetus]],2,FALSE)</f>
        <v>Sõidukite ülalpidamise kulud</v>
      </c>
      <c r="L163">
        <v>55</v>
      </c>
      <c r="M163" t="str">
        <f t="shared" si="5"/>
        <v>55</v>
      </c>
      <c r="N163" s="3" t="str">
        <f>VLOOKUP(Table2[[#This Row],[Tulu/kulu liik2]],Table5[[Tulu/kulu liik]:[Kontode koondnimetus]],4,FALSE)</f>
        <v>Muud tegevuskulud</v>
      </c>
      <c r="O163" s="3" t="str">
        <f>VLOOKUP(Table2[[#This Row],[Tulu/kulu liik2]],Table5[],6,FALSE)</f>
        <v>Majandamiskulud</v>
      </c>
      <c r="P163" s="3" t="str">
        <f>VLOOKUP(Table2[[#This Row],[Tulu/kulu liik2]],Table5[],5,FALSE)</f>
        <v>Põhitegevuse kulu</v>
      </c>
    </row>
    <row r="164" spans="1:16" hidden="1" x14ac:dyDescent="0.25">
      <c r="A164" t="str">
        <f t="shared" si="4"/>
        <v>06</v>
      </c>
      <c r="B164" t="s">
        <v>254</v>
      </c>
      <c r="C164" s="3" t="str">
        <f>VLOOKUP(Table2[[#This Row],[Tegevusala]],Table4[],2,FALSE)</f>
        <v>Laekvere teeninduspiirkond</v>
      </c>
      <c r="D164" s="3" t="str">
        <f>VLOOKUP(Table2[[#This Row],[Tegevusala]],Table4[[Tegevusala kood]:[Tegevusala alanimetus]],4,FALSE)</f>
        <v>Muu elamu- ja kommunaalmajanduse tegevus</v>
      </c>
      <c r="E164" s="3" t="str">
        <f>VLOOKUP(Table2[[#This Row],[Tegevusala nimetus2]],Table4[[Tegevusala nimetus]:[Tegevusala koondnimetus]],2,FALSE)</f>
        <v>Elamu- ja kommunaalmajandus</v>
      </c>
      <c r="F164" t="s">
        <v>831</v>
      </c>
      <c r="G164" t="s">
        <v>885</v>
      </c>
      <c r="H164" s="40">
        <v>500</v>
      </c>
      <c r="I164" s="2" t="s">
        <v>887</v>
      </c>
      <c r="J164">
        <v>5513</v>
      </c>
      <c r="K164" s="3" t="str">
        <f>VLOOKUP(Table2[[#This Row],[Konto]],Table5[[Konto]:[Konto nimetus]],2,FALSE)</f>
        <v>Sõidukite ülalpidamise kulud</v>
      </c>
      <c r="L164">
        <v>55</v>
      </c>
      <c r="M164" t="str">
        <f t="shared" si="5"/>
        <v>55</v>
      </c>
      <c r="N164" s="3" t="str">
        <f>VLOOKUP(Table2[[#This Row],[Tulu/kulu liik2]],Table5[[Tulu/kulu liik]:[Kontode koondnimetus]],4,FALSE)</f>
        <v>Muud tegevuskulud</v>
      </c>
      <c r="O164" s="3" t="str">
        <f>VLOOKUP(Table2[[#This Row],[Tulu/kulu liik2]],Table5[],6,FALSE)</f>
        <v>Majandamiskulud</v>
      </c>
      <c r="P164" s="3" t="str">
        <f>VLOOKUP(Table2[[#This Row],[Tulu/kulu liik2]],Table5[],5,FALSE)</f>
        <v>Põhitegevuse kulu</v>
      </c>
    </row>
    <row r="165" spans="1:16" hidden="1" x14ac:dyDescent="0.25">
      <c r="A165" t="str">
        <f t="shared" si="4"/>
        <v>06</v>
      </c>
      <c r="B165" t="s">
        <v>254</v>
      </c>
      <c r="C165" s="3" t="str">
        <f>VLOOKUP(Table2[[#This Row],[Tegevusala]],Table4[],2,FALSE)</f>
        <v>Laekvere teeninduspiirkond</v>
      </c>
      <c r="D165" s="3" t="str">
        <f>VLOOKUP(Table2[[#This Row],[Tegevusala]],Table4[[Tegevusala kood]:[Tegevusala alanimetus]],4,FALSE)</f>
        <v>Muu elamu- ja kommunaalmajanduse tegevus</v>
      </c>
      <c r="E165" s="3" t="str">
        <f>VLOOKUP(Table2[[#This Row],[Tegevusala nimetus2]],Table4[[Tegevusala nimetus]:[Tegevusala koondnimetus]],2,FALSE)</f>
        <v>Elamu- ja kommunaalmajandus</v>
      </c>
      <c r="F165" t="s">
        <v>831</v>
      </c>
      <c r="G165" t="s">
        <v>888</v>
      </c>
      <c r="H165" s="40">
        <v>600</v>
      </c>
      <c r="I165" s="2" t="s">
        <v>881</v>
      </c>
      <c r="J165">
        <v>5513</v>
      </c>
      <c r="K165" s="3" t="str">
        <f>VLOOKUP(Table2[[#This Row],[Konto]],Table5[[Konto]:[Konto nimetus]],2,FALSE)</f>
        <v>Sõidukite ülalpidamise kulud</v>
      </c>
      <c r="L165">
        <v>55</v>
      </c>
      <c r="M165" t="str">
        <f t="shared" si="5"/>
        <v>55</v>
      </c>
      <c r="N165" s="3" t="str">
        <f>VLOOKUP(Table2[[#This Row],[Tulu/kulu liik2]],Table5[[Tulu/kulu liik]:[Kontode koondnimetus]],4,FALSE)</f>
        <v>Muud tegevuskulud</v>
      </c>
      <c r="O165" s="3" t="str">
        <f>VLOOKUP(Table2[[#This Row],[Tulu/kulu liik2]],Table5[],6,FALSE)</f>
        <v>Majandamiskulud</v>
      </c>
      <c r="P165" s="3" t="str">
        <f>VLOOKUP(Table2[[#This Row],[Tulu/kulu liik2]],Table5[],5,FALSE)</f>
        <v>Põhitegevuse kulu</v>
      </c>
    </row>
    <row r="166" spans="1:16" hidden="1" x14ac:dyDescent="0.25">
      <c r="A166" t="str">
        <f t="shared" si="4"/>
        <v>06</v>
      </c>
      <c r="B166" t="s">
        <v>254</v>
      </c>
      <c r="C166" s="3" t="str">
        <f>VLOOKUP(Table2[[#This Row],[Tegevusala]],Table4[],2,FALSE)</f>
        <v>Laekvere teeninduspiirkond</v>
      </c>
      <c r="D166" s="3" t="str">
        <f>VLOOKUP(Table2[[#This Row],[Tegevusala]],Table4[[Tegevusala kood]:[Tegevusala alanimetus]],4,FALSE)</f>
        <v>Muu elamu- ja kommunaalmajanduse tegevus</v>
      </c>
      <c r="E166" s="3" t="str">
        <f>VLOOKUP(Table2[[#This Row],[Tegevusala nimetus2]],Table4[[Tegevusala nimetus]:[Tegevusala koondnimetus]],2,FALSE)</f>
        <v>Elamu- ja kommunaalmajandus</v>
      </c>
      <c r="F166" t="s">
        <v>831</v>
      </c>
      <c r="G166" t="s">
        <v>889</v>
      </c>
      <c r="H166" s="40">
        <v>1500</v>
      </c>
      <c r="I166" s="2" t="s">
        <v>890</v>
      </c>
      <c r="J166">
        <v>5513</v>
      </c>
      <c r="K166" s="3" t="str">
        <f>VLOOKUP(Table2[[#This Row],[Konto]],Table5[[Konto]:[Konto nimetus]],2,FALSE)</f>
        <v>Sõidukite ülalpidamise kulud</v>
      </c>
      <c r="L166">
        <v>55</v>
      </c>
      <c r="M166" t="str">
        <f t="shared" si="5"/>
        <v>55</v>
      </c>
      <c r="N166" s="3" t="str">
        <f>VLOOKUP(Table2[[#This Row],[Tulu/kulu liik2]],Table5[[Tulu/kulu liik]:[Kontode koondnimetus]],4,FALSE)</f>
        <v>Muud tegevuskulud</v>
      </c>
      <c r="O166" s="3" t="str">
        <f>VLOOKUP(Table2[[#This Row],[Tulu/kulu liik2]],Table5[],6,FALSE)</f>
        <v>Majandamiskulud</v>
      </c>
      <c r="P166" s="3" t="str">
        <f>VLOOKUP(Table2[[#This Row],[Tulu/kulu liik2]],Table5[],5,FALSE)</f>
        <v>Põhitegevuse kulu</v>
      </c>
    </row>
    <row r="167" spans="1:16" hidden="1" x14ac:dyDescent="0.25">
      <c r="A167" t="str">
        <f t="shared" si="4"/>
        <v>06</v>
      </c>
      <c r="B167" t="s">
        <v>254</v>
      </c>
      <c r="C167" s="3" t="str">
        <f>VLOOKUP(Table2[[#This Row],[Tegevusala]],Table4[],2,FALSE)</f>
        <v>Laekvere teeninduspiirkond</v>
      </c>
      <c r="D167" s="3" t="str">
        <f>VLOOKUP(Table2[[#This Row],[Tegevusala]],Table4[[Tegevusala kood]:[Tegevusala alanimetus]],4,FALSE)</f>
        <v>Muu elamu- ja kommunaalmajanduse tegevus</v>
      </c>
      <c r="E167" s="3" t="str">
        <f>VLOOKUP(Table2[[#This Row],[Tegevusala nimetus2]],Table4[[Tegevusala nimetus]:[Tegevusala koondnimetus]],2,FALSE)</f>
        <v>Elamu- ja kommunaalmajandus</v>
      </c>
      <c r="F167" t="s">
        <v>831</v>
      </c>
      <c r="G167" t="s">
        <v>891</v>
      </c>
      <c r="H167" s="40">
        <v>500</v>
      </c>
      <c r="I167" s="2" t="s">
        <v>892</v>
      </c>
      <c r="J167">
        <v>5513</v>
      </c>
      <c r="K167" s="3" t="str">
        <f>VLOOKUP(Table2[[#This Row],[Konto]],Table5[[Konto]:[Konto nimetus]],2,FALSE)</f>
        <v>Sõidukite ülalpidamise kulud</v>
      </c>
      <c r="L167">
        <v>55</v>
      </c>
      <c r="M167" t="str">
        <f t="shared" si="5"/>
        <v>55</v>
      </c>
      <c r="N167" s="3" t="str">
        <f>VLOOKUP(Table2[[#This Row],[Tulu/kulu liik2]],Table5[[Tulu/kulu liik]:[Kontode koondnimetus]],4,FALSE)</f>
        <v>Muud tegevuskulud</v>
      </c>
      <c r="O167" s="3" t="str">
        <f>VLOOKUP(Table2[[#This Row],[Tulu/kulu liik2]],Table5[],6,FALSE)</f>
        <v>Majandamiskulud</v>
      </c>
      <c r="P167" s="3" t="str">
        <f>VLOOKUP(Table2[[#This Row],[Tulu/kulu liik2]],Table5[],5,FALSE)</f>
        <v>Põhitegevuse kulu</v>
      </c>
    </row>
    <row r="168" spans="1:16" hidden="1" x14ac:dyDescent="0.25">
      <c r="A168" t="str">
        <f t="shared" si="4"/>
        <v>06</v>
      </c>
      <c r="B168" t="s">
        <v>254</v>
      </c>
      <c r="C168" s="3" t="str">
        <f>VLOOKUP(Table2[[#This Row],[Tegevusala]],Table4[],2,FALSE)</f>
        <v>Laekvere teeninduspiirkond</v>
      </c>
      <c r="D168" s="3" t="str">
        <f>VLOOKUP(Table2[[#This Row],[Tegevusala]],Table4[[Tegevusala kood]:[Tegevusala alanimetus]],4,FALSE)</f>
        <v>Muu elamu- ja kommunaalmajanduse tegevus</v>
      </c>
      <c r="E168" s="3" t="str">
        <f>VLOOKUP(Table2[[#This Row],[Tegevusala nimetus2]],Table4[[Tegevusala nimetus]:[Tegevusala koondnimetus]],2,FALSE)</f>
        <v>Elamu- ja kommunaalmajandus</v>
      </c>
      <c r="F168" t="s">
        <v>831</v>
      </c>
      <c r="G168" s="33" t="s">
        <v>899</v>
      </c>
      <c r="H168" s="47">
        <v>1700</v>
      </c>
      <c r="I168" s="35" t="s">
        <v>900</v>
      </c>
      <c r="J168">
        <v>5515</v>
      </c>
      <c r="K168" s="3" t="str">
        <f>VLOOKUP(Table2[[#This Row],[Konto]],Table5[[Konto]:[Konto nimetus]],2,FALSE)</f>
        <v>Inventari kulud, v.a infotehnoloogia ja kaitseotstarbelised kulud</v>
      </c>
      <c r="L168">
        <v>55</v>
      </c>
      <c r="M168" t="str">
        <f t="shared" si="5"/>
        <v>55</v>
      </c>
      <c r="N168" s="3" t="str">
        <f>VLOOKUP(Table2[[#This Row],[Tulu/kulu liik2]],Table5[[Tulu/kulu liik]:[Kontode koondnimetus]],4,FALSE)</f>
        <v>Muud tegevuskulud</v>
      </c>
      <c r="O168" s="3" t="str">
        <f>VLOOKUP(Table2[[#This Row],[Tulu/kulu liik2]],Table5[],6,FALSE)</f>
        <v>Majandamiskulud</v>
      </c>
      <c r="P168" s="3" t="str">
        <f>VLOOKUP(Table2[[#This Row],[Tulu/kulu liik2]],Table5[],5,FALSE)</f>
        <v>Põhitegevuse kulu</v>
      </c>
    </row>
    <row r="169" spans="1:16" hidden="1" x14ac:dyDescent="0.25">
      <c r="A169" t="str">
        <f t="shared" si="4"/>
        <v>06</v>
      </c>
      <c r="B169" t="s">
        <v>254</v>
      </c>
      <c r="C169" s="3" t="str">
        <f>VLOOKUP(Table2[[#This Row],[Tegevusala]],Table4[],2,FALSE)</f>
        <v>Laekvere teeninduspiirkond</v>
      </c>
      <c r="D169" s="3" t="str">
        <f>VLOOKUP(Table2[[#This Row],[Tegevusala]],Table4[[Tegevusala kood]:[Tegevusala alanimetus]],4,FALSE)</f>
        <v>Muu elamu- ja kommunaalmajanduse tegevus</v>
      </c>
      <c r="E169" s="3" t="str">
        <f>VLOOKUP(Table2[[#This Row],[Tegevusala nimetus2]],Table4[[Tegevusala nimetus]:[Tegevusala koondnimetus]],2,FALSE)</f>
        <v>Elamu- ja kommunaalmajandus</v>
      </c>
      <c r="F169" t="s">
        <v>831</v>
      </c>
      <c r="G169" s="33" t="s">
        <v>901</v>
      </c>
      <c r="H169" s="47">
        <v>2800</v>
      </c>
      <c r="I169" s="35" t="s">
        <v>902</v>
      </c>
      <c r="J169">
        <v>5515</v>
      </c>
      <c r="K169" s="3" t="str">
        <f>VLOOKUP(Table2[[#This Row],[Konto]],Table5[[Konto]:[Konto nimetus]],2,FALSE)</f>
        <v>Inventari kulud, v.a infotehnoloogia ja kaitseotstarbelised kulud</v>
      </c>
      <c r="L169">
        <v>55</v>
      </c>
      <c r="M169" t="str">
        <f t="shared" si="5"/>
        <v>55</v>
      </c>
      <c r="N169" s="3" t="str">
        <f>VLOOKUP(Table2[[#This Row],[Tulu/kulu liik2]],Table5[[Tulu/kulu liik]:[Kontode koondnimetus]],4,FALSE)</f>
        <v>Muud tegevuskulud</v>
      </c>
      <c r="O169" s="3" t="str">
        <f>VLOOKUP(Table2[[#This Row],[Tulu/kulu liik2]],Table5[],6,FALSE)</f>
        <v>Majandamiskulud</v>
      </c>
      <c r="P169" s="3" t="str">
        <f>VLOOKUP(Table2[[#This Row],[Tulu/kulu liik2]],Table5[],5,FALSE)</f>
        <v>Põhitegevuse kulu</v>
      </c>
    </row>
    <row r="170" spans="1:16" hidden="1" x14ac:dyDescent="0.25">
      <c r="A170" t="str">
        <f t="shared" si="4"/>
        <v>06</v>
      </c>
      <c r="B170" t="s">
        <v>254</v>
      </c>
      <c r="C170" s="3" t="str">
        <f>VLOOKUP(Table2[[#This Row],[Tegevusala]],Table4[],2,FALSE)</f>
        <v>Laekvere teeninduspiirkond</v>
      </c>
      <c r="D170" s="3" t="str">
        <f>VLOOKUP(Table2[[#This Row],[Tegevusala]],Table4[[Tegevusala kood]:[Tegevusala alanimetus]],4,FALSE)</f>
        <v>Muu elamu- ja kommunaalmajanduse tegevus</v>
      </c>
      <c r="E170" s="3" t="str">
        <f>VLOOKUP(Table2[[#This Row],[Tegevusala nimetus2]],Table4[[Tegevusala nimetus]:[Tegevusala koondnimetus]],2,FALSE)</f>
        <v>Elamu- ja kommunaalmajandus</v>
      </c>
      <c r="F170" t="s">
        <v>831</v>
      </c>
      <c r="G170" t="s">
        <v>903</v>
      </c>
      <c r="H170" s="40">
        <v>4000</v>
      </c>
      <c r="I170" s="2" t="s">
        <v>904</v>
      </c>
      <c r="J170">
        <v>5515</v>
      </c>
      <c r="K170" s="3" t="str">
        <f>VLOOKUP(Table2[[#This Row],[Konto]],Table5[[Konto]:[Konto nimetus]],2,FALSE)</f>
        <v>Inventari kulud, v.a infotehnoloogia ja kaitseotstarbelised kulud</v>
      </c>
      <c r="L170">
        <v>55</v>
      </c>
      <c r="M170" t="str">
        <f t="shared" si="5"/>
        <v>55</v>
      </c>
      <c r="N170" s="3" t="str">
        <f>VLOOKUP(Table2[[#This Row],[Tulu/kulu liik2]],Table5[[Tulu/kulu liik]:[Kontode koondnimetus]],4,FALSE)</f>
        <v>Muud tegevuskulud</v>
      </c>
      <c r="O170" s="3" t="str">
        <f>VLOOKUP(Table2[[#This Row],[Tulu/kulu liik2]],Table5[],6,FALSE)</f>
        <v>Majandamiskulud</v>
      </c>
      <c r="P170" s="3" t="str">
        <f>VLOOKUP(Table2[[#This Row],[Tulu/kulu liik2]],Table5[],5,FALSE)</f>
        <v>Põhitegevuse kulu</v>
      </c>
    </row>
    <row r="171" spans="1:16" hidden="1" x14ac:dyDescent="0.25">
      <c r="A171" t="str">
        <f t="shared" si="4"/>
        <v>06</v>
      </c>
      <c r="B171" t="s">
        <v>254</v>
      </c>
      <c r="C171" s="3" t="str">
        <f>VLOOKUP(Table2[[#This Row],[Tegevusala]],Table4[],2,FALSE)</f>
        <v>Laekvere teeninduspiirkond</v>
      </c>
      <c r="D171" s="3" t="str">
        <f>VLOOKUP(Table2[[#This Row],[Tegevusala]],Table4[[Tegevusala kood]:[Tegevusala alanimetus]],4,FALSE)</f>
        <v>Muu elamu- ja kommunaalmajanduse tegevus</v>
      </c>
      <c r="E171" s="3" t="str">
        <f>VLOOKUP(Table2[[#This Row],[Tegevusala nimetus2]],Table4[[Tegevusala nimetus]:[Tegevusala koondnimetus]],2,FALSE)</f>
        <v>Elamu- ja kommunaalmajandus</v>
      </c>
      <c r="F171" t="s">
        <v>831</v>
      </c>
      <c r="G171" t="s">
        <v>905</v>
      </c>
      <c r="H171" s="40">
        <v>100</v>
      </c>
      <c r="J171">
        <v>5525</v>
      </c>
      <c r="K171" s="3" t="str">
        <f>VLOOKUP(Table2[[#This Row],[Konto]],Table5[[Konto]:[Konto nimetus]],2,FALSE)</f>
        <v>Kommunikatsiooni-, kultuuri- ja vaba aja sisustamise kulud</v>
      </c>
      <c r="L171">
        <v>55</v>
      </c>
      <c r="M171" t="str">
        <f t="shared" si="5"/>
        <v>55</v>
      </c>
      <c r="N171" s="3" t="str">
        <f>VLOOKUP(Table2[[#This Row],[Tulu/kulu liik2]],Table5[[Tulu/kulu liik]:[Kontode koondnimetus]],4,FALSE)</f>
        <v>Muud tegevuskulud</v>
      </c>
      <c r="O171" s="3" t="str">
        <f>VLOOKUP(Table2[[#This Row],[Tulu/kulu liik2]],Table5[],6,FALSE)</f>
        <v>Majandamiskulud</v>
      </c>
      <c r="P171" s="3" t="str">
        <f>VLOOKUP(Table2[[#This Row],[Tulu/kulu liik2]],Table5[],5,FALSE)</f>
        <v>Põhitegevuse kulu</v>
      </c>
    </row>
    <row r="172" spans="1:16" hidden="1" x14ac:dyDescent="0.25">
      <c r="A172" t="str">
        <f t="shared" si="4"/>
        <v>06</v>
      </c>
      <c r="B172" t="s">
        <v>254</v>
      </c>
      <c r="C172" s="3" t="str">
        <f>VLOOKUP(Table2[[#This Row],[Tegevusala]],Table4[],2,FALSE)</f>
        <v>Laekvere teeninduspiirkond</v>
      </c>
      <c r="D172" s="3" t="str">
        <f>VLOOKUP(Table2[[#This Row],[Tegevusala]],Table4[[Tegevusala kood]:[Tegevusala alanimetus]],4,FALSE)</f>
        <v>Muu elamu- ja kommunaalmajanduse tegevus</v>
      </c>
      <c r="E172" s="3" t="str">
        <f>VLOOKUP(Table2[[#This Row],[Tegevusala nimetus2]],Table4[[Tegevusala nimetus]:[Tegevusala koondnimetus]],2,FALSE)</f>
        <v>Elamu- ja kommunaalmajandus</v>
      </c>
      <c r="F172" t="s">
        <v>831</v>
      </c>
      <c r="G172" t="s">
        <v>906</v>
      </c>
      <c r="H172" s="40">
        <v>2000</v>
      </c>
      <c r="I172" s="2" t="s">
        <v>907</v>
      </c>
      <c r="J172">
        <v>5540</v>
      </c>
      <c r="K172" s="3" t="str">
        <f>VLOOKUP(Table2[[#This Row],[Konto]],Table5[[Konto]:[Konto nimetus]],2,FALSE)</f>
        <v>Mitmesugused majanduskulud</v>
      </c>
      <c r="L172">
        <v>55</v>
      </c>
      <c r="M172" t="str">
        <f t="shared" si="5"/>
        <v>55</v>
      </c>
      <c r="N172" s="3" t="str">
        <f>VLOOKUP(Table2[[#This Row],[Tulu/kulu liik2]],Table5[[Tulu/kulu liik]:[Kontode koondnimetus]],4,FALSE)</f>
        <v>Muud tegevuskulud</v>
      </c>
      <c r="O172" s="3" t="str">
        <f>VLOOKUP(Table2[[#This Row],[Tulu/kulu liik2]],Table5[],6,FALSE)</f>
        <v>Majandamiskulud</v>
      </c>
      <c r="P172" s="3" t="str">
        <f>VLOOKUP(Table2[[#This Row],[Tulu/kulu liik2]],Table5[],5,FALSE)</f>
        <v>Põhitegevuse kulu</v>
      </c>
    </row>
    <row r="173" spans="1:16" hidden="1" x14ac:dyDescent="0.25">
      <c r="A173" t="str">
        <f t="shared" si="4"/>
        <v>06</v>
      </c>
      <c r="B173" t="s">
        <v>254</v>
      </c>
      <c r="C173" s="3" t="str">
        <f>VLOOKUP(Table2[[#This Row],[Tegevusala]],Table4[],2,FALSE)</f>
        <v>Laekvere teeninduspiirkond</v>
      </c>
      <c r="D173" s="3" t="str">
        <f>VLOOKUP(Table2[[#This Row],[Tegevusala]],Table4[[Tegevusala kood]:[Tegevusala alanimetus]],4,FALSE)</f>
        <v>Muu elamu- ja kommunaalmajanduse tegevus</v>
      </c>
      <c r="E173" s="3" t="str">
        <f>VLOOKUP(Table2[[#This Row],[Tegevusala nimetus2]],Table4[[Tegevusala nimetus]:[Tegevusala koondnimetus]],2,FALSE)</f>
        <v>Elamu- ja kommunaalmajandus</v>
      </c>
      <c r="F173" t="s">
        <v>831</v>
      </c>
      <c r="G173" t="s">
        <v>908</v>
      </c>
      <c r="H173" s="40">
        <v>500</v>
      </c>
      <c r="I173" s="2" t="s">
        <v>909</v>
      </c>
      <c r="J173">
        <v>5522</v>
      </c>
      <c r="K173" s="3" t="str">
        <f>VLOOKUP(Table2[[#This Row],[Konto]],Table5[[Konto]:[Konto nimetus]],2,FALSE)</f>
        <v>Meditsiinikulud ja hügieenitarbed</v>
      </c>
      <c r="L173">
        <v>55</v>
      </c>
      <c r="M173" t="str">
        <f t="shared" si="5"/>
        <v>55</v>
      </c>
      <c r="N173" s="3" t="str">
        <f>VLOOKUP(Table2[[#This Row],[Tulu/kulu liik2]],Table5[[Tulu/kulu liik]:[Kontode koondnimetus]],4,FALSE)</f>
        <v>Muud tegevuskulud</v>
      </c>
      <c r="O173" s="3" t="str">
        <f>VLOOKUP(Table2[[#This Row],[Tulu/kulu liik2]],Table5[],6,FALSE)</f>
        <v>Majandamiskulud</v>
      </c>
      <c r="P173" s="3" t="str">
        <f>VLOOKUP(Table2[[#This Row],[Tulu/kulu liik2]],Table5[],5,FALSE)</f>
        <v>Põhitegevuse kulu</v>
      </c>
    </row>
    <row r="174" spans="1:16" hidden="1" x14ac:dyDescent="0.25">
      <c r="A174" t="str">
        <f t="shared" si="4"/>
        <v>06</v>
      </c>
      <c r="B174" t="s">
        <v>254</v>
      </c>
      <c r="C174" s="3" t="str">
        <f>VLOOKUP(Table2[[#This Row],[Tegevusala]],Table4[],2,FALSE)</f>
        <v>Laekvere teeninduspiirkond</v>
      </c>
      <c r="D174" s="3" t="str">
        <f>VLOOKUP(Table2[[#This Row],[Tegevusala]],Table4[[Tegevusala kood]:[Tegevusala alanimetus]],4,FALSE)</f>
        <v>Muu elamu- ja kommunaalmajanduse tegevus</v>
      </c>
      <c r="E174" s="3" t="str">
        <f>VLOOKUP(Table2[[#This Row],[Tegevusala nimetus2]],Table4[[Tegevusala nimetus]:[Tegevusala koondnimetus]],2,FALSE)</f>
        <v>Elamu- ja kommunaalmajandus</v>
      </c>
      <c r="F174" t="s">
        <v>831</v>
      </c>
      <c r="G174" t="s">
        <v>910</v>
      </c>
      <c r="H174" s="40">
        <v>500</v>
      </c>
      <c r="I174" s="2" t="s">
        <v>909</v>
      </c>
      <c r="J174">
        <v>5515</v>
      </c>
      <c r="K174" s="3" t="str">
        <f>VLOOKUP(Table2[[#This Row],[Konto]],Table5[[Konto]:[Konto nimetus]],2,FALSE)</f>
        <v>Inventari kulud, v.a infotehnoloogia ja kaitseotstarbelised kulud</v>
      </c>
      <c r="L174">
        <v>55</v>
      </c>
      <c r="M174" t="str">
        <f t="shared" si="5"/>
        <v>55</v>
      </c>
      <c r="N174" s="3" t="str">
        <f>VLOOKUP(Table2[[#This Row],[Tulu/kulu liik2]],Table5[[Tulu/kulu liik]:[Kontode koondnimetus]],4,FALSE)</f>
        <v>Muud tegevuskulud</v>
      </c>
      <c r="O174" s="3" t="str">
        <f>VLOOKUP(Table2[[#This Row],[Tulu/kulu liik2]],Table5[],6,FALSE)</f>
        <v>Majandamiskulud</v>
      </c>
      <c r="P174" s="3" t="str">
        <f>VLOOKUP(Table2[[#This Row],[Tulu/kulu liik2]],Table5[],5,FALSE)</f>
        <v>Põhitegevuse kulu</v>
      </c>
    </row>
    <row r="175" spans="1:16" hidden="1" x14ac:dyDescent="0.25">
      <c r="A175" t="str">
        <f t="shared" si="4"/>
        <v>06</v>
      </c>
      <c r="B175" t="s">
        <v>254</v>
      </c>
      <c r="C175" s="3" t="str">
        <f>VLOOKUP(Table2[[#This Row],[Tegevusala]],Table4[],2,FALSE)</f>
        <v>Laekvere teeninduspiirkond</v>
      </c>
      <c r="D175" s="3" t="str">
        <f>VLOOKUP(Table2[[#This Row],[Tegevusala]],Table4[[Tegevusala kood]:[Tegevusala alanimetus]],4,FALSE)</f>
        <v>Muu elamu- ja kommunaalmajanduse tegevus</v>
      </c>
      <c r="E175" s="3" t="str">
        <f>VLOOKUP(Table2[[#This Row],[Tegevusala nimetus2]],Table4[[Tegevusala nimetus]:[Tegevusala koondnimetus]],2,FALSE)</f>
        <v>Elamu- ja kommunaalmajandus</v>
      </c>
      <c r="F175" t="s">
        <v>831</v>
      </c>
      <c r="G175" t="s">
        <v>658</v>
      </c>
      <c r="H175" s="40">
        <v>200</v>
      </c>
      <c r="I175" s="2" t="s">
        <v>911</v>
      </c>
      <c r="J175">
        <v>5522</v>
      </c>
      <c r="K175" s="3" t="str">
        <f>VLOOKUP(Table2[[#This Row],[Konto]],Table5[[Konto]:[Konto nimetus]],2,FALSE)</f>
        <v>Meditsiinikulud ja hügieenitarbed</v>
      </c>
      <c r="L175">
        <v>55</v>
      </c>
      <c r="M175" t="str">
        <f t="shared" si="5"/>
        <v>55</v>
      </c>
      <c r="N175" s="3" t="str">
        <f>VLOOKUP(Table2[[#This Row],[Tulu/kulu liik2]],Table5[[Tulu/kulu liik]:[Kontode koondnimetus]],4,FALSE)</f>
        <v>Muud tegevuskulud</v>
      </c>
      <c r="O175" s="3" t="str">
        <f>VLOOKUP(Table2[[#This Row],[Tulu/kulu liik2]],Table5[],6,FALSE)</f>
        <v>Majandamiskulud</v>
      </c>
      <c r="P175" s="3" t="str">
        <f>VLOOKUP(Table2[[#This Row],[Tulu/kulu liik2]],Table5[],5,FALSE)</f>
        <v>Põhitegevuse kulu</v>
      </c>
    </row>
    <row r="176" spans="1:16" hidden="1" x14ac:dyDescent="0.25">
      <c r="A176" t="str">
        <f t="shared" si="4"/>
        <v>06</v>
      </c>
      <c r="B176" t="s">
        <v>254</v>
      </c>
      <c r="C176" s="3" t="str">
        <f>VLOOKUP(Table2[[#This Row],[Tegevusala]],Table4[],2,FALSE)</f>
        <v>Laekvere teeninduspiirkond</v>
      </c>
      <c r="D176" s="3" t="str">
        <f>VLOOKUP(Table2[[#This Row],[Tegevusala]],Table4[[Tegevusala kood]:[Tegevusala alanimetus]],4,FALSE)</f>
        <v>Muu elamu- ja kommunaalmajanduse tegevus</v>
      </c>
      <c r="E176" s="3" t="str">
        <f>VLOOKUP(Table2[[#This Row],[Tegevusala nimetus2]],Table4[[Tegevusala nimetus]:[Tegevusala koondnimetus]],2,FALSE)</f>
        <v>Elamu- ja kommunaalmajandus</v>
      </c>
      <c r="F176" t="s">
        <v>831</v>
      </c>
      <c r="G176" t="s">
        <v>912</v>
      </c>
      <c r="H176" s="40">
        <v>400</v>
      </c>
      <c r="J176">
        <v>5525</v>
      </c>
      <c r="K176" s="3" t="str">
        <f>VLOOKUP(Table2[[#This Row],[Konto]],Table5[[Konto]:[Konto nimetus]],2,FALSE)</f>
        <v>Kommunikatsiooni-, kultuuri- ja vaba aja sisustamise kulud</v>
      </c>
      <c r="L176">
        <v>55</v>
      </c>
      <c r="M176" t="str">
        <f t="shared" si="5"/>
        <v>55</v>
      </c>
      <c r="N176" s="3" t="str">
        <f>VLOOKUP(Table2[[#This Row],[Tulu/kulu liik2]],Table5[[Tulu/kulu liik]:[Kontode koondnimetus]],4,FALSE)</f>
        <v>Muud tegevuskulud</v>
      </c>
      <c r="O176" s="3" t="str">
        <f>VLOOKUP(Table2[[#This Row],[Tulu/kulu liik2]],Table5[],6,FALSE)</f>
        <v>Majandamiskulud</v>
      </c>
      <c r="P176" s="3" t="str">
        <f>VLOOKUP(Table2[[#This Row],[Tulu/kulu liik2]],Table5[],5,FALSE)</f>
        <v>Põhitegevuse kulu</v>
      </c>
    </row>
    <row r="177" spans="1:16" hidden="1" x14ac:dyDescent="0.25">
      <c r="A177" t="str">
        <f t="shared" si="4"/>
        <v>06</v>
      </c>
      <c r="B177" t="s">
        <v>254</v>
      </c>
      <c r="C177" s="3" t="str">
        <f>VLOOKUP(Table2[[#This Row],[Tegevusala]],Table4[],2,FALSE)</f>
        <v>Laekvere teeninduspiirkond</v>
      </c>
      <c r="D177" s="3" t="str">
        <f>VLOOKUP(Table2[[#This Row],[Tegevusala]],Table4[[Tegevusala kood]:[Tegevusala alanimetus]],4,FALSE)</f>
        <v>Muu elamu- ja kommunaalmajanduse tegevus</v>
      </c>
      <c r="E177" s="3" t="str">
        <f>VLOOKUP(Table2[[#This Row],[Tegevusala nimetus2]],Table4[[Tegevusala nimetus]:[Tegevusala koondnimetus]],2,FALSE)</f>
        <v>Elamu- ja kommunaalmajandus</v>
      </c>
      <c r="F177" t="s">
        <v>831</v>
      </c>
      <c r="G177" t="s">
        <v>913</v>
      </c>
      <c r="H177" s="40">
        <v>6000</v>
      </c>
      <c r="I177" s="2" t="s">
        <v>914</v>
      </c>
      <c r="J177">
        <v>5540</v>
      </c>
      <c r="K177" s="3" t="str">
        <f>VLOOKUP(Table2[[#This Row],[Konto]],Table5[[Konto]:[Konto nimetus]],2,FALSE)</f>
        <v>Mitmesugused majanduskulud</v>
      </c>
      <c r="L177">
        <v>55</v>
      </c>
      <c r="M177" t="str">
        <f t="shared" si="5"/>
        <v>55</v>
      </c>
      <c r="N177" s="3" t="str">
        <f>VLOOKUP(Table2[[#This Row],[Tulu/kulu liik2]],Table5[[Tulu/kulu liik]:[Kontode koondnimetus]],4,FALSE)</f>
        <v>Muud tegevuskulud</v>
      </c>
      <c r="O177" s="3" t="str">
        <f>VLOOKUP(Table2[[#This Row],[Tulu/kulu liik2]],Table5[],6,FALSE)</f>
        <v>Majandamiskulud</v>
      </c>
      <c r="P177" s="3" t="str">
        <f>VLOOKUP(Table2[[#This Row],[Tulu/kulu liik2]],Table5[],5,FALSE)</f>
        <v>Põhitegevuse kulu</v>
      </c>
    </row>
    <row r="178" spans="1:16" hidden="1" x14ac:dyDescent="0.25">
      <c r="A178" t="str">
        <f t="shared" si="4"/>
        <v>06</v>
      </c>
      <c r="B178" t="s">
        <v>254</v>
      </c>
      <c r="C178" s="3" t="str">
        <f>VLOOKUP(Table2[[#This Row],[Tegevusala]],Table4[],2,FALSE)</f>
        <v>Laekvere teeninduspiirkond</v>
      </c>
      <c r="D178" s="3" t="str">
        <f>VLOOKUP(Table2[[#This Row],[Tegevusala]],Table4[[Tegevusala kood]:[Tegevusala alanimetus]],4,FALSE)</f>
        <v>Muu elamu- ja kommunaalmajanduse tegevus</v>
      </c>
      <c r="E178" s="3" t="str">
        <f>VLOOKUP(Table2[[#This Row],[Tegevusala nimetus2]],Table4[[Tegevusala nimetus]:[Tegevusala koondnimetus]],2,FALSE)</f>
        <v>Elamu- ja kommunaalmajandus</v>
      </c>
      <c r="F178" t="s">
        <v>831</v>
      </c>
      <c r="G178" t="s">
        <v>893</v>
      </c>
      <c r="H178" s="40">
        <v>3050</v>
      </c>
      <c r="I178" s="2" t="s">
        <v>894</v>
      </c>
      <c r="J178">
        <v>5514</v>
      </c>
      <c r="K178" s="3" t="str">
        <f>VLOOKUP(Table2[[#This Row],[Konto]],Table5[[Konto]:[Konto nimetus]],2,FALSE)</f>
        <v>Info- ja kommunikatsioonitehnoliigised kulud</v>
      </c>
      <c r="L178">
        <v>55</v>
      </c>
      <c r="M178" t="str">
        <f t="shared" si="5"/>
        <v>55</v>
      </c>
      <c r="N178" s="3" t="str">
        <f>VLOOKUP(Table2[[#This Row],[Tulu/kulu liik2]],Table5[[Tulu/kulu liik]:[Kontode koondnimetus]],4,FALSE)</f>
        <v>Muud tegevuskulud</v>
      </c>
      <c r="O178" s="3" t="str">
        <f>VLOOKUP(Table2[[#This Row],[Tulu/kulu liik2]],Table5[],6,FALSE)</f>
        <v>Majandamiskulud</v>
      </c>
      <c r="P178" s="3" t="str">
        <f>VLOOKUP(Table2[[#This Row],[Tulu/kulu liik2]],Table5[],5,FALSE)</f>
        <v>Põhitegevuse kulu</v>
      </c>
    </row>
    <row r="179" spans="1:16" hidden="1" x14ac:dyDescent="0.25">
      <c r="A179" t="str">
        <f t="shared" si="4"/>
        <v>06</v>
      </c>
      <c r="B179" t="s">
        <v>254</v>
      </c>
      <c r="C179" s="3" t="str">
        <f>VLOOKUP(Table2[[#This Row],[Tegevusala]],Table4[],2,FALSE)</f>
        <v>Laekvere teeninduspiirkond</v>
      </c>
      <c r="D179" s="3" t="str">
        <f>VLOOKUP(Table2[[#This Row],[Tegevusala]],Table4[[Tegevusala kood]:[Tegevusala alanimetus]],4,FALSE)</f>
        <v>Muu elamu- ja kommunaalmajanduse tegevus</v>
      </c>
      <c r="E179" s="3" t="str">
        <f>VLOOKUP(Table2[[#This Row],[Tegevusala nimetus2]],Table4[[Tegevusala nimetus]:[Tegevusala koondnimetus]],2,FALSE)</f>
        <v>Elamu- ja kommunaalmajandus</v>
      </c>
      <c r="F179" t="s">
        <v>831</v>
      </c>
      <c r="G179" t="s">
        <v>897</v>
      </c>
      <c r="H179" s="40">
        <v>300</v>
      </c>
      <c r="I179" s="2" t="s">
        <v>898</v>
      </c>
      <c r="J179">
        <v>5514</v>
      </c>
      <c r="K179" s="3" t="str">
        <f>VLOOKUP(Table2[[#This Row],[Konto]],Table5[[Konto]:[Konto nimetus]],2,FALSE)</f>
        <v>Info- ja kommunikatsioonitehnoliigised kulud</v>
      </c>
      <c r="L179">
        <v>55</v>
      </c>
      <c r="M179" t="str">
        <f t="shared" si="5"/>
        <v>55</v>
      </c>
      <c r="N179" s="3" t="str">
        <f>VLOOKUP(Table2[[#This Row],[Tulu/kulu liik2]],Table5[[Tulu/kulu liik]:[Kontode koondnimetus]],4,FALSE)</f>
        <v>Muud tegevuskulud</v>
      </c>
      <c r="O179" s="3" t="str">
        <f>VLOOKUP(Table2[[#This Row],[Tulu/kulu liik2]],Table5[],6,FALSE)</f>
        <v>Majandamiskulud</v>
      </c>
      <c r="P179" s="3" t="str">
        <f>VLOOKUP(Table2[[#This Row],[Tulu/kulu liik2]],Table5[],5,FALSE)</f>
        <v>Põhitegevuse kulu</v>
      </c>
    </row>
    <row r="180" spans="1:16" hidden="1" x14ac:dyDescent="0.25">
      <c r="A180" t="str">
        <f t="shared" si="4"/>
        <v>06</v>
      </c>
      <c r="B180" t="s">
        <v>254</v>
      </c>
      <c r="C180" s="3" t="str">
        <f>VLOOKUP(Table2[[#This Row],[Tegevusala]],Table4[],2,FALSE)</f>
        <v>Laekvere teeninduspiirkond</v>
      </c>
      <c r="D180" s="3" t="str">
        <f>VLOOKUP(Table2[[#This Row],[Tegevusala]],Table4[[Tegevusala kood]:[Tegevusala alanimetus]],4,FALSE)</f>
        <v>Muu elamu- ja kommunaalmajanduse tegevus</v>
      </c>
      <c r="E180" s="3" t="str">
        <f>VLOOKUP(Table2[[#This Row],[Tegevusala nimetus2]],Table4[[Tegevusala nimetus]:[Tegevusala koondnimetus]],2,FALSE)</f>
        <v>Elamu- ja kommunaalmajandus</v>
      </c>
      <c r="F180" t="s">
        <v>831</v>
      </c>
      <c r="G180" t="s">
        <v>2027</v>
      </c>
      <c r="H180" s="40">
        <v>5000</v>
      </c>
      <c r="I180" s="2" t="s">
        <v>2028</v>
      </c>
      <c r="J180">
        <v>1550</v>
      </c>
      <c r="K180" s="3" t="str">
        <f>VLOOKUP(Table2[[#This Row],[Konto]],Table5[[Konto]:[Konto nimetus]],2,FALSE)</f>
        <v>Maa soetamine</v>
      </c>
      <c r="L180">
        <v>15</v>
      </c>
      <c r="M180" t="str">
        <f t="shared" si="5"/>
        <v>15</v>
      </c>
      <c r="N180" s="3" t="str">
        <f>VLOOKUP(Table2[[#This Row],[Tulu/kulu liik2]],Table5[[Tulu/kulu liik]:[Kontode koondnimetus]],4,FALSE)</f>
        <v>Põhivara soetus (-)</v>
      </c>
      <c r="O180" s="34" t="str">
        <f>VLOOKUP(Table2[[#This Row],[Tulu/kulu liik2]],Table5[],6,FALSE)</f>
        <v>Põhivara soetus (-)</v>
      </c>
      <c r="P180" s="3" t="str">
        <f>VLOOKUP(Table2[[#This Row],[Tulu/kulu liik2]],Table5[],5,FALSE)</f>
        <v>Investeerimistegevus</v>
      </c>
    </row>
    <row r="181" spans="1:16" hidden="1" x14ac:dyDescent="0.25">
      <c r="A181" t="str">
        <f t="shared" si="4"/>
        <v>06</v>
      </c>
      <c r="B181" t="s">
        <v>2211</v>
      </c>
      <c r="C181" s="3" t="str">
        <f>VLOOKUP(Table2[[#This Row],[Tegevusala]],Table4[],2,FALSE)</f>
        <v>Ulvi, Vinni-Pajusti teeninduspiirkond</v>
      </c>
      <c r="D181" s="3" t="str">
        <f>VLOOKUP(Table2[[#This Row],[Tegevusala]],Table4[[Tegevusala kood]:[Tegevusala alanimetus]],4,FALSE)</f>
        <v>Muu elamu- ja kommunaalmajanduse tegevus</v>
      </c>
      <c r="E181" s="3" t="str">
        <f>VLOOKUP(Table2[[#This Row],[Tegevusala nimetus2]],Table4[[Tegevusala nimetus]:[Tegevusala koondnimetus]],2,FALSE)</f>
        <v>Elamu- ja kommunaalmajandus</v>
      </c>
      <c r="F181" t="s">
        <v>915</v>
      </c>
      <c r="G181" t="s">
        <v>918</v>
      </c>
      <c r="H181" s="40">
        <v>814</v>
      </c>
      <c r="J181">
        <v>5511</v>
      </c>
      <c r="K181" s="3" t="str">
        <f>VLOOKUP(Table2[[#This Row],[Konto]],Table5[[Konto]:[Konto nimetus]],2,FALSE)</f>
        <v>Kinnistute, hoonete ja ruumide majandamiskulud</v>
      </c>
      <c r="L181">
        <v>55</v>
      </c>
      <c r="M181" t="str">
        <f t="shared" si="5"/>
        <v>55</v>
      </c>
      <c r="N181" s="3" t="str">
        <f>VLOOKUP(Table2[[#This Row],[Tulu/kulu liik2]],Table5[[Tulu/kulu liik]:[Kontode koondnimetus]],4,FALSE)</f>
        <v>Muud tegevuskulud</v>
      </c>
      <c r="O181" s="3" t="str">
        <f>VLOOKUP(Table2[[#This Row],[Tulu/kulu liik2]],Table5[],6,FALSE)</f>
        <v>Majandamiskulud</v>
      </c>
      <c r="P181" s="3" t="str">
        <f>VLOOKUP(Table2[[#This Row],[Tulu/kulu liik2]],Table5[],5,FALSE)</f>
        <v>Põhitegevuse kulu</v>
      </c>
    </row>
    <row r="182" spans="1:16" hidden="1" x14ac:dyDescent="0.25">
      <c r="A182" t="str">
        <f t="shared" si="4"/>
        <v>06</v>
      </c>
      <c r="B182" t="s">
        <v>2211</v>
      </c>
      <c r="C182" s="3" t="str">
        <f>VLOOKUP(Table2[[#This Row],[Tegevusala]],Table4[],2,FALSE)</f>
        <v>Ulvi, Vinni-Pajusti teeninduspiirkond</v>
      </c>
      <c r="D182" s="3" t="str">
        <f>VLOOKUP(Table2[[#This Row],[Tegevusala]],Table4[[Tegevusala kood]:[Tegevusala alanimetus]],4,FALSE)</f>
        <v>Muu elamu- ja kommunaalmajanduse tegevus</v>
      </c>
      <c r="E182" s="3" t="str">
        <f>VLOOKUP(Table2[[#This Row],[Tegevusala nimetus2]],Table4[[Tegevusala nimetus]:[Tegevusala koondnimetus]],2,FALSE)</f>
        <v>Elamu- ja kommunaalmajandus</v>
      </c>
      <c r="F182" t="s">
        <v>915</v>
      </c>
      <c r="G182" s="33" t="s">
        <v>851</v>
      </c>
      <c r="H182" s="47">
        <v>10600</v>
      </c>
      <c r="I182" s="35"/>
      <c r="J182" s="33">
        <v>5511</v>
      </c>
      <c r="K182" s="3" t="str">
        <f>VLOOKUP(Table2[[#This Row],[Konto]],Table5[[Konto]:[Konto nimetus]],2,FALSE)</f>
        <v>Kinnistute, hoonete ja ruumide majandamiskulud</v>
      </c>
      <c r="L182">
        <v>55</v>
      </c>
      <c r="M182" t="str">
        <f t="shared" si="5"/>
        <v>55</v>
      </c>
      <c r="N182" s="3" t="str">
        <f>VLOOKUP(Table2[[#This Row],[Tulu/kulu liik2]],Table5[[Tulu/kulu liik]:[Kontode koondnimetus]],4,FALSE)</f>
        <v>Muud tegevuskulud</v>
      </c>
      <c r="O182" s="3" t="str">
        <f>VLOOKUP(Table2[[#This Row],[Tulu/kulu liik2]],Table5[],6,FALSE)</f>
        <v>Majandamiskulud</v>
      </c>
      <c r="P182" s="3" t="str">
        <f>VLOOKUP(Table2[[#This Row],[Tulu/kulu liik2]],Table5[],5,FALSE)</f>
        <v>Põhitegevuse kulu</v>
      </c>
    </row>
    <row r="183" spans="1:16" hidden="1" x14ac:dyDescent="0.25">
      <c r="A183" t="str">
        <f t="shared" si="4"/>
        <v>06</v>
      </c>
      <c r="B183" t="s">
        <v>2211</v>
      </c>
      <c r="C183" s="3" t="str">
        <f>VLOOKUP(Table2[[#This Row],[Tegevusala]],Table4[],2,FALSE)</f>
        <v>Ulvi, Vinni-Pajusti teeninduspiirkond</v>
      </c>
      <c r="D183" s="3" t="str">
        <f>VLOOKUP(Table2[[#This Row],[Tegevusala]],Table4[[Tegevusala kood]:[Tegevusala alanimetus]],4,FALSE)</f>
        <v>Muu elamu- ja kommunaalmajanduse tegevus</v>
      </c>
      <c r="E183" s="3" t="str">
        <f>VLOOKUP(Table2[[#This Row],[Tegevusala nimetus2]],Table4[[Tegevusala nimetus]:[Tegevusala koondnimetus]],2,FALSE)</f>
        <v>Elamu- ja kommunaalmajandus</v>
      </c>
      <c r="F183" t="s">
        <v>915</v>
      </c>
      <c r="G183" t="s">
        <v>853</v>
      </c>
      <c r="H183" s="40">
        <v>350</v>
      </c>
      <c r="J183">
        <v>5511</v>
      </c>
      <c r="K183" s="3" t="str">
        <f>VLOOKUP(Table2[[#This Row],[Konto]],Table5[[Konto]:[Konto nimetus]],2,FALSE)</f>
        <v>Kinnistute, hoonete ja ruumide majandamiskulud</v>
      </c>
      <c r="L183">
        <v>55</v>
      </c>
      <c r="M183" t="str">
        <f t="shared" si="5"/>
        <v>55</v>
      </c>
      <c r="N183" s="3" t="str">
        <f>VLOOKUP(Table2[[#This Row],[Tulu/kulu liik2]],Table5[[Tulu/kulu liik]:[Kontode koondnimetus]],4,FALSE)</f>
        <v>Muud tegevuskulud</v>
      </c>
      <c r="O183" s="3" t="str">
        <f>VLOOKUP(Table2[[#This Row],[Tulu/kulu liik2]],Table5[],6,FALSE)</f>
        <v>Majandamiskulud</v>
      </c>
      <c r="P183" s="3" t="str">
        <f>VLOOKUP(Table2[[#This Row],[Tulu/kulu liik2]],Table5[],5,FALSE)</f>
        <v>Põhitegevuse kulu</v>
      </c>
    </row>
    <row r="184" spans="1:16" hidden="1" x14ac:dyDescent="0.25">
      <c r="A184" t="str">
        <f t="shared" si="4"/>
        <v>06</v>
      </c>
      <c r="B184" t="s">
        <v>2211</v>
      </c>
      <c r="C184" s="3" t="str">
        <f>VLOOKUP(Table2[[#This Row],[Tegevusala]],Table4[],2,FALSE)</f>
        <v>Ulvi, Vinni-Pajusti teeninduspiirkond</v>
      </c>
      <c r="D184" s="3" t="str">
        <f>VLOOKUP(Table2[[#This Row],[Tegevusala]],Table4[[Tegevusala kood]:[Tegevusala alanimetus]],4,FALSE)</f>
        <v>Muu elamu- ja kommunaalmajanduse tegevus</v>
      </c>
      <c r="E184" s="3" t="str">
        <f>VLOOKUP(Table2[[#This Row],[Tegevusala nimetus2]],Table4[[Tegevusala nimetus]:[Tegevusala koondnimetus]],2,FALSE)</f>
        <v>Elamu- ja kommunaalmajandus</v>
      </c>
      <c r="F184" t="s">
        <v>915</v>
      </c>
      <c r="G184" t="s">
        <v>855</v>
      </c>
      <c r="H184" s="40">
        <v>110</v>
      </c>
      <c r="J184">
        <v>5511</v>
      </c>
      <c r="K184" s="3" t="str">
        <f>VLOOKUP(Table2[[#This Row],[Konto]],Table5[[Konto]:[Konto nimetus]],2,FALSE)</f>
        <v>Kinnistute, hoonete ja ruumide majandamiskulud</v>
      </c>
      <c r="L184">
        <v>55</v>
      </c>
      <c r="M184" t="str">
        <f t="shared" si="5"/>
        <v>55</v>
      </c>
      <c r="N184" s="3" t="str">
        <f>VLOOKUP(Table2[[#This Row],[Tulu/kulu liik2]],Table5[[Tulu/kulu liik]:[Kontode koondnimetus]],4,FALSE)</f>
        <v>Muud tegevuskulud</v>
      </c>
      <c r="O184" s="3" t="str">
        <f>VLOOKUP(Table2[[#This Row],[Tulu/kulu liik2]],Table5[],6,FALSE)</f>
        <v>Majandamiskulud</v>
      </c>
      <c r="P184" s="3" t="str">
        <f>VLOOKUP(Table2[[#This Row],[Tulu/kulu liik2]],Table5[],5,FALSE)</f>
        <v>Põhitegevuse kulu</v>
      </c>
    </row>
    <row r="185" spans="1:16" hidden="1" x14ac:dyDescent="0.25">
      <c r="A185" t="str">
        <f t="shared" si="4"/>
        <v>06</v>
      </c>
      <c r="B185" t="s">
        <v>2211</v>
      </c>
      <c r="C185" s="3" t="str">
        <f>VLOOKUP(Table2[[#This Row],[Tegevusala]],Table4[],2,FALSE)</f>
        <v>Ulvi, Vinni-Pajusti teeninduspiirkond</v>
      </c>
      <c r="D185" s="3" t="str">
        <f>VLOOKUP(Table2[[#This Row],[Tegevusala]],Table4[[Tegevusala kood]:[Tegevusala alanimetus]],4,FALSE)</f>
        <v>Muu elamu- ja kommunaalmajanduse tegevus</v>
      </c>
      <c r="E185" s="3" t="str">
        <f>VLOOKUP(Table2[[#This Row],[Tegevusala nimetus2]],Table4[[Tegevusala nimetus]:[Tegevusala koondnimetus]],2,FALSE)</f>
        <v>Elamu- ja kommunaalmajandus</v>
      </c>
      <c r="F185" t="s">
        <v>915</v>
      </c>
      <c r="G185" t="s">
        <v>868</v>
      </c>
      <c r="H185" s="40">
        <v>200</v>
      </c>
      <c r="J185">
        <v>5511</v>
      </c>
      <c r="K185" s="3" t="str">
        <f>VLOOKUP(Table2[[#This Row],[Konto]],Table5[[Konto]:[Konto nimetus]],2,FALSE)</f>
        <v>Kinnistute, hoonete ja ruumide majandamiskulud</v>
      </c>
      <c r="L185">
        <v>55</v>
      </c>
      <c r="M185" t="str">
        <f t="shared" si="5"/>
        <v>55</v>
      </c>
      <c r="N185" s="3" t="str">
        <f>VLOOKUP(Table2[[#This Row],[Tulu/kulu liik2]],Table5[[Tulu/kulu liik]:[Kontode koondnimetus]],4,FALSE)</f>
        <v>Muud tegevuskulud</v>
      </c>
      <c r="O185" s="3" t="str">
        <f>VLOOKUP(Table2[[#This Row],[Tulu/kulu liik2]],Table5[],6,FALSE)</f>
        <v>Majandamiskulud</v>
      </c>
      <c r="P185" s="3" t="str">
        <f>VLOOKUP(Table2[[#This Row],[Tulu/kulu liik2]],Table5[],5,FALSE)</f>
        <v>Põhitegevuse kulu</v>
      </c>
    </row>
    <row r="186" spans="1:16" hidden="1" x14ac:dyDescent="0.25">
      <c r="A186" t="str">
        <f t="shared" si="4"/>
        <v>06</v>
      </c>
      <c r="B186" t="s">
        <v>2211</v>
      </c>
      <c r="C186" s="3" t="str">
        <f>VLOOKUP(Table2[[#This Row],[Tegevusala]],Table4[],2,FALSE)</f>
        <v>Ulvi, Vinni-Pajusti teeninduspiirkond</v>
      </c>
      <c r="D186" s="3" t="str">
        <f>VLOOKUP(Table2[[#This Row],[Tegevusala]],Table4[[Tegevusala kood]:[Tegevusala alanimetus]],4,FALSE)</f>
        <v>Muu elamu- ja kommunaalmajanduse tegevus</v>
      </c>
      <c r="E186" s="3" t="str">
        <f>VLOOKUP(Table2[[#This Row],[Tegevusala nimetus2]],Table4[[Tegevusala nimetus]:[Tegevusala koondnimetus]],2,FALSE)</f>
        <v>Elamu- ja kommunaalmajandus</v>
      </c>
      <c r="F186" t="s">
        <v>915</v>
      </c>
      <c r="G186" t="s">
        <v>919</v>
      </c>
      <c r="H186" s="40">
        <v>500</v>
      </c>
      <c r="J186">
        <v>5511</v>
      </c>
      <c r="K186" s="3" t="str">
        <f>VLOOKUP(Table2[[#This Row],[Konto]],Table5[[Konto]:[Konto nimetus]],2,FALSE)</f>
        <v>Kinnistute, hoonete ja ruumide majandamiskulud</v>
      </c>
      <c r="L186">
        <v>55</v>
      </c>
      <c r="M186" t="str">
        <f t="shared" si="5"/>
        <v>55</v>
      </c>
      <c r="N186" s="3" t="str">
        <f>VLOOKUP(Table2[[#This Row],[Tulu/kulu liik2]],Table5[[Tulu/kulu liik]:[Kontode koondnimetus]],4,FALSE)</f>
        <v>Muud tegevuskulud</v>
      </c>
      <c r="O186" s="3" t="str">
        <f>VLOOKUP(Table2[[#This Row],[Tulu/kulu liik2]],Table5[],6,FALSE)</f>
        <v>Majandamiskulud</v>
      </c>
      <c r="P186" s="3" t="str">
        <f>VLOOKUP(Table2[[#This Row],[Tulu/kulu liik2]],Table5[],5,FALSE)</f>
        <v>Põhitegevuse kulu</v>
      </c>
    </row>
    <row r="187" spans="1:16" hidden="1" x14ac:dyDescent="0.25">
      <c r="A187" t="str">
        <f t="shared" si="4"/>
        <v>06</v>
      </c>
      <c r="B187" t="s">
        <v>2211</v>
      </c>
      <c r="C187" s="3" t="str">
        <f>VLOOKUP(Table2[[#This Row],[Tegevusala]],Table4[],2,FALSE)</f>
        <v>Ulvi, Vinni-Pajusti teeninduspiirkond</v>
      </c>
      <c r="D187" s="3" t="str">
        <f>VLOOKUP(Table2[[#This Row],[Tegevusala]],Table4[[Tegevusala kood]:[Tegevusala alanimetus]],4,FALSE)</f>
        <v>Muu elamu- ja kommunaalmajanduse tegevus</v>
      </c>
      <c r="E187" s="3" t="str">
        <f>VLOOKUP(Table2[[#This Row],[Tegevusala nimetus2]],Table4[[Tegevusala nimetus]:[Tegevusala koondnimetus]],2,FALSE)</f>
        <v>Elamu- ja kommunaalmajandus</v>
      </c>
      <c r="F187" t="s">
        <v>915</v>
      </c>
      <c r="G187" t="s">
        <v>872</v>
      </c>
      <c r="H187" s="40">
        <v>150</v>
      </c>
      <c r="I187" s="2" t="s">
        <v>925</v>
      </c>
      <c r="J187">
        <v>5511</v>
      </c>
      <c r="K187" s="3" t="str">
        <f>VLOOKUP(Table2[[#This Row],[Konto]],Table5[[Konto]:[Konto nimetus]],2,FALSE)</f>
        <v>Kinnistute, hoonete ja ruumide majandamiskulud</v>
      </c>
      <c r="L187">
        <v>55</v>
      </c>
      <c r="M187" t="str">
        <f t="shared" si="5"/>
        <v>55</v>
      </c>
      <c r="N187" s="3" t="str">
        <f>VLOOKUP(Table2[[#This Row],[Tulu/kulu liik2]],Table5[[Tulu/kulu liik]:[Kontode koondnimetus]],4,FALSE)</f>
        <v>Muud tegevuskulud</v>
      </c>
      <c r="O187" s="3" t="str">
        <f>VLOOKUP(Table2[[#This Row],[Tulu/kulu liik2]],Table5[],6,FALSE)</f>
        <v>Majandamiskulud</v>
      </c>
      <c r="P187" s="3" t="str">
        <f>VLOOKUP(Table2[[#This Row],[Tulu/kulu liik2]],Table5[],5,FALSE)</f>
        <v>Põhitegevuse kulu</v>
      </c>
    </row>
    <row r="188" spans="1:16" hidden="1" x14ac:dyDescent="0.25">
      <c r="A188" t="str">
        <f t="shared" si="4"/>
        <v>06</v>
      </c>
      <c r="B188" t="s">
        <v>2211</v>
      </c>
      <c r="C188" s="3" t="str">
        <f>VLOOKUP(Table2[[#This Row],[Tegevusala]],Table4[],2,FALSE)</f>
        <v>Ulvi, Vinni-Pajusti teeninduspiirkond</v>
      </c>
      <c r="D188" s="3" t="str">
        <f>VLOOKUP(Table2[[#This Row],[Tegevusala]],Table4[[Tegevusala kood]:[Tegevusala alanimetus]],4,FALSE)</f>
        <v>Muu elamu- ja kommunaalmajanduse tegevus</v>
      </c>
      <c r="E188" s="3" t="str">
        <f>VLOOKUP(Table2[[#This Row],[Tegevusala nimetus2]],Table4[[Tegevusala nimetus]:[Tegevusala koondnimetus]],2,FALSE)</f>
        <v>Elamu- ja kommunaalmajandus</v>
      </c>
      <c r="F188" t="s">
        <v>915</v>
      </c>
      <c r="G188" t="s">
        <v>875</v>
      </c>
      <c r="H188" s="40">
        <v>540</v>
      </c>
      <c r="J188">
        <v>5511</v>
      </c>
      <c r="K188" s="3" t="str">
        <f>VLOOKUP(Table2[[#This Row],[Konto]],Table5[[Konto]:[Konto nimetus]],2,FALSE)</f>
        <v>Kinnistute, hoonete ja ruumide majandamiskulud</v>
      </c>
      <c r="L188">
        <v>55</v>
      </c>
      <c r="M188" t="str">
        <f t="shared" si="5"/>
        <v>55</v>
      </c>
      <c r="N188" s="3" t="str">
        <f>VLOOKUP(Table2[[#This Row],[Tulu/kulu liik2]],Table5[[Tulu/kulu liik]:[Kontode koondnimetus]],4,FALSE)</f>
        <v>Muud tegevuskulud</v>
      </c>
      <c r="O188" s="3" t="str">
        <f>VLOOKUP(Table2[[#This Row],[Tulu/kulu liik2]],Table5[],6,FALSE)</f>
        <v>Majandamiskulud</v>
      </c>
      <c r="P188" s="3" t="str">
        <f>VLOOKUP(Table2[[#This Row],[Tulu/kulu liik2]],Table5[],5,FALSE)</f>
        <v>Põhitegevuse kulu</v>
      </c>
    </row>
    <row r="189" spans="1:16" hidden="1" x14ac:dyDescent="0.25">
      <c r="A189" t="str">
        <f t="shared" si="4"/>
        <v>06</v>
      </c>
      <c r="B189" t="s">
        <v>2211</v>
      </c>
      <c r="C189" s="3" t="str">
        <f>VLOOKUP(Table2[[#This Row],[Tegevusala]],Table4[],2,FALSE)</f>
        <v>Ulvi, Vinni-Pajusti teeninduspiirkond</v>
      </c>
      <c r="D189" s="3" t="str">
        <f>VLOOKUP(Table2[[#This Row],[Tegevusala]],Table4[[Tegevusala kood]:[Tegevusala alanimetus]],4,FALSE)</f>
        <v>Muu elamu- ja kommunaalmajanduse tegevus</v>
      </c>
      <c r="E189" s="3" t="str">
        <f>VLOOKUP(Table2[[#This Row],[Tegevusala nimetus2]],Table4[[Tegevusala nimetus]:[Tegevusala koondnimetus]],2,FALSE)</f>
        <v>Elamu- ja kommunaalmajandus</v>
      </c>
      <c r="F189" t="s">
        <v>915</v>
      </c>
      <c r="G189" t="s">
        <v>877</v>
      </c>
      <c r="H189" s="40">
        <v>200</v>
      </c>
      <c r="J189">
        <v>5511</v>
      </c>
      <c r="K189" s="3" t="str">
        <f>VLOOKUP(Table2[[#This Row],[Konto]],Table5[[Konto]:[Konto nimetus]],2,FALSE)</f>
        <v>Kinnistute, hoonete ja ruumide majandamiskulud</v>
      </c>
      <c r="L189">
        <v>55</v>
      </c>
      <c r="M189" t="str">
        <f t="shared" si="5"/>
        <v>55</v>
      </c>
      <c r="N189" s="3" t="str">
        <f>VLOOKUP(Table2[[#This Row],[Tulu/kulu liik2]],Table5[[Tulu/kulu liik]:[Kontode koondnimetus]],4,FALSE)</f>
        <v>Muud tegevuskulud</v>
      </c>
      <c r="O189" s="3" t="str">
        <f>VLOOKUP(Table2[[#This Row],[Tulu/kulu liik2]],Table5[],6,FALSE)</f>
        <v>Majandamiskulud</v>
      </c>
      <c r="P189" s="3" t="str">
        <f>VLOOKUP(Table2[[#This Row],[Tulu/kulu liik2]],Table5[],5,FALSE)</f>
        <v>Põhitegevuse kulu</v>
      </c>
    </row>
    <row r="190" spans="1:16" hidden="1" x14ac:dyDescent="0.25">
      <c r="A190" t="str">
        <f t="shared" si="4"/>
        <v>06</v>
      </c>
      <c r="B190" t="s">
        <v>2211</v>
      </c>
      <c r="C190" s="3" t="str">
        <f>VLOOKUP(Table2[[#This Row],[Tegevusala]],Table4[],2,FALSE)</f>
        <v>Ulvi, Vinni-Pajusti teeninduspiirkond</v>
      </c>
      <c r="D190" s="3" t="str">
        <f>VLOOKUP(Table2[[#This Row],[Tegevusala]],Table4[[Tegevusala kood]:[Tegevusala alanimetus]],4,FALSE)</f>
        <v>Muu elamu- ja kommunaalmajanduse tegevus</v>
      </c>
      <c r="E190" s="3" t="str">
        <f>VLOOKUP(Table2[[#This Row],[Tegevusala nimetus2]],Table4[[Tegevusala nimetus]:[Tegevusala koondnimetus]],2,FALSE)</f>
        <v>Elamu- ja kommunaalmajandus</v>
      </c>
      <c r="F190" t="s">
        <v>915</v>
      </c>
      <c r="G190" t="s">
        <v>920</v>
      </c>
      <c r="H190" s="40">
        <v>116</v>
      </c>
      <c r="J190">
        <v>5511</v>
      </c>
      <c r="K190" s="3" t="str">
        <f>VLOOKUP(Table2[[#This Row],[Konto]],Table5[[Konto]:[Konto nimetus]],2,FALSE)</f>
        <v>Kinnistute, hoonete ja ruumide majandamiskulud</v>
      </c>
      <c r="L190">
        <v>55</v>
      </c>
      <c r="M190" t="str">
        <f t="shared" si="5"/>
        <v>55</v>
      </c>
      <c r="N190" s="3" t="str">
        <f>VLOOKUP(Table2[[#This Row],[Tulu/kulu liik2]],Table5[[Tulu/kulu liik]:[Kontode koondnimetus]],4,FALSE)</f>
        <v>Muud tegevuskulud</v>
      </c>
      <c r="O190" s="3" t="str">
        <f>VLOOKUP(Table2[[#This Row],[Tulu/kulu liik2]],Table5[],6,FALSE)</f>
        <v>Majandamiskulud</v>
      </c>
      <c r="P190" s="3" t="str">
        <f>VLOOKUP(Table2[[#This Row],[Tulu/kulu liik2]],Table5[],5,FALSE)</f>
        <v>Põhitegevuse kulu</v>
      </c>
    </row>
    <row r="191" spans="1:16" hidden="1" x14ac:dyDescent="0.25">
      <c r="A191" t="str">
        <f t="shared" si="4"/>
        <v>06</v>
      </c>
      <c r="B191" t="s">
        <v>2211</v>
      </c>
      <c r="C191" s="3" t="str">
        <f>VLOOKUP(Table2[[#This Row],[Tegevusala]],Table4[],2,FALSE)</f>
        <v>Ulvi, Vinni-Pajusti teeninduspiirkond</v>
      </c>
      <c r="D191" s="3" t="str">
        <f>VLOOKUP(Table2[[#This Row],[Tegevusala]],Table4[[Tegevusala kood]:[Tegevusala alanimetus]],4,FALSE)</f>
        <v>Muu elamu- ja kommunaalmajanduse tegevus</v>
      </c>
      <c r="E191" s="3" t="str">
        <f>VLOOKUP(Table2[[#This Row],[Tegevusala nimetus2]],Table4[[Tegevusala nimetus]:[Tegevusala koondnimetus]],2,FALSE)</f>
        <v>Elamu- ja kommunaalmajandus</v>
      </c>
      <c r="F191" t="s">
        <v>915</v>
      </c>
      <c r="G191" t="s">
        <v>921</v>
      </c>
      <c r="H191" s="40">
        <v>300</v>
      </c>
      <c r="J191">
        <v>5511</v>
      </c>
      <c r="K191" s="3" t="str">
        <f>VLOOKUP(Table2[[#This Row],[Konto]],Table5[[Konto]:[Konto nimetus]],2,FALSE)</f>
        <v>Kinnistute, hoonete ja ruumide majandamiskulud</v>
      </c>
      <c r="L191">
        <v>55</v>
      </c>
      <c r="M191" t="str">
        <f t="shared" si="5"/>
        <v>55</v>
      </c>
      <c r="N191" s="3" t="str">
        <f>VLOOKUP(Table2[[#This Row],[Tulu/kulu liik2]],Table5[[Tulu/kulu liik]:[Kontode koondnimetus]],4,FALSE)</f>
        <v>Muud tegevuskulud</v>
      </c>
      <c r="O191" s="3" t="str">
        <f>VLOOKUP(Table2[[#This Row],[Tulu/kulu liik2]],Table5[],6,FALSE)</f>
        <v>Majandamiskulud</v>
      </c>
      <c r="P191" s="3" t="str">
        <f>VLOOKUP(Table2[[#This Row],[Tulu/kulu liik2]],Table5[],5,FALSE)</f>
        <v>Põhitegevuse kulu</v>
      </c>
    </row>
    <row r="192" spans="1:16" hidden="1" x14ac:dyDescent="0.25">
      <c r="A192" t="str">
        <f t="shared" ref="A192:A255" si="6">LEFT(B192,2)</f>
        <v>06</v>
      </c>
      <c r="B192" t="s">
        <v>2211</v>
      </c>
      <c r="C192" s="3" t="str">
        <f>VLOOKUP(Table2[[#This Row],[Tegevusala]],Table4[],2,FALSE)</f>
        <v>Ulvi, Vinni-Pajusti teeninduspiirkond</v>
      </c>
      <c r="D192" s="3" t="str">
        <f>VLOOKUP(Table2[[#This Row],[Tegevusala]],Table4[[Tegevusala kood]:[Tegevusala alanimetus]],4,FALSE)</f>
        <v>Muu elamu- ja kommunaalmajanduse tegevus</v>
      </c>
      <c r="E192" s="3" t="str">
        <f>VLOOKUP(Table2[[#This Row],[Tegevusala nimetus2]],Table4[[Tegevusala nimetus]:[Tegevusala koondnimetus]],2,FALSE)</f>
        <v>Elamu- ja kommunaalmajandus</v>
      </c>
      <c r="F192" t="s">
        <v>915</v>
      </c>
      <c r="G192" t="s">
        <v>922</v>
      </c>
      <c r="H192" s="40">
        <v>4000</v>
      </c>
      <c r="J192">
        <v>5511</v>
      </c>
      <c r="K192" s="3" t="str">
        <f>VLOOKUP(Table2[[#This Row],[Konto]],Table5[[Konto]:[Konto nimetus]],2,FALSE)</f>
        <v>Kinnistute, hoonete ja ruumide majandamiskulud</v>
      </c>
      <c r="L192">
        <v>55</v>
      </c>
      <c r="M192" t="str">
        <f t="shared" ref="M192:M255" si="7">LEFT(J192,2)</f>
        <v>55</v>
      </c>
      <c r="N192" s="3" t="str">
        <f>VLOOKUP(Table2[[#This Row],[Tulu/kulu liik2]],Table5[[Tulu/kulu liik]:[Kontode koondnimetus]],4,FALSE)</f>
        <v>Muud tegevuskulud</v>
      </c>
      <c r="O192" s="3" t="str">
        <f>VLOOKUP(Table2[[#This Row],[Tulu/kulu liik2]],Table5[],6,FALSE)</f>
        <v>Majandamiskulud</v>
      </c>
      <c r="P192" s="3" t="str">
        <f>VLOOKUP(Table2[[#This Row],[Tulu/kulu liik2]],Table5[],5,FALSE)</f>
        <v>Põhitegevuse kulu</v>
      </c>
    </row>
    <row r="193" spans="1:16" hidden="1" x14ac:dyDescent="0.25">
      <c r="A193" t="str">
        <f t="shared" si="6"/>
        <v>06</v>
      </c>
      <c r="B193" t="s">
        <v>2211</v>
      </c>
      <c r="C193" s="3" t="str">
        <f>VLOOKUP(Table2[[#This Row],[Tegevusala]],Table4[],2,FALSE)</f>
        <v>Ulvi, Vinni-Pajusti teeninduspiirkond</v>
      </c>
      <c r="D193" s="3" t="str">
        <f>VLOOKUP(Table2[[#This Row],[Tegevusala]],Table4[[Tegevusala kood]:[Tegevusala alanimetus]],4,FALSE)</f>
        <v>Muu elamu- ja kommunaalmajanduse tegevus</v>
      </c>
      <c r="E193" s="3" t="str">
        <f>VLOOKUP(Table2[[#This Row],[Tegevusala nimetus2]],Table4[[Tegevusala nimetus]:[Tegevusala koondnimetus]],2,FALSE)</f>
        <v>Elamu- ja kommunaalmajandus</v>
      </c>
      <c r="F193" t="s">
        <v>915</v>
      </c>
      <c r="G193" t="s">
        <v>923</v>
      </c>
      <c r="H193" s="40">
        <v>570</v>
      </c>
      <c r="J193">
        <v>5511</v>
      </c>
      <c r="K193" s="3" t="str">
        <f>VLOOKUP(Table2[[#This Row],[Konto]],Table5[[Konto]:[Konto nimetus]],2,FALSE)</f>
        <v>Kinnistute, hoonete ja ruumide majandamiskulud</v>
      </c>
      <c r="L193">
        <v>55</v>
      </c>
      <c r="M193" t="str">
        <f t="shared" si="7"/>
        <v>55</v>
      </c>
      <c r="N193" s="3" t="str">
        <f>VLOOKUP(Table2[[#This Row],[Tulu/kulu liik2]],Table5[[Tulu/kulu liik]:[Kontode koondnimetus]],4,FALSE)</f>
        <v>Muud tegevuskulud</v>
      </c>
      <c r="O193" s="3" t="str">
        <f>VLOOKUP(Table2[[#This Row],[Tulu/kulu liik2]],Table5[],6,FALSE)</f>
        <v>Majandamiskulud</v>
      </c>
      <c r="P193" s="3" t="str">
        <f>VLOOKUP(Table2[[#This Row],[Tulu/kulu liik2]],Table5[],5,FALSE)</f>
        <v>Põhitegevuse kulu</v>
      </c>
    </row>
    <row r="194" spans="1:16" hidden="1" x14ac:dyDescent="0.25">
      <c r="A194" t="str">
        <f t="shared" si="6"/>
        <v>06</v>
      </c>
      <c r="B194" t="s">
        <v>2211</v>
      </c>
      <c r="C194" s="3" t="str">
        <f>VLOOKUP(Table2[[#This Row],[Tegevusala]],Table4[],2,FALSE)</f>
        <v>Ulvi, Vinni-Pajusti teeninduspiirkond</v>
      </c>
      <c r="D194" s="3" t="str">
        <f>VLOOKUP(Table2[[#This Row],[Tegevusala]],Table4[[Tegevusala kood]:[Tegevusala alanimetus]],4,FALSE)</f>
        <v>Muu elamu- ja kommunaalmajanduse tegevus</v>
      </c>
      <c r="E194" s="3" t="str">
        <f>VLOOKUP(Table2[[#This Row],[Tegevusala nimetus2]],Table4[[Tegevusala nimetus]:[Tegevusala koondnimetus]],2,FALSE)</f>
        <v>Elamu- ja kommunaalmajandus</v>
      </c>
      <c r="F194" t="s">
        <v>915</v>
      </c>
      <c r="G194" t="s">
        <v>924</v>
      </c>
      <c r="H194" s="40">
        <v>3000</v>
      </c>
      <c r="J194">
        <v>5511</v>
      </c>
      <c r="K194" s="3" t="str">
        <f>VLOOKUP(Table2[[#This Row],[Konto]],Table5[[Konto]:[Konto nimetus]],2,FALSE)</f>
        <v>Kinnistute, hoonete ja ruumide majandamiskulud</v>
      </c>
      <c r="L194">
        <v>55</v>
      </c>
      <c r="M194" t="str">
        <f t="shared" si="7"/>
        <v>55</v>
      </c>
      <c r="N194" s="3" t="str">
        <f>VLOOKUP(Table2[[#This Row],[Tulu/kulu liik2]],Table5[[Tulu/kulu liik]:[Kontode koondnimetus]],4,FALSE)</f>
        <v>Muud tegevuskulud</v>
      </c>
      <c r="O194" s="3" t="str">
        <f>VLOOKUP(Table2[[#This Row],[Tulu/kulu liik2]],Table5[],6,FALSE)</f>
        <v>Majandamiskulud</v>
      </c>
      <c r="P194" s="3" t="str">
        <f>VLOOKUP(Table2[[#This Row],[Tulu/kulu liik2]],Table5[],5,FALSE)</f>
        <v>Põhitegevuse kulu</v>
      </c>
    </row>
    <row r="195" spans="1:16" hidden="1" x14ac:dyDescent="0.25">
      <c r="A195" t="str">
        <f t="shared" si="6"/>
        <v>06</v>
      </c>
      <c r="B195" t="s">
        <v>2211</v>
      </c>
      <c r="C195" s="3" t="str">
        <f>VLOOKUP(Table2[[#This Row],[Tegevusala]],Table4[],2,FALSE)</f>
        <v>Ulvi, Vinni-Pajusti teeninduspiirkond</v>
      </c>
      <c r="D195" s="3" t="str">
        <f>VLOOKUP(Table2[[#This Row],[Tegevusala]],Table4[[Tegevusala kood]:[Tegevusala alanimetus]],4,FALSE)</f>
        <v>Muu elamu- ja kommunaalmajanduse tegevus</v>
      </c>
      <c r="E195" s="3" t="str">
        <f>VLOOKUP(Table2[[#This Row],[Tegevusala nimetus2]],Table4[[Tegevusala nimetus]:[Tegevusala koondnimetus]],2,FALSE)</f>
        <v>Elamu- ja kommunaalmajandus</v>
      </c>
      <c r="F195" t="s">
        <v>915</v>
      </c>
      <c r="G195" t="s">
        <v>845</v>
      </c>
      <c r="H195" s="40">
        <v>300</v>
      </c>
      <c r="I195" s="2" t="s">
        <v>846</v>
      </c>
      <c r="J195">
        <v>5500</v>
      </c>
      <c r="K195" s="3" t="str">
        <f>VLOOKUP(Table2[[#This Row],[Konto]],Table5[[Konto]:[Konto nimetus]],2,FALSE)</f>
        <v>Administreerimiskulud</v>
      </c>
      <c r="L195">
        <v>55</v>
      </c>
      <c r="M195" t="str">
        <f t="shared" si="7"/>
        <v>55</v>
      </c>
      <c r="N195" s="3" t="str">
        <f>VLOOKUP(Table2[[#This Row],[Tulu/kulu liik2]],Table5[[Tulu/kulu liik]:[Kontode koondnimetus]],4,FALSE)</f>
        <v>Muud tegevuskulud</v>
      </c>
      <c r="O195" s="3" t="str">
        <f>VLOOKUP(Table2[[#This Row],[Tulu/kulu liik2]],Table5[],6,FALSE)</f>
        <v>Majandamiskulud</v>
      </c>
      <c r="P195" s="3" t="str">
        <f>VLOOKUP(Table2[[#This Row],[Tulu/kulu liik2]],Table5[],5,FALSE)</f>
        <v>Põhitegevuse kulu</v>
      </c>
    </row>
    <row r="196" spans="1:16" hidden="1" x14ac:dyDescent="0.25">
      <c r="A196" t="str">
        <f t="shared" si="6"/>
        <v>06</v>
      </c>
      <c r="B196" t="s">
        <v>2211</v>
      </c>
      <c r="C196" s="3" t="str">
        <f>VLOOKUP(Table2[[#This Row],[Tegevusala]],Table4[],2,FALSE)</f>
        <v>Ulvi, Vinni-Pajusti teeninduspiirkond</v>
      </c>
      <c r="D196" s="3" t="str">
        <f>VLOOKUP(Table2[[#This Row],[Tegevusala]],Table4[[Tegevusala kood]:[Tegevusala alanimetus]],4,FALSE)</f>
        <v>Muu elamu- ja kommunaalmajanduse tegevus</v>
      </c>
      <c r="E196" s="3" t="str">
        <f>VLOOKUP(Table2[[#This Row],[Tegevusala nimetus2]],Table4[[Tegevusala nimetus]:[Tegevusala koondnimetus]],2,FALSE)</f>
        <v>Elamu- ja kommunaalmajandus</v>
      </c>
      <c r="F196" t="s">
        <v>915</v>
      </c>
      <c r="G196" t="s">
        <v>774</v>
      </c>
      <c r="H196" s="40">
        <v>26.4</v>
      </c>
      <c r="I196" s="2" t="s">
        <v>917</v>
      </c>
      <c r="J196">
        <v>5500</v>
      </c>
      <c r="K196" s="3" t="str">
        <f>VLOOKUP(Table2[[#This Row],[Konto]],Table5[[Konto]:[Konto nimetus]],2,FALSE)</f>
        <v>Administreerimiskulud</v>
      </c>
      <c r="L196">
        <v>55</v>
      </c>
      <c r="M196" t="str">
        <f t="shared" si="7"/>
        <v>55</v>
      </c>
      <c r="N196" s="3" t="str">
        <f>VLOOKUP(Table2[[#This Row],[Tulu/kulu liik2]],Table5[[Tulu/kulu liik]:[Kontode koondnimetus]],4,FALSE)</f>
        <v>Muud tegevuskulud</v>
      </c>
      <c r="O196" s="3" t="str">
        <f>VLOOKUP(Table2[[#This Row],[Tulu/kulu liik2]],Table5[],6,FALSE)</f>
        <v>Majandamiskulud</v>
      </c>
      <c r="P196" s="3" t="str">
        <f>VLOOKUP(Table2[[#This Row],[Tulu/kulu liik2]],Table5[],5,FALSE)</f>
        <v>Põhitegevuse kulu</v>
      </c>
    </row>
    <row r="197" spans="1:16" hidden="1" x14ac:dyDescent="0.25">
      <c r="A197" t="str">
        <f t="shared" si="6"/>
        <v>06</v>
      </c>
      <c r="B197" t="s">
        <v>2211</v>
      </c>
      <c r="C197" s="3" t="str">
        <f>VLOOKUP(Table2[[#This Row],[Tegevusala]],Table4[],2,FALSE)</f>
        <v>Ulvi, Vinni-Pajusti teeninduspiirkond</v>
      </c>
      <c r="D197" s="3" t="str">
        <f>VLOOKUP(Table2[[#This Row],[Tegevusala]],Table4[[Tegevusala kood]:[Tegevusala alanimetus]],4,FALSE)</f>
        <v>Muu elamu- ja kommunaalmajanduse tegevus</v>
      </c>
      <c r="E197" s="3" t="str">
        <f>VLOOKUP(Table2[[#This Row],[Tegevusala nimetus2]],Table4[[Tegevusala nimetus]:[Tegevusala koondnimetus]],2,FALSE)</f>
        <v>Elamu- ja kommunaalmajandus</v>
      </c>
      <c r="F197" t="s">
        <v>915</v>
      </c>
      <c r="G197" t="s">
        <v>391</v>
      </c>
      <c r="H197" s="40">
        <v>200</v>
      </c>
      <c r="J197">
        <v>5504</v>
      </c>
      <c r="K197" s="3" t="str">
        <f>VLOOKUP(Table2[[#This Row],[Konto]],Table5[[Konto]:[Konto nimetus]],2,FALSE)</f>
        <v>Koolituskulud</v>
      </c>
      <c r="L197">
        <v>55</v>
      </c>
      <c r="M197" t="str">
        <f t="shared" si="7"/>
        <v>55</v>
      </c>
      <c r="N197" s="3" t="str">
        <f>VLOOKUP(Table2[[#This Row],[Tulu/kulu liik2]],Table5[[Tulu/kulu liik]:[Kontode koondnimetus]],4,FALSE)</f>
        <v>Muud tegevuskulud</v>
      </c>
      <c r="O197" s="3" t="str">
        <f>VLOOKUP(Table2[[#This Row],[Tulu/kulu liik2]],Table5[],6,FALSE)</f>
        <v>Majandamiskulud</v>
      </c>
      <c r="P197" s="3" t="str">
        <f>VLOOKUP(Table2[[#This Row],[Tulu/kulu liik2]],Table5[],5,FALSE)</f>
        <v>Põhitegevuse kulu</v>
      </c>
    </row>
    <row r="198" spans="1:16" hidden="1" x14ac:dyDescent="0.25">
      <c r="A198" t="str">
        <f t="shared" si="6"/>
        <v>06</v>
      </c>
      <c r="B198" t="s">
        <v>2211</v>
      </c>
      <c r="C198" s="3" t="str">
        <f>VLOOKUP(Table2[[#This Row],[Tegevusala]],Table4[],2,FALSE)</f>
        <v>Ulvi, Vinni-Pajusti teeninduspiirkond</v>
      </c>
      <c r="D198" s="3" t="str">
        <f>VLOOKUP(Table2[[#This Row],[Tegevusala]],Table4[[Tegevusala kood]:[Tegevusala alanimetus]],4,FALSE)</f>
        <v>Muu elamu- ja kommunaalmajanduse tegevus</v>
      </c>
      <c r="E198" s="3" t="str">
        <f>VLOOKUP(Table2[[#This Row],[Tegevusala nimetus2]],Table4[[Tegevusala nimetus]:[Tegevusala koondnimetus]],2,FALSE)</f>
        <v>Elamu- ja kommunaalmajandus</v>
      </c>
      <c r="F198" t="s">
        <v>915</v>
      </c>
      <c r="G198" t="s">
        <v>926</v>
      </c>
      <c r="H198" s="40">
        <v>3500</v>
      </c>
      <c r="I198" s="2" t="s">
        <v>198</v>
      </c>
      <c r="J198">
        <v>5513</v>
      </c>
      <c r="K198" s="3" t="str">
        <f>VLOOKUP(Table2[[#This Row],[Konto]],Table5[[Konto]:[Konto nimetus]],2,FALSE)</f>
        <v>Sõidukite ülalpidamise kulud</v>
      </c>
      <c r="L198">
        <v>55</v>
      </c>
      <c r="M198" t="str">
        <f t="shared" si="7"/>
        <v>55</v>
      </c>
      <c r="N198" s="3" t="str">
        <f>VLOOKUP(Table2[[#This Row],[Tulu/kulu liik2]],Table5[[Tulu/kulu liik]:[Kontode koondnimetus]],4,FALSE)</f>
        <v>Muud tegevuskulud</v>
      </c>
      <c r="O198" s="3" t="str">
        <f>VLOOKUP(Table2[[#This Row],[Tulu/kulu liik2]],Table5[],6,FALSE)</f>
        <v>Majandamiskulud</v>
      </c>
      <c r="P198" s="3" t="str">
        <f>VLOOKUP(Table2[[#This Row],[Tulu/kulu liik2]],Table5[],5,FALSE)</f>
        <v>Põhitegevuse kulu</v>
      </c>
    </row>
    <row r="199" spans="1:16" hidden="1" x14ac:dyDescent="0.25">
      <c r="A199" t="str">
        <f t="shared" si="6"/>
        <v>06</v>
      </c>
      <c r="B199" t="s">
        <v>2211</v>
      </c>
      <c r="C199" s="3" t="str">
        <f>VLOOKUP(Table2[[#This Row],[Tegevusala]],Table4[],2,FALSE)</f>
        <v>Ulvi, Vinni-Pajusti teeninduspiirkond</v>
      </c>
      <c r="D199" s="3" t="str">
        <f>VLOOKUP(Table2[[#This Row],[Tegevusala]],Table4[[Tegevusala kood]:[Tegevusala alanimetus]],4,FALSE)</f>
        <v>Muu elamu- ja kommunaalmajanduse tegevus</v>
      </c>
      <c r="E199" s="3" t="str">
        <f>VLOOKUP(Table2[[#This Row],[Tegevusala nimetus2]],Table4[[Tegevusala nimetus]:[Tegevusala koondnimetus]],2,FALSE)</f>
        <v>Elamu- ja kommunaalmajandus</v>
      </c>
      <c r="F199" t="s">
        <v>915</v>
      </c>
      <c r="G199" t="s">
        <v>927</v>
      </c>
      <c r="H199" s="40">
        <v>8000</v>
      </c>
      <c r="I199" s="2" t="s">
        <v>2076</v>
      </c>
      <c r="J199">
        <v>5513</v>
      </c>
      <c r="K199" s="3" t="str">
        <f>VLOOKUP(Table2[[#This Row],[Konto]],Table5[[Konto]:[Konto nimetus]],2,FALSE)</f>
        <v>Sõidukite ülalpidamise kulud</v>
      </c>
      <c r="L199">
        <v>55</v>
      </c>
      <c r="M199" t="str">
        <f t="shared" si="7"/>
        <v>55</v>
      </c>
      <c r="N199" s="3" t="str">
        <f>VLOOKUP(Table2[[#This Row],[Tulu/kulu liik2]],Table5[[Tulu/kulu liik]:[Kontode koondnimetus]],4,FALSE)</f>
        <v>Muud tegevuskulud</v>
      </c>
      <c r="O199" s="3" t="str">
        <f>VLOOKUP(Table2[[#This Row],[Tulu/kulu liik2]],Table5[],6,FALSE)</f>
        <v>Majandamiskulud</v>
      </c>
      <c r="P199" s="3" t="str">
        <f>VLOOKUP(Table2[[#This Row],[Tulu/kulu liik2]],Table5[],5,FALSE)</f>
        <v>Põhitegevuse kulu</v>
      </c>
    </row>
    <row r="200" spans="1:16" hidden="1" x14ac:dyDescent="0.25">
      <c r="A200" t="str">
        <f t="shared" si="6"/>
        <v>06</v>
      </c>
      <c r="B200" t="s">
        <v>2211</v>
      </c>
      <c r="C200" s="3" t="str">
        <f>VLOOKUP(Table2[[#This Row],[Tegevusala]],Table4[],2,FALSE)</f>
        <v>Ulvi, Vinni-Pajusti teeninduspiirkond</v>
      </c>
      <c r="D200" s="3" t="str">
        <f>VLOOKUP(Table2[[#This Row],[Tegevusala]],Table4[[Tegevusala kood]:[Tegevusala alanimetus]],4,FALSE)</f>
        <v>Muu elamu- ja kommunaalmajanduse tegevus</v>
      </c>
      <c r="E200" s="3" t="str">
        <f>VLOOKUP(Table2[[#This Row],[Tegevusala nimetus2]],Table4[[Tegevusala nimetus]:[Tegevusala koondnimetus]],2,FALSE)</f>
        <v>Elamu- ja kommunaalmajandus</v>
      </c>
      <c r="F200" t="s">
        <v>915</v>
      </c>
      <c r="G200" t="s">
        <v>424</v>
      </c>
      <c r="H200" s="40">
        <f>300*11</f>
        <v>3300</v>
      </c>
      <c r="J200">
        <v>5513</v>
      </c>
      <c r="K200" s="3" t="str">
        <f>VLOOKUP(Table2[[#This Row],[Konto]],Table5[[Konto]:[Konto nimetus]],2,FALSE)</f>
        <v>Sõidukite ülalpidamise kulud</v>
      </c>
      <c r="L200">
        <v>55</v>
      </c>
      <c r="M200" t="str">
        <f t="shared" si="7"/>
        <v>55</v>
      </c>
      <c r="N200" s="3" t="str">
        <f>VLOOKUP(Table2[[#This Row],[Tulu/kulu liik2]],Table5[[Tulu/kulu liik]:[Kontode koondnimetus]],4,FALSE)</f>
        <v>Muud tegevuskulud</v>
      </c>
      <c r="O200" s="3" t="str">
        <f>VLOOKUP(Table2[[#This Row],[Tulu/kulu liik2]],Table5[],6,FALSE)</f>
        <v>Majandamiskulud</v>
      </c>
      <c r="P200" s="3" t="str">
        <f>VLOOKUP(Table2[[#This Row],[Tulu/kulu liik2]],Table5[],5,FALSE)</f>
        <v>Põhitegevuse kulu</v>
      </c>
    </row>
    <row r="201" spans="1:16" hidden="1" x14ac:dyDescent="0.25">
      <c r="A201" t="str">
        <f t="shared" si="6"/>
        <v>06</v>
      </c>
      <c r="B201" t="s">
        <v>2211</v>
      </c>
      <c r="C201" s="3" t="str">
        <f>VLOOKUP(Table2[[#This Row],[Tegevusala]],Table4[],2,FALSE)</f>
        <v>Ulvi, Vinni-Pajusti teeninduspiirkond</v>
      </c>
      <c r="D201" s="3" t="str">
        <f>VLOOKUP(Table2[[#This Row],[Tegevusala]],Table4[[Tegevusala kood]:[Tegevusala alanimetus]],4,FALSE)</f>
        <v>Muu elamu- ja kommunaalmajanduse tegevus</v>
      </c>
      <c r="E201" s="3" t="str">
        <f>VLOOKUP(Table2[[#This Row],[Tegevusala nimetus2]],Table4[[Tegevusala nimetus]:[Tegevusala koondnimetus]],2,FALSE)</f>
        <v>Elamu- ja kommunaalmajandus</v>
      </c>
      <c r="F201" t="s">
        <v>915</v>
      </c>
      <c r="G201" t="s">
        <v>899</v>
      </c>
      <c r="H201" s="40">
        <v>900</v>
      </c>
      <c r="I201" s="2" t="s">
        <v>930</v>
      </c>
      <c r="J201">
        <v>5515</v>
      </c>
      <c r="K201" s="3" t="str">
        <f>VLOOKUP(Table2[[#This Row],[Konto]],Table5[[Konto]:[Konto nimetus]],2,FALSE)</f>
        <v>Inventari kulud, v.a infotehnoloogia ja kaitseotstarbelised kulud</v>
      </c>
      <c r="L201">
        <v>55</v>
      </c>
      <c r="M201" t="str">
        <f t="shared" si="7"/>
        <v>55</v>
      </c>
      <c r="N201" s="3" t="str">
        <f>VLOOKUP(Table2[[#This Row],[Tulu/kulu liik2]],Table5[[Tulu/kulu liik]:[Kontode koondnimetus]],4,FALSE)</f>
        <v>Muud tegevuskulud</v>
      </c>
      <c r="O201" s="3" t="str">
        <f>VLOOKUP(Table2[[#This Row],[Tulu/kulu liik2]],Table5[],6,FALSE)</f>
        <v>Majandamiskulud</v>
      </c>
      <c r="P201" s="3" t="str">
        <f>VLOOKUP(Table2[[#This Row],[Tulu/kulu liik2]],Table5[],5,FALSE)</f>
        <v>Põhitegevuse kulu</v>
      </c>
    </row>
    <row r="202" spans="1:16" hidden="1" x14ac:dyDescent="0.25">
      <c r="A202" t="str">
        <f t="shared" si="6"/>
        <v>06</v>
      </c>
      <c r="B202" t="s">
        <v>2211</v>
      </c>
      <c r="C202" s="3" t="str">
        <f>VLOOKUP(Table2[[#This Row],[Tegevusala]],Table4[],2,FALSE)</f>
        <v>Ulvi, Vinni-Pajusti teeninduspiirkond</v>
      </c>
      <c r="D202" s="3" t="str">
        <f>VLOOKUP(Table2[[#This Row],[Tegevusala]],Table4[[Tegevusala kood]:[Tegevusala alanimetus]],4,FALSE)</f>
        <v>Muu elamu- ja kommunaalmajanduse tegevus</v>
      </c>
      <c r="E202" s="3" t="str">
        <f>VLOOKUP(Table2[[#This Row],[Tegevusala nimetus2]],Table4[[Tegevusala nimetus]:[Tegevusala koondnimetus]],2,FALSE)</f>
        <v>Elamu- ja kommunaalmajandus</v>
      </c>
      <c r="F202" t="s">
        <v>915</v>
      </c>
      <c r="G202" t="s">
        <v>931</v>
      </c>
      <c r="H202" s="40">
        <v>2000</v>
      </c>
      <c r="J202">
        <v>5515</v>
      </c>
      <c r="K202" s="3" t="str">
        <f>VLOOKUP(Table2[[#This Row],[Konto]],Table5[[Konto]:[Konto nimetus]],2,FALSE)</f>
        <v>Inventari kulud, v.a infotehnoloogia ja kaitseotstarbelised kulud</v>
      </c>
      <c r="L202">
        <v>55</v>
      </c>
      <c r="M202" t="str">
        <f t="shared" si="7"/>
        <v>55</v>
      </c>
      <c r="N202" s="3" t="str">
        <f>VLOOKUP(Table2[[#This Row],[Tulu/kulu liik2]],Table5[[Tulu/kulu liik]:[Kontode koondnimetus]],4,FALSE)</f>
        <v>Muud tegevuskulud</v>
      </c>
      <c r="O202" s="3" t="str">
        <f>VLOOKUP(Table2[[#This Row],[Tulu/kulu liik2]],Table5[],6,FALSE)</f>
        <v>Majandamiskulud</v>
      </c>
      <c r="P202" s="3" t="str">
        <f>VLOOKUP(Table2[[#This Row],[Tulu/kulu liik2]],Table5[],5,FALSE)</f>
        <v>Põhitegevuse kulu</v>
      </c>
    </row>
    <row r="203" spans="1:16" hidden="1" x14ac:dyDescent="0.25">
      <c r="A203" t="str">
        <f t="shared" si="6"/>
        <v>06</v>
      </c>
      <c r="B203" t="s">
        <v>2211</v>
      </c>
      <c r="C203" s="3" t="str">
        <f>VLOOKUP(Table2[[#This Row],[Tegevusala]],Table4[],2,FALSE)</f>
        <v>Ulvi, Vinni-Pajusti teeninduspiirkond</v>
      </c>
      <c r="D203" s="3" t="str">
        <f>VLOOKUP(Table2[[#This Row],[Tegevusala]],Table4[[Tegevusala kood]:[Tegevusala alanimetus]],4,FALSE)</f>
        <v>Muu elamu- ja kommunaalmajanduse tegevus</v>
      </c>
      <c r="E203" s="3" t="str">
        <f>VLOOKUP(Table2[[#This Row],[Tegevusala nimetus2]],Table4[[Tegevusala nimetus]:[Tegevusala koondnimetus]],2,FALSE)</f>
        <v>Elamu- ja kommunaalmajandus</v>
      </c>
      <c r="F203" t="s">
        <v>915</v>
      </c>
      <c r="G203" t="s">
        <v>893</v>
      </c>
      <c r="H203" s="40">
        <v>381.6</v>
      </c>
      <c r="I203" s="2" t="s">
        <v>929</v>
      </c>
      <c r="J203">
        <v>5514</v>
      </c>
      <c r="K203" s="3" t="str">
        <f>VLOOKUP(Table2[[#This Row],[Konto]],Table5[[Konto]:[Konto nimetus]],2,FALSE)</f>
        <v>Info- ja kommunikatsioonitehnoliigised kulud</v>
      </c>
      <c r="L203">
        <v>55</v>
      </c>
      <c r="M203" t="str">
        <f t="shared" si="7"/>
        <v>55</v>
      </c>
      <c r="N203" s="3" t="str">
        <f>VLOOKUP(Table2[[#This Row],[Tulu/kulu liik2]],Table5[[Tulu/kulu liik]:[Kontode koondnimetus]],4,FALSE)</f>
        <v>Muud tegevuskulud</v>
      </c>
      <c r="O203" s="3" t="str">
        <f>VLOOKUP(Table2[[#This Row],[Tulu/kulu liik2]],Table5[],6,FALSE)</f>
        <v>Majandamiskulud</v>
      </c>
      <c r="P203" s="3" t="str">
        <f>VLOOKUP(Table2[[#This Row],[Tulu/kulu liik2]],Table5[],5,FALSE)</f>
        <v>Põhitegevuse kulu</v>
      </c>
    </row>
    <row r="204" spans="1:16" hidden="1" x14ac:dyDescent="0.25">
      <c r="A204" t="str">
        <f t="shared" si="6"/>
        <v>06</v>
      </c>
      <c r="B204" t="s">
        <v>2210</v>
      </c>
      <c r="C204" s="3" t="str">
        <f>VLOOKUP(Table2[[#This Row],[Tegevusala]],Table4[],2,FALSE)</f>
        <v>Roela, Tudu, Viru-Jaagupi teeninduspiirkond</v>
      </c>
      <c r="D204" s="3" t="str">
        <f>VLOOKUP(Table2[[#This Row],[Tegevusala]],Table4[[Tegevusala kood]:[Tegevusala alanimetus]],4,FALSE)</f>
        <v>Muu elamu- ja kommunaalmajanduse tegevus</v>
      </c>
      <c r="E204" s="3" t="str">
        <f>VLOOKUP(Table2[[#This Row],[Tegevusala nimetus2]],Table4[[Tegevusala nimetus]:[Tegevusala koondnimetus]],2,FALSE)</f>
        <v>Elamu- ja kommunaalmajandus</v>
      </c>
      <c r="F204" t="s">
        <v>942</v>
      </c>
      <c r="G204" t="s">
        <v>943</v>
      </c>
      <c r="H204" s="40">
        <v>12950</v>
      </c>
      <c r="I204" s="2" t="s">
        <v>944</v>
      </c>
      <c r="J204">
        <v>5511</v>
      </c>
      <c r="K204" s="3" t="str">
        <f>VLOOKUP(Table2[[#This Row],[Konto]],Table5[[Konto]:[Konto nimetus]],2,FALSE)</f>
        <v>Kinnistute, hoonete ja ruumide majandamiskulud</v>
      </c>
      <c r="L204">
        <v>55</v>
      </c>
      <c r="M204" t="str">
        <f t="shared" si="7"/>
        <v>55</v>
      </c>
      <c r="N204" s="3" t="str">
        <f>VLOOKUP(Table2[[#This Row],[Tulu/kulu liik2]],Table5[[Tulu/kulu liik]:[Kontode koondnimetus]],4,FALSE)</f>
        <v>Muud tegevuskulud</v>
      </c>
      <c r="O204" s="3" t="str">
        <f>VLOOKUP(Table2[[#This Row],[Tulu/kulu liik2]],Table5[],6,FALSE)</f>
        <v>Majandamiskulud</v>
      </c>
      <c r="P204" s="3" t="str">
        <f>VLOOKUP(Table2[[#This Row],[Tulu/kulu liik2]],Table5[],5,FALSE)</f>
        <v>Põhitegevuse kulu</v>
      </c>
    </row>
    <row r="205" spans="1:16" hidden="1" x14ac:dyDescent="0.25">
      <c r="A205" t="str">
        <f t="shared" si="6"/>
        <v>06</v>
      </c>
      <c r="B205" t="s">
        <v>2210</v>
      </c>
      <c r="C205" s="3" t="str">
        <f>VLOOKUP(Table2[[#This Row],[Tegevusala]],Table4[],2,FALSE)</f>
        <v>Roela, Tudu, Viru-Jaagupi teeninduspiirkond</v>
      </c>
      <c r="D205" s="3" t="str">
        <f>VLOOKUP(Table2[[#This Row],[Tegevusala]],Table4[[Tegevusala kood]:[Tegevusala alanimetus]],4,FALSE)</f>
        <v>Muu elamu- ja kommunaalmajanduse tegevus</v>
      </c>
      <c r="E205" s="3" t="str">
        <f>VLOOKUP(Table2[[#This Row],[Tegevusala nimetus2]],Table4[[Tegevusala nimetus]:[Tegevusala koondnimetus]],2,FALSE)</f>
        <v>Elamu- ja kommunaalmajandus</v>
      </c>
      <c r="F205" t="s">
        <v>942</v>
      </c>
      <c r="G205" t="s">
        <v>945</v>
      </c>
      <c r="H205" s="40">
        <v>150</v>
      </c>
      <c r="J205">
        <v>5511</v>
      </c>
      <c r="K205" s="3" t="str">
        <f>VLOOKUP(Table2[[#This Row],[Konto]],Table5[[Konto]:[Konto nimetus]],2,FALSE)</f>
        <v>Kinnistute, hoonete ja ruumide majandamiskulud</v>
      </c>
      <c r="L205">
        <v>55</v>
      </c>
      <c r="M205" t="str">
        <f t="shared" si="7"/>
        <v>55</v>
      </c>
      <c r="N205" s="3" t="str">
        <f>VLOOKUP(Table2[[#This Row],[Tulu/kulu liik2]],Table5[[Tulu/kulu liik]:[Kontode koondnimetus]],4,FALSE)</f>
        <v>Muud tegevuskulud</v>
      </c>
      <c r="O205" s="3" t="str">
        <f>VLOOKUP(Table2[[#This Row],[Tulu/kulu liik2]],Table5[],6,FALSE)</f>
        <v>Majandamiskulud</v>
      </c>
      <c r="P205" s="3" t="str">
        <f>VLOOKUP(Table2[[#This Row],[Tulu/kulu liik2]],Table5[],5,FALSE)</f>
        <v>Põhitegevuse kulu</v>
      </c>
    </row>
    <row r="206" spans="1:16" hidden="1" x14ac:dyDescent="0.25">
      <c r="A206" t="str">
        <f t="shared" si="6"/>
        <v>06</v>
      </c>
      <c r="B206" t="s">
        <v>2210</v>
      </c>
      <c r="C206" s="3" t="str">
        <f>VLOOKUP(Table2[[#This Row],[Tegevusala]],Table4[],2,FALSE)</f>
        <v>Roela, Tudu, Viru-Jaagupi teeninduspiirkond</v>
      </c>
      <c r="D206" s="3" t="str">
        <f>VLOOKUP(Table2[[#This Row],[Tegevusala]],Table4[[Tegevusala kood]:[Tegevusala alanimetus]],4,FALSE)</f>
        <v>Muu elamu- ja kommunaalmajanduse tegevus</v>
      </c>
      <c r="E206" s="3" t="str">
        <f>VLOOKUP(Table2[[#This Row],[Tegevusala nimetus2]],Table4[[Tegevusala nimetus]:[Tegevusala koondnimetus]],2,FALSE)</f>
        <v>Elamu- ja kommunaalmajandus</v>
      </c>
      <c r="F206" t="s">
        <v>942</v>
      </c>
      <c r="G206" t="s">
        <v>946</v>
      </c>
      <c r="H206" s="40">
        <v>2000</v>
      </c>
      <c r="I206" s="2" t="s">
        <v>947</v>
      </c>
      <c r="J206">
        <v>5511</v>
      </c>
      <c r="K206" s="3" t="str">
        <f>VLOOKUP(Table2[[#This Row],[Konto]],Table5[[Konto]:[Konto nimetus]],2,FALSE)</f>
        <v>Kinnistute, hoonete ja ruumide majandamiskulud</v>
      </c>
      <c r="L206">
        <v>55</v>
      </c>
      <c r="M206" t="str">
        <f t="shared" si="7"/>
        <v>55</v>
      </c>
      <c r="N206" s="3" t="str">
        <f>VLOOKUP(Table2[[#This Row],[Tulu/kulu liik2]],Table5[[Tulu/kulu liik]:[Kontode koondnimetus]],4,FALSE)</f>
        <v>Muud tegevuskulud</v>
      </c>
      <c r="O206" s="3" t="str">
        <f>VLOOKUP(Table2[[#This Row],[Tulu/kulu liik2]],Table5[],6,FALSE)</f>
        <v>Majandamiskulud</v>
      </c>
      <c r="P206" s="3" t="str">
        <f>VLOOKUP(Table2[[#This Row],[Tulu/kulu liik2]],Table5[],5,FALSE)</f>
        <v>Põhitegevuse kulu</v>
      </c>
    </row>
    <row r="207" spans="1:16" hidden="1" x14ac:dyDescent="0.25">
      <c r="A207" t="str">
        <f t="shared" si="6"/>
        <v>06</v>
      </c>
      <c r="B207" t="s">
        <v>2210</v>
      </c>
      <c r="C207" s="3" t="str">
        <f>VLOOKUP(Table2[[#This Row],[Tegevusala]],Table4[],2,FALSE)</f>
        <v>Roela, Tudu, Viru-Jaagupi teeninduspiirkond</v>
      </c>
      <c r="D207" s="3" t="str">
        <f>VLOOKUP(Table2[[#This Row],[Tegevusala]],Table4[[Tegevusala kood]:[Tegevusala alanimetus]],4,FALSE)</f>
        <v>Muu elamu- ja kommunaalmajanduse tegevus</v>
      </c>
      <c r="E207" s="3" t="str">
        <f>VLOOKUP(Table2[[#This Row],[Tegevusala nimetus2]],Table4[[Tegevusala nimetus]:[Tegevusala koondnimetus]],2,FALSE)</f>
        <v>Elamu- ja kommunaalmajandus</v>
      </c>
      <c r="F207" t="s">
        <v>942</v>
      </c>
      <c r="G207" t="s">
        <v>948</v>
      </c>
      <c r="H207" s="40">
        <v>500</v>
      </c>
      <c r="J207">
        <v>5511</v>
      </c>
      <c r="K207" s="3" t="str">
        <f>VLOOKUP(Table2[[#This Row],[Konto]],Table5[[Konto]:[Konto nimetus]],2,FALSE)</f>
        <v>Kinnistute, hoonete ja ruumide majandamiskulud</v>
      </c>
      <c r="L207">
        <v>55</v>
      </c>
      <c r="M207" t="str">
        <f t="shared" si="7"/>
        <v>55</v>
      </c>
      <c r="N207" s="3" t="str">
        <f>VLOOKUP(Table2[[#This Row],[Tulu/kulu liik2]],Table5[[Tulu/kulu liik]:[Kontode koondnimetus]],4,FALSE)</f>
        <v>Muud tegevuskulud</v>
      </c>
      <c r="O207" s="3" t="str">
        <f>VLOOKUP(Table2[[#This Row],[Tulu/kulu liik2]],Table5[],6,FALSE)</f>
        <v>Majandamiskulud</v>
      </c>
      <c r="P207" s="3" t="str">
        <f>VLOOKUP(Table2[[#This Row],[Tulu/kulu liik2]],Table5[],5,FALSE)</f>
        <v>Põhitegevuse kulu</v>
      </c>
    </row>
    <row r="208" spans="1:16" hidden="1" x14ac:dyDescent="0.25">
      <c r="A208" t="str">
        <f t="shared" si="6"/>
        <v>06</v>
      </c>
      <c r="B208" t="s">
        <v>2210</v>
      </c>
      <c r="C208" s="3" t="str">
        <f>VLOOKUP(Table2[[#This Row],[Tegevusala]],Table4[],2,FALSE)</f>
        <v>Roela, Tudu, Viru-Jaagupi teeninduspiirkond</v>
      </c>
      <c r="D208" s="3" t="str">
        <f>VLOOKUP(Table2[[#This Row],[Tegevusala]],Table4[[Tegevusala kood]:[Tegevusala alanimetus]],4,FALSE)</f>
        <v>Muu elamu- ja kommunaalmajanduse tegevus</v>
      </c>
      <c r="E208" s="3" t="str">
        <f>VLOOKUP(Table2[[#This Row],[Tegevusala nimetus2]],Table4[[Tegevusala nimetus]:[Tegevusala koondnimetus]],2,FALSE)</f>
        <v>Elamu- ja kommunaalmajandus</v>
      </c>
      <c r="F208" t="s">
        <v>942</v>
      </c>
      <c r="G208" t="s">
        <v>924</v>
      </c>
      <c r="H208" s="40">
        <v>3000</v>
      </c>
      <c r="I208" s="2" t="s">
        <v>949</v>
      </c>
      <c r="J208">
        <v>5511</v>
      </c>
      <c r="K208" s="3" t="str">
        <f>VLOOKUP(Table2[[#This Row],[Konto]],Table5[[Konto]:[Konto nimetus]],2,FALSE)</f>
        <v>Kinnistute, hoonete ja ruumide majandamiskulud</v>
      </c>
      <c r="L208">
        <v>55</v>
      </c>
      <c r="M208" t="str">
        <f t="shared" si="7"/>
        <v>55</v>
      </c>
      <c r="N208" s="3" t="str">
        <f>VLOOKUP(Table2[[#This Row],[Tulu/kulu liik2]],Table5[[Tulu/kulu liik]:[Kontode koondnimetus]],4,FALSE)</f>
        <v>Muud tegevuskulud</v>
      </c>
      <c r="O208" s="3" t="str">
        <f>VLOOKUP(Table2[[#This Row],[Tulu/kulu liik2]],Table5[],6,FALSE)</f>
        <v>Majandamiskulud</v>
      </c>
      <c r="P208" s="3" t="str">
        <f>VLOOKUP(Table2[[#This Row],[Tulu/kulu liik2]],Table5[],5,FALSE)</f>
        <v>Põhitegevuse kulu</v>
      </c>
    </row>
    <row r="209" spans="1:16" hidden="1" x14ac:dyDescent="0.25">
      <c r="A209" t="str">
        <f t="shared" si="6"/>
        <v>06</v>
      </c>
      <c r="B209" t="s">
        <v>2210</v>
      </c>
      <c r="C209" s="3" t="str">
        <f>VLOOKUP(Table2[[#This Row],[Tegevusala]],Table4[],2,FALSE)</f>
        <v>Roela, Tudu, Viru-Jaagupi teeninduspiirkond</v>
      </c>
      <c r="D209" s="3" t="str">
        <f>VLOOKUP(Table2[[#This Row],[Tegevusala]],Table4[[Tegevusala kood]:[Tegevusala alanimetus]],4,FALSE)</f>
        <v>Muu elamu- ja kommunaalmajanduse tegevus</v>
      </c>
      <c r="E209" s="3" t="str">
        <f>VLOOKUP(Table2[[#This Row],[Tegevusala nimetus2]],Table4[[Tegevusala nimetus]:[Tegevusala koondnimetus]],2,FALSE)</f>
        <v>Elamu- ja kommunaalmajandus</v>
      </c>
      <c r="F209" t="s">
        <v>942</v>
      </c>
      <c r="G209" t="s">
        <v>492</v>
      </c>
      <c r="H209" s="40">
        <v>600</v>
      </c>
      <c r="I209" s="2" t="s">
        <v>950</v>
      </c>
      <c r="J209">
        <v>5511</v>
      </c>
      <c r="K209" s="3" t="str">
        <f>VLOOKUP(Table2[[#This Row],[Konto]],Table5[[Konto]:[Konto nimetus]],2,FALSE)</f>
        <v>Kinnistute, hoonete ja ruumide majandamiskulud</v>
      </c>
      <c r="L209">
        <v>55</v>
      </c>
      <c r="M209" t="str">
        <f t="shared" si="7"/>
        <v>55</v>
      </c>
      <c r="N209" s="3" t="str">
        <f>VLOOKUP(Table2[[#This Row],[Tulu/kulu liik2]],Table5[[Tulu/kulu liik]:[Kontode koondnimetus]],4,FALSE)</f>
        <v>Muud tegevuskulud</v>
      </c>
      <c r="O209" s="3" t="str">
        <f>VLOOKUP(Table2[[#This Row],[Tulu/kulu liik2]],Table5[],6,FALSE)</f>
        <v>Majandamiskulud</v>
      </c>
      <c r="P209" s="3" t="str">
        <f>VLOOKUP(Table2[[#This Row],[Tulu/kulu liik2]],Table5[],5,FALSE)</f>
        <v>Põhitegevuse kulu</v>
      </c>
    </row>
    <row r="210" spans="1:16" hidden="1" x14ac:dyDescent="0.25">
      <c r="A210" t="str">
        <f t="shared" si="6"/>
        <v>06</v>
      </c>
      <c r="B210" t="s">
        <v>2210</v>
      </c>
      <c r="C210" s="3" t="str">
        <f>VLOOKUP(Table2[[#This Row],[Tegevusala]],Table4[],2,FALSE)</f>
        <v>Roela, Tudu, Viru-Jaagupi teeninduspiirkond</v>
      </c>
      <c r="D210" s="3" t="str">
        <f>VLOOKUP(Table2[[#This Row],[Tegevusala]],Table4[[Tegevusala kood]:[Tegevusala alanimetus]],4,FALSE)</f>
        <v>Muu elamu- ja kommunaalmajanduse tegevus</v>
      </c>
      <c r="E210" s="3" t="str">
        <f>VLOOKUP(Table2[[#This Row],[Tegevusala nimetus2]],Table4[[Tegevusala nimetus]:[Tegevusala koondnimetus]],2,FALSE)</f>
        <v>Elamu- ja kommunaalmajandus</v>
      </c>
      <c r="F210" t="s">
        <v>942</v>
      </c>
      <c r="G210" t="s">
        <v>951</v>
      </c>
      <c r="H210" s="40">
        <v>160</v>
      </c>
      <c r="I210" s="2" t="s">
        <v>952</v>
      </c>
      <c r="J210">
        <v>5511</v>
      </c>
      <c r="K210" s="3" t="str">
        <f>VLOOKUP(Table2[[#This Row],[Konto]],Table5[[Konto]:[Konto nimetus]],2,FALSE)</f>
        <v>Kinnistute, hoonete ja ruumide majandamiskulud</v>
      </c>
      <c r="L210">
        <v>55</v>
      </c>
      <c r="M210" t="str">
        <f t="shared" si="7"/>
        <v>55</v>
      </c>
      <c r="N210" s="3" t="str">
        <f>VLOOKUP(Table2[[#This Row],[Tulu/kulu liik2]],Table5[[Tulu/kulu liik]:[Kontode koondnimetus]],4,FALSE)</f>
        <v>Muud tegevuskulud</v>
      </c>
      <c r="O210" s="3" t="str">
        <f>VLOOKUP(Table2[[#This Row],[Tulu/kulu liik2]],Table5[],6,FALSE)</f>
        <v>Majandamiskulud</v>
      </c>
      <c r="P210" s="3" t="str">
        <f>VLOOKUP(Table2[[#This Row],[Tulu/kulu liik2]],Table5[],5,FALSE)</f>
        <v>Põhitegevuse kulu</v>
      </c>
    </row>
    <row r="211" spans="1:16" hidden="1" x14ac:dyDescent="0.25">
      <c r="A211" t="str">
        <f t="shared" si="6"/>
        <v>06</v>
      </c>
      <c r="B211" t="s">
        <v>2210</v>
      </c>
      <c r="C211" s="3" t="str">
        <f>VLOOKUP(Table2[[#This Row],[Tegevusala]],Table4[],2,FALSE)</f>
        <v>Roela, Tudu, Viru-Jaagupi teeninduspiirkond</v>
      </c>
      <c r="D211" s="3" t="str">
        <f>VLOOKUP(Table2[[#This Row],[Tegevusala]],Table4[[Tegevusala kood]:[Tegevusala alanimetus]],4,FALSE)</f>
        <v>Muu elamu- ja kommunaalmajanduse tegevus</v>
      </c>
      <c r="E211" s="3" t="str">
        <f>VLOOKUP(Table2[[#This Row],[Tegevusala nimetus2]],Table4[[Tegevusala nimetus]:[Tegevusala koondnimetus]],2,FALSE)</f>
        <v>Elamu- ja kommunaalmajandus</v>
      </c>
      <c r="F211" t="s">
        <v>942</v>
      </c>
      <c r="G211" t="s">
        <v>953</v>
      </c>
      <c r="H211" s="40">
        <v>155</v>
      </c>
      <c r="I211" s="2" t="s">
        <v>952</v>
      </c>
      <c r="J211">
        <v>5511</v>
      </c>
      <c r="K211" s="3" t="str">
        <f>VLOOKUP(Table2[[#This Row],[Konto]],Table5[[Konto]:[Konto nimetus]],2,FALSE)</f>
        <v>Kinnistute, hoonete ja ruumide majandamiskulud</v>
      </c>
      <c r="L211">
        <v>55</v>
      </c>
      <c r="M211" t="str">
        <f t="shared" si="7"/>
        <v>55</v>
      </c>
      <c r="N211" s="3" t="str">
        <f>VLOOKUP(Table2[[#This Row],[Tulu/kulu liik2]],Table5[[Tulu/kulu liik]:[Kontode koondnimetus]],4,FALSE)</f>
        <v>Muud tegevuskulud</v>
      </c>
      <c r="O211" s="3" t="str">
        <f>VLOOKUP(Table2[[#This Row],[Tulu/kulu liik2]],Table5[],6,FALSE)</f>
        <v>Majandamiskulud</v>
      </c>
      <c r="P211" s="3" t="str">
        <f>VLOOKUP(Table2[[#This Row],[Tulu/kulu liik2]],Table5[],5,FALSE)</f>
        <v>Põhitegevuse kulu</v>
      </c>
    </row>
    <row r="212" spans="1:16" hidden="1" x14ac:dyDescent="0.25">
      <c r="A212" t="str">
        <f t="shared" si="6"/>
        <v>06</v>
      </c>
      <c r="B212" t="s">
        <v>2210</v>
      </c>
      <c r="C212" s="3" t="str">
        <f>VLOOKUP(Table2[[#This Row],[Tegevusala]],Table4[],2,FALSE)</f>
        <v>Roela, Tudu, Viru-Jaagupi teeninduspiirkond</v>
      </c>
      <c r="D212" s="3" t="str">
        <f>VLOOKUP(Table2[[#This Row],[Tegevusala]],Table4[[Tegevusala kood]:[Tegevusala alanimetus]],4,FALSE)</f>
        <v>Muu elamu- ja kommunaalmajanduse tegevus</v>
      </c>
      <c r="E212" s="3" t="str">
        <f>VLOOKUP(Table2[[#This Row],[Tegevusala nimetus2]],Table4[[Tegevusala nimetus]:[Tegevusala koondnimetus]],2,FALSE)</f>
        <v>Elamu- ja kommunaalmajandus</v>
      </c>
      <c r="F212" t="s">
        <v>942</v>
      </c>
      <c r="G212" t="s">
        <v>954</v>
      </c>
      <c r="H212" s="40">
        <v>250</v>
      </c>
      <c r="I212" s="2" t="s">
        <v>952</v>
      </c>
      <c r="J212">
        <v>5511</v>
      </c>
      <c r="K212" s="3" t="str">
        <f>VLOOKUP(Table2[[#This Row],[Konto]],Table5[[Konto]:[Konto nimetus]],2,FALSE)</f>
        <v>Kinnistute, hoonete ja ruumide majandamiskulud</v>
      </c>
      <c r="L212">
        <v>55</v>
      </c>
      <c r="M212" t="str">
        <f t="shared" si="7"/>
        <v>55</v>
      </c>
      <c r="N212" s="3" t="str">
        <f>VLOOKUP(Table2[[#This Row],[Tulu/kulu liik2]],Table5[[Tulu/kulu liik]:[Kontode koondnimetus]],4,FALSE)</f>
        <v>Muud tegevuskulud</v>
      </c>
      <c r="O212" s="3" t="str">
        <f>VLOOKUP(Table2[[#This Row],[Tulu/kulu liik2]],Table5[],6,FALSE)</f>
        <v>Majandamiskulud</v>
      </c>
      <c r="P212" s="3" t="str">
        <f>VLOOKUP(Table2[[#This Row],[Tulu/kulu liik2]],Table5[],5,FALSE)</f>
        <v>Põhitegevuse kulu</v>
      </c>
    </row>
    <row r="213" spans="1:16" hidden="1" x14ac:dyDescent="0.25">
      <c r="A213" t="str">
        <f t="shared" si="6"/>
        <v>06</v>
      </c>
      <c r="B213" t="s">
        <v>2210</v>
      </c>
      <c r="C213" s="3" t="str">
        <f>VLOOKUP(Table2[[#This Row],[Tegevusala]],Table4[],2,FALSE)</f>
        <v>Roela, Tudu, Viru-Jaagupi teeninduspiirkond</v>
      </c>
      <c r="D213" s="3" t="str">
        <f>VLOOKUP(Table2[[#This Row],[Tegevusala]],Table4[[Tegevusala kood]:[Tegevusala alanimetus]],4,FALSE)</f>
        <v>Muu elamu- ja kommunaalmajanduse tegevus</v>
      </c>
      <c r="E213" s="3" t="str">
        <f>VLOOKUP(Table2[[#This Row],[Tegevusala nimetus2]],Table4[[Tegevusala nimetus]:[Tegevusala koondnimetus]],2,FALSE)</f>
        <v>Elamu- ja kommunaalmajandus</v>
      </c>
      <c r="F213" t="s">
        <v>942</v>
      </c>
      <c r="G213" t="s">
        <v>955</v>
      </c>
      <c r="H213" s="40">
        <v>13500</v>
      </c>
      <c r="J213">
        <v>5511</v>
      </c>
      <c r="K213" s="3" t="str">
        <f>VLOOKUP(Table2[[#This Row],[Konto]],Table5[[Konto]:[Konto nimetus]],2,FALSE)</f>
        <v>Kinnistute, hoonete ja ruumide majandamiskulud</v>
      </c>
      <c r="L213">
        <v>55</v>
      </c>
      <c r="M213" t="str">
        <f t="shared" si="7"/>
        <v>55</v>
      </c>
      <c r="N213" s="3" t="str">
        <f>VLOOKUP(Table2[[#This Row],[Tulu/kulu liik2]],Table5[[Tulu/kulu liik]:[Kontode koondnimetus]],4,FALSE)</f>
        <v>Muud tegevuskulud</v>
      </c>
      <c r="O213" s="3" t="str">
        <f>VLOOKUP(Table2[[#This Row],[Tulu/kulu liik2]],Table5[],6,FALSE)</f>
        <v>Majandamiskulud</v>
      </c>
      <c r="P213" s="3" t="str">
        <f>VLOOKUP(Table2[[#This Row],[Tulu/kulu liik2]],Table5[],5,FALSE)</f>
        <v>Põhitegevuse kulu</v>
      </c>
    </row>
    <row r="214" spans="1:16" hidden="1" x14ac:dyDescent="0.25">
      <c r="A214" t="str">
        <f t="shared" si="6"/>
        <v>06</v>
      </c>
      <c r="B214" t="s">
        <v>2210</v>
      </c>
      <c r="C214" s="3" t="str">
        <f>VLOOKUP(Table2[[#This Row],[Tegevusala]],Table4[],2,FALSE)</f>
        <v>Roela, Tudu, Viru-Jaagupi teeninduspiirkond</v>
      </c>
      <c r="D214" s="3" t="str">
        <f>VLOOKUP(Table2[[#This Row],[Tegevusala]],Table4[[Tegevusala kood]:[Tegevusala alanimetus]],4,FALSE)</f>
        <v>Muu elamu- ja kommunaalmajanduse tegevus</v>
      </c>
      <c r="E214" s="3" t="str">
        <f>VLOOKUP(Table2[[#This Row],[Tegevusala nimetus2]],Table4[[Tegevusala nimetus]:[Tegevusala koondnimetus]],2,FALSE)</f>
        <v>Elamu- ja kommunaalmajandus</v>
      </c>
      <c r="F214" t="s">
        <v>942</v>
      </c>
      <c r="G214" t="s">
        <v>956</v>
      </c>
      <c r="H214" s="40">
        <v>5000</v>
      </c>
      <c r="J214">
        <v>5511</v>
      </c>
      <c r="K214" s="3" t="str">
        <f>VLOOKUP(Table2[[#This Row],[Konto]],Table5[[Konto]:[Konto nimetus]],2,FALSE)</f>
        <v>Kinnistute, hoonete ja ruumide majandamiskulud</v>
      </c>
      <c r="L214">
        <v>55</v>
      </c>
      <c r="M214" t="str">
        <f t="shared" si="7"/>
        <v>55</v>
      </c>
      <c r="N214" s="3" t="str">
        <f>VLOOKUP(Table2[[#This Row],[Tulu/kulu liik2]],Table5[[Tulu/kulu liik]:[Kontode koondnimetus]],4,FALSE)</f>
        <v>Muud tegevuskulud</v>
      </c>
      <c r="O214" s="3" t="str">
        <f>VLOOKUP(Table2[[#This Row],[Tulu/kulu liik2]],Table5[],6,FALSE)</f>
        <v>Majandamiskulud</v>
      </c>
      <c r="P214" s="3" t="str">
        <f>VLOOKUP(Table2[[#This Row],[Tulu/kulu liik2]],Table5[],5,FALSE)</f>
        <v>Põhitegevuse kulu</v>
      </c>
    </row>
    <row r="215" spans="1:16" hidden="1" x14ac:dyDescent="0.25">
      <c r="A215" t="str">
        <f t="shared" si="6"/>
        <v>06</v>
      </c>
      <c r="B215" t="s">
        <v>2210</v>
      </c>
      <c r="C215" s="3" t="str">
        <f>VLOOKUP(Table2[[#This Row],[Tegevusala]],Table4[],2,FALSE)</f>
        <v>Roela, Tudu, Viru-Jaagupi teeninduspiirkond</v>
      </c>
      <c r="D215" s="3" t="str">
        <f>VLOOKUP(Table2[[#This Row],[Tegevusala]],Table4[[Tegevusala kood]:[Tegevusala alanimetus]],4,FALSE)</f>
        <v>Muu elamu- ja kommunaalmajanduse tegevus</v>
      </c>
      <c r="E215" s="3" t="str">
        <f>VLOOKUP(Table2[[#This Row],[Tegevusala nimetus2]],Table4[[Tegevusala nimetus]:[Tegevusala koondnimetus]],2,FALSE)</f>
        <v>Elamu- ja kommunaalmajandus</v>
      </c>
      <c r="F215" t="s">
        <v>942</v>
      </c>
      <c r="G215" t="s">
        <v>957</v>
      </c>
      <c r="H215" s="40">
        <v>4800</v>
      </c>
      <c r="J215">
        <v>5511</v>
      </c>
      <c r="K215" s="3" t="str">
        <f>VLOOKUP(Table2[[#This Row],[Konto]],Table5[[Konto]:[Konto nimetus]],2,FALSE)</f>
        <v>Kinnistute, hoonete ja ruumide majandamiskulud</v>
      </c>
      <c r="L215">
        <v>55</v>
      </c>
      <c r="M215" t="str">
        <f t="shared" si="7"/>
        <v>55</v>
      </c>
      <c r="N215" s="3" t="str">
        <f>VLOOKUP(Table2[[#This Row],[Tulu/kulu liik2]],Table5[[Tulu/kulu liik]:[Kontode koondnimetus]],4,FALSE)</f>
        <v>Muud tegevuskulud</v>
      </c>
      <c r="O215" s="3" t="str">
        <f>VLOOKUP(Table2[[#This Row],[Tulu/kulu liik2]],Table5[],6,FALSE)</f>
        <v>Majandamiskulud</v>
      </c>
      <c r="P215" s="3" t="str">
        <f>VLOOKUP(Table2[[#This Row],[Tulu/kulu liik2]],Table5[],5,FALSE)</f>
        <v>Põhitegevuse kulu</v>
      </c>
    </row>
    <row r="216" spans="1:16" hidden="1" x14ac:dyDescent="0.25">
      <c r="A216" t="str">
        <f t="shared" si="6"/>
        <v>06</v>
      </c>
      <c r="B216" t="s">
        <v>2210</v>
      </c>
      <c r="C216" s="3" t="str">
        <f>VLOOKUP(Table2[[#This Row],[Tegevusala]],Table4[],2,FALSE)</f>
        <v>Roela, Tudu, Viru-Jaagupi teeninduspiirkond</v>
      </c>
      <c r="D216" s="3" t="str">
        <f>VLOOKUP(Table2[[#This Row],[Tegevusala]],Table4[[Tegevusala kood]:[Tegevusala alanimetus]],4,FALSE)</f>
        <v>Muu elamu- ja kommunaalmajanduse tegevus</v>
      </c>
      <c r="E216" s="3" t="str">
        <f>VLOOKUP(Table2[[#This Row],[Tegevusala nimetus2]],Table4[[Tegevusala nimetus]:[Tegevusala koondnimetus]],2,FALSE)</f>
        <v>Elamu- ja kommunaalmajandus</v>
      </c>
      <c r="F216" t="s">
        <v>967</v>
      </c>
      <c r="G216" t="s">
        <v>924</v>
      </c>
      <c r="H216" s="40">
        <v>2500</v>
      </c>
      <c r="I216" s="2" t="s">
        <v>949</v>
      </c>
      <c r="J216">
        <v>5511</v>
      </c>
      <c r="K216" s="3" t="str">
        <f>VLOOKUP(Table2[[#This Row],[Konto]],Table5[[Konto]:[Konto nimetus]],2,FALSE)</f>
        <v>Kinnistute, hoonete ja ruumide majandamiskulud</v>
      </c>
      <c r="L216">
        <v>55</v>
      </c>
      <c r="M216" t="str">
        <f t="shared" si="7"/>
        <v>55</v>
      </c>
      <c r="N216" s="3" t="str">
        <f>VLOOKUP(Table2[[#This Row],[Tulu/kulu liik2]],Table5[[Tulu/kulu liik]:[Kontode koondnimetus]],4,FALSE)</f>
        <v>Muud tegevuskulud</v>
      </c>
      <c r="O216" s="3" t="str">
        <f>VLOOKUP(Table2[[#This Row],[Tulu/kulu liik2]],Table5[],6,FALSE)</f>
        <v>Majandamiskulud</v>
      </c>
      <c r="P216" s="3" t="str">
        <f>VLOOKUP(Table2[[#This Row],[Tulu/kulu liik2]],Table5[],5,FALSE)</f>
        <v>Põhitegevuse kulu</v>
      </c>
    </row>
    <row r="217" spans="1:16" hidden="1" x14ac:dyDescent="0.25">
      <c r="A217" t="str">
        <f t="shared" si="6"/>
        <v>06</v>
      </c>
      <c r="B217" t="s">
        <v>2210</v>
      </c>
      <c r="C217" s="3" t="str">
        <f>VLOOKUP(Table2[[#This Row],[Tegevusala]],Table4[],2,FALSE)</f>
        <v>Roela, Tudu, Viru-Jaagupi teeninduspiirkond</v>
      </c>
      <c r="D217" s="3" t="str">
        <f>VLOOKUP(Table2[[#This Row],[Tegevusala]],Table4[[Tegevusala kood]:[Tegevusala alanimetus]],4,FALSE)</f>
        <v>Muu elamu- ja kommunaalmajanduse tegevus</v>
      </c>
      <c r="E217" s="3" t="str">
        <f>VLOOKUP(Table2[[#This Row],[Tegevusala nimetus2]],Table4[[Tegevusala nimetus]:[Tegevusala koondnimetus]],2,FALSE)</f>
        <v>Elamu- ja kommunaalmajandus</v>
      </c>
      <c r="F217" t="s">
        <v>967</v>
      </c>
      <c r="G217" t="s">
        <v>958</v>
      </c>
      <c r="H217" s="40">
        <v>400</v>
      </c>
      <c r="I217" s="2" t="s">
        <v>959</v>
      </c>
      <c r="J217">
        <v>5511</v>
      </c>
      <c r="K217" s="3" t="str">
        <f>VLOOKUP(Table2[[#This Row],[Konto]],Table5[[Konto]:[Konto nimetus]],2,FALSE)</f>
        <v>Kinnistute, hoonete ja ruumide majandamiskulud</v>
      </c>
      <c r="L217">
        <v>55</v>
      </c>
      <c r="M217" t="str">
        <f t="shared" si="7"/>
        <v>55</v>
      </c>
      <c r="N217" s="3" t="str">
        <f>VLOOKUP(Table2[[#This Row],[Tulu/kulu liik2]],Table5[[Tulu/kulu liik]:[Kontode koondnimetus]],4,FALSE)</f>
        <v>Muud tegevuskulud</v>
      </c>
      <c r="O217" s="3" t="str">
        <f>VLOOKUP(Table2[[#This Row],[Tulu/kulu liik2]],Table5[],6,FALSE)</f>
        <v>Majandamiskulud</v>
      </c>
      <c r="P217" s="3" t="str">
        <f>VLOOKUP(Table2[[#This Row],[Tulu/kulu liik2]],Table5[],5,FALSE)</f>
        <v>Põhitegevuse kulu</v>
      </c>
    </row>
    <row r="218" spans="1:16" hidden="1" x14ac:dyDescent="0.25">
      <c r="A218" t="str">
        <f t="shared" si="6"/>
        <v>06</v>
      </c>
      <c r="B218" t="s">
        <v>2210</v>
      </c>
      <c r="C218" s="3" t="str">
        <f>VLOOKUP(Table2[[#This Row],[Tegevusala]],Table4[],2,FALSE)</f>
        <v>Roela, Tudu, Viru-Jaagupi teeninduspiirkond</v>
      </c>
      <c r="D218" s="3" t="str">
        <f>VLOOKUP(Table2[[#This Row],[Tegevusala]],Table4[[Tegevusala kood]:[Tegevusala alanimetus]],4,FALSE)</f>
        <v>Muu elamu- ja kommunaalmajanduse tegevus</v>
      </c>
      <c r="E218" s="3" t="str">
        <f>VLOOKUP(Table2[[#This Row],[Tegevusala nimetus2]],Table4[[Tegevusala nimetus]:[Tegevusala koondnimetus]],2,FALSE)</f>
        <v>Elamu- ja kommunaalmajandus</v>
      </c>
      <c r="F218" t="s">
        <v>967</v>
      </c>
      <c r="G218" t="s">
        <v>951</v>
      </c>
      <c r="H218" s="40">
        <v>1200</v>
      </c>
      <c r="I218" s="2" t="s">
        <v>949</v>
      </c>
      <c r="J218">
        <v>5511</v>
      </c>
      <c r="K218" s="3" t="str">
        <f>VLOOKUP(Table2[[#This Row],[Konto]],Table5[[Konto]:[Konto nimetus]],2,FALSE)</f>
        <v>Kinnistute, hoonete ja ruumide majandamiskulud</v>
      </c>
      <c r="L218">
        <v>55</v>
      </c>
      <c r="M218" t="str">
        <f t="shared" si="7"/>
        <v>55</v>
      </c>
      <c r="N218" s="3" t="str">
        <f>VLOOKUP(Table2[[#This Row],[Tulu/kulu liik2]],Table5[[Tulu/kulu liik]:[Kontode koondnimetus]],4,FALSE)</f>
        <v>Muud tegevuskulud</v>
      </c>
      <c r="O218" s="3" t="str">
        <f>VLOOKUP(Table2[[#This Row],[Tulu/kulu liik2]],Table5[],6,FALSE)</f>
        <v>Majandamiskulud</v>
      </c>
      <c r="P218" s="3" t="str">
        <f>VLOOKUP(Table2[[#This Row],[Tulu/kulu liik2]],Table5[],5,FALSE)</f>
        <v>Põhitegevuse kulu</v>
      </c>
    </row>
    <row r="219" spans="1:16" hidden="1" x14ac:dyDescent="0.25">
      <c r="A219" t="str">
        <f t="shared" si="6"/>
        <v>06</v>
      </c>
      <c r="B219" t="s">
        <v>2210</v>
      </c>
      <c r="C219" s="3" t="str">
        <f>VLOOKUP(Table2[[#This Row],[Tegevusala]],Table4[],2,FALSE)</f>
        <v>Roela, Tudu, Viru-Jaagupi teeninduspiirkond</v>
      </c>
      <c r="D219" s="3" t="str">
        <f>VLOOKUP(Table2[[#This Row],[Tegevusala]],Table4[[Tegevusala kood]:[Tegevusala alanimetus]],4,FALSE)</f>
        <v>Muu elamu- ja kommunaalmajanduse tegevus</v>
      </c>
      <c r="E219" s="3" t="str">
        <f>VLOOKUP(Table2[[#This Row],[Tegevusala nimetus2]],Table4[[Tegevusala nimetus]:[Tegevusala koondnimetus]],2,FALSE)</f>
        <v>Elamu- ja kommunaalmajandus</v>
      </c>
      <c r="F219" t="s">
        <v>967</v>
      </c>
      <c r="G219" t="s">
        <v>960</v>
      </c>
      <c r="H219" s="40">
        <v>14300</v>
      </c>
      <c r="I219" s="2" t="s">
        <v>961</v>
      </c>
      <c r="J219">
        <v>5511</v>
      </c>
      <c r="K219" s="3" t="str">
        <f>VLOOKUP(Table2[[#This Row],[Konto]],Table5[[Konto]:[Konto nimetus]],2,FALSE)</f>
        <v>Kinnistute, hoonete ja ruumide majandamiskulud</v>
      </c>
      <c r="L219">
        <v>55</v>
      </c>
      <c r="M219" t="str">
        <f t="shared" si="7"/>
        <v>55</v>
      </c>
      <c r="N219" s="3" t="str">
        <f>VLOOKUP(Table2[[#This Row],[Tulu/kulu liik2]],Table5[[Tulu/kulu liik]:[Kontode koondnimetus]],4,FALSE)</f>
        <v>Muud tegevuskulud</v>
      </c>
      <c r="O219" s="3" t="str">
        <f>VLOOKUP(Table2[[#This Row],[Tulu/kulu liik2]],Table5[],6,FALSE)</f>
        <v>Majandamiskulud</v>
      </c>
      <c r="P219" s="3" t="str">
        <f>VLOOKUP(Table2[[#This Row],[Tulu/kulu liik2]],Table5[],5,FALSE)</f>
        <v>Põhitegevuse kulu</v>
      </c>
    </row>
    <row r="220" spans="1:16" hidden="1" x14ac:dyDescent="0.25">
      <c r="A220" t="str">
        <f t="shared" si="6"/>
        <v>06</v>
      </c>
      <c r="B220" t="s">
        <v>2210</v>
      </c>
      <c r="C220" s="3" t="str">
        <f>VLOOKUP(Table2[[#This Row],[Tegevusala]],Table4[],2,FALSE)</f>
        <v>Roela, Tudu, Viru-Jaagupi teeninduspiirkond</v>
      </c>
      <c r="D220" s="3" t="str">
        <f>VLOOKUP(Table2[[#This Row],[Tegevusala]],Table4[[Tegevusala kood]:[Tegevusala alanimetus]],4,FALSE)</f>
        <v>Muu elamu- ja kommunaalmajanduse tegevus</v>
      </c>
      <c r="E220" s="3" t="str">
        <f>VLOOKUP(Table2[[#This Row],[Tegevusala nimetus2]],Table4[[Tegevusala nimetus]:[Tegevusala koondnimetus]],2,FALSE)</f>
        <v>Elamu- ja kommunaalmajandus</v>
      </c>
      <c r="F220" t="s">
        <v>967</v>
      </c>
      <c r="G220" t="s">
        <v>962</v>
      </c>
      <c r="H220" s="40">
        <v>6500</v>
      </c>
      <c r="I220" s="2" t="s">
        <v>963</v>
      </c>
      <c r="J220">
        <v>5511</v>
      </c>
      <c r="K220" s="3" t="str">
        <f>VLOOKUP(Table2[[#This Row],[Konto]],Table5[[Konto]:[Konto nimetus]],2,FALSE)</f>
        <v>Kinnistute, hoonete ja ruumide majandamiskulud</v>
      </c>
      <c r="L220">
        <v>55</v>
      </c>
      <c r="M220" t="str">
        <f t="shared" si="7"/>
        <v>55</v>
      </c>
      <c r="N220" s="3" t="str">
        <f>VLOOKUP(Table2[[#This Row],[Tulu/kulu liik2]],Table5[[Tulu/kulu liik]:[Kontode koondnimetus]],4,FALSE)</f>
        <v>Muud tegevuskulud</v>
      </c>
      <c r="O220" s="3" t="str">
        <f>VLOOKUP(Table2[[#This Row],[Tulu/kulu liik2]],Table5[],6,FALSE)</f>
        <v>Majandamiskulud</v>
      </c>
      <c r="P220" s="3" t="str">
        <f>VLOOKUP(Table2[[#This Row],[Tulu/kulu liik2]],Table5[],5,FALSE)</f>
        <v>Põhitegevuse kulu</v>
      </c>
    </row>
    <row r="221" spans="1:16" hidden="1" x14ac:dyDescent="0.25">
      <c r="A221" t="str">
        <f t="shared" si="6"/>
        <v>06</v>
      </c>
      <c r="B221" t="s">
        <v>2210</v>
      </c>
      <c r="C221" s="3" t="str">
        <f>VLOOKUP(Table2[[#This Row],[Tegevusala]],Table4[],2,FALSE)</f>
        <v>Roela, Tudu, Viru-Jaagupi teeninduspiirkond</v>
      </c>
      <c r="D221" s="3" t="str">
        <f>VLOOKUP(Table2[[#This Row],[Tegevusala]],Table4[[Tegevusala kood]:[Tegevusala alanimetus]],4,FALSE)</f>
        <v>Muu elamu- ja kommunaalmajanduse tegevus</v>
      </c>
      <c r="E221" s="3" t="str">
        <f>VLOOKUP(Table2[[#This Row],[Tegevusala nimetus2]],Table4[[Tegevusala nimetus]:[Tegevusala koondnimetus]],2,FALSE)</f>
        <v>Elamu- ja kommunaalmajandus</v>
      </c>
      <c r="F221" t="s">
        <v>967</v>
      </c>
      <c r="G221" t="s">
        <v>964</v>
      </c>
      <c r="H221" s="40">
        <v>3600</v>
      </c>
      <c r="J221">
        <v>5511</v>
      </c>
      <c r="K221" s="3" t="str">
        <f>VLOOKUP(Table2[[#This Row],[Konto]],Table5[[Konto]:[Konto nimetus]],2,FALSE)</f>
        <v>Kinnistute, hoonete ja ruumide majandamiskulud</v>
      </c>
      <c r="L221">
        <v>55</v>
      </c>
      <c r="M221" t="str">
        <f t="shared" si="7"/>
        <v>55</v>
      </c>
      <c r="N221" s="3" t="str">
        <f>VLOOKUP(Table2[[#This Row],[Tulu/kulu liik2]],Table5[[Tulu/kulu liik]:[Kontode koondnimetus]],4,FALSE)</f>
        <v>Muud tegevuskulud</v>
      </c>
      <c r="O221" s="3" t="str">
        <f>VLOOKUP(Table2[[#This Row],[Tulu/kulu liik2]],Table5[],6,FALSE)</f>
        <v>Majandamiskulud</v>
      </c>
      <c r="P221" s="3" t="str">
        <f>VLOOKUP(Table2[[#This Row],[Tulu/kulu liik2]],Table5[],5,FALSE)</f>
        <v>Põhitegevuse kulu</v>
      </c>
    </row>
    <row r="222" spans="1:16" hidden="1" x14ac:dyDescent="0.25">
      <c r="A222" t="str">
        <f t="shared" si="6"/>
        <v>06</v>
      </c>
      <c r="B222" t="s">
        <v>2210</v>
      </c>
      <c r="C222" s="3" t="str">
        <f>VLOOKUP(Table2[[#This Row],[Tegevusala]],Table4[],2,FALSE)</f>
        <v>Roela, Tudu, Viru-Jaagupi teeninduspiirkond</v>
      </c>
      <c r="D222" s="3" t="str">
        <f>VLOOKUP(Table2[[#This Row],[Tegevusala]],Table4[[Tegevusala kood]:[Tegevusala alanimetus]],4,FALSE)</f>
        <v>Muu elamu- ja kommunaalmajanduse tegevus</v>
      </c>
      <c r="E222" s="3" t="str">
        <f>VLOOKUP(Table2[[#This Row],[Tegevusala nimetus2]],Table4[[Tegevusala nimetus]:[Tegevusala koondnimetus]],2,FALSE)</f>
        <v>Elamu- ja kommunaalmajandus</v>
      </c>
      <c r="F222" t="s">
        <v>967</v>
      </c>
      <c r="G222" t="s">
        <v>948</v>
      </c>
      <c r="H222" s="40">
        <v>300</v>
      </c>
      <c r="J222">
        <v>5511</v>
      </c>
      <c r="K222" s="3" t="str">
        <f>VLOOKUP(Table2[[#This Row],[Konto]],Table5[[Konto]:[Konto nimetus]],2,FALSE)</f>
        <v>Kinnistute, hoonete ja ruumide majandamiskulud</v>
      </c>
      <c r="L222">
        <v>55</v>
      </c>
      <c r="M222" t="str">
        <f t="shared" si="7"/>
        <v>55</v>
      </c>
      <c r="N222" s="3" t="str">
        <f>VLOOKUP(Table2[[#This Row],[Tulu/kulu liik2]],Table5[[Tulu/kulu liik]:[Kontode koondnimetus]],4,FALSE)</f>
        <v>Muud tegevuskulud</v>
      </c>
      <c r="O222" s="3" t="str">
        <f>VLOOKUP(Table2[[#This Row],[Tulu/kulu liik2]],Table5[],6,FALSE)</f>
        <v>Majandamiskulud</v>
      </c>
      <c r="P222" s="3" t="str">
        <f>VLOOKUP(Table2[[#This Row],[Tulu/kulu liik2]],Table5[],5,FALSE)</f>
        <v>Põhitegevuse kulu</v>
      </c>
    </row>
    <row r="223" spans="1:16" hidden="1" x14ac:dyDescent="0.25">
      <c r="A223" t="str">
        <f t="shared" si="6"/>
        <v>06</v>
      </c>
      <c r="B223" t="s">
        <v>2210</v>
      </c>
      <c r="C223" s="3" t="str">
        <f>VLOOKUP(Table2[[#This Row],[Tegevusala]],Table4[],2,FALSE)</f>
        <v>Roela, Tudu, Viru-Jaagupi teeninduspiirkond</v>
      </c>
      <c r="D223" s="3" t="str">
        <f>VLOOKUP(Table2[[#This Row],[Tegevusala]],Table4[[Tegevusala kood]:[Tegevusala alanimetus]],4,FALSE)</f>
        <v>Muu elamu- ja kommunaalmajanduse tegevus</v>
      </c>
      <c r="E223" s="3" t="str">
        <f>VLOOKUP(Table2[[#This Row],[Tegevusala nimetus2]],Table4[[Tegevusala nimetus]:[Tegevusala koondnimetus]],2,FALSE)</f>
        <v>Elamu- ja kommunaalmajandus</v>
      </c>
      <c r="F223" t="s">
        <v>967</v>
      </c>
      <c r="G223" t="s">
        <v>946</v>
      </c>
      <c r="H223" s="40">
        <v>1500</v>
      </c>
      <c r="I223" s="2" t="s">
        <v>965</v>
      </c>
      <c r="J223">
        <v>5511</v>
      </c>
      <c r="K223" s="3" t="str">
        <f>VLOOKUP(Table2[[#This Row],[Konto]],Table5[[Konto]:[Konto nimetus]],2,FALSE)</f>
        <v>Kinnistute, hoonete ja ruumide majandamiskulud</v>
      </c>
      <c r="L223">
        <v>55</v>
      </c>
      <c r="M223" t="str">
        <f t="shared" si="7"/>
        <v>55</v>
      </c>
      <c r="N223" s="3" t="str">
        <f>VLOOKUP(Table2[[#This Row],[Tulu/kulu liik2]],Table5[[Tulu/kulu liik]:[Kontode koondnimetus]],4,FALSE)</f>
        <v>Muud tegevuskulud</v>
      </c>
      <c r="O223" s="3" t="str">
        <f>VLOOKUP(Table2[[#This Row],[Tulu/kulu liik2]],Table5[],6,FALSE)</f>
        <v>Majandamiskulud</v>
      </c>
      <c r="P223" s="3" t="str">
        <f>VLOOKUP(Table2[[#This Row],[Tulu/kulu liik2]],Table5[],5,FALSE)</f>
        <v>Põhitegevuse kulu</v>
      </c>
    </row>
    <row r="224" spans="1:16" hidden="1" x14ac:dyDescent="0.25">
      <c r="A224" t="str">
        <f t="shared" si="6"/>
        <v>06</v>
      </c>
      <c r="B224" t="s">
        <v>2210</v>
      </c>
      <c r="C224" s="3" t="str">
        <f>VLOOKUP(Table2[[#This Row],[Tegevusala]],Table4[],2,FALSE)</f>
        <v>Roela, Tudu, Viru-Jaagupi teeninduspiirkond</v>
      </c>
      <c r="D224" s="3" t="str">
        <f>VLOOKUP(Table2[[#This Row],[Tegevusala]],Table4[[Tegevusala kood]:[Tegevusala alanimetus]],4,FALSE)</f>
        <v>Muu elamu- ja kommunaalmajanduse tegevus</v>
      </c>
      <c r="E224" s="3" t="str">
        <f>VLOOKUP(Table2[[#This Row],[Tegevusala nimetus2]],Table4[[Tegevusala nimetus]:[Tegevusala koondnimetus]],2,FALSE)</f>
        <v>Elamu- ja kommunaalmajandus</v>
      </c>
      <c r="F224" t="s">
        <v>967</v>
      </c>
      <c r="G224" t="s">
        <v>966</v>
      </c>
      <c r="H224" s="40">
        <v>500</v>
      </c>
      <c r="J224">
        <v>5511</v>
      </c>
      <c r="K224" s="3" t="str">
        <f>VLOOKUP(Table2[[#This Row],[Konto]],Table5[[Konto]:[Konto nimetus]],2,FALSE)</f>
        <v>Kinnistute, hoonete ja ruumide majandamiskulud</v>
      </c>
      <c r="L224">
        <v>55</v>
      </c>
      <c r="M224" t="str">
        <f t="shared" si="7"/>
        <v>55</v>
      </c>
      <c r="N224" s="3" t="str">
        <f>VLOOKUP(Table2[[#This Row],[Tulu/kulu liik2]],Table5[[Tulu/kulu liik]:[Kontode koondnimetus]],4,FALSE)</f>
        <v>Muud tegevuskulud</v>
      </c>
      <c r="O224" s="3" t="str">
        <f>VLOOKUP(Table2[[#This Row],[Tulu/kulu liik2]],Table5[],6,FALSE)</f>
        <v>Majandamiskulud</v>
      </c>
      <c r="P224" s="3" t="str">
        <f>VLOOKUP(Table2[[#This Row],[Tulu/kulu liik2]],Table5[],5,FALSE)</f>
        <v>Põhitegevuse kulu</v>
      </c>
    </row>
    <row r="225" spans="1:16" hidden="1" x14ac:dyDescent="0.25">
      <c r="A225" t="str">
        <f t="shared" si="6"/>
        <v>06</v>
      </c>
      <c r="B225" t="s">
        <v>2210</v>
      </c>
      <c r="C225" s="3" t="str">
        <f>VLOOKUP(Table2[[#This Row],[Tegevusala]],Table4[],2,FALSE)</f>
        <v>Roela, Tudu, Viru-Jaagupi teeninduspiirkond</v>
      </c>
      <c r="D225" s="3" t="str">
        <f>VLOOKUP(Table2[[#This Row],[Tegevusala]],Table4[[Tegevusala kood]:[Tegevusala alanimetus]],4,FALSE)</f>
        <v>Muu elamu- ja kommunaalmajanduse tegevus</v>
      </c>
      <c r="E225" s="3" t="str">
        <f>VLOOKUP(Table2[[#This Row],[Tegevusala nimetus2]],Table4[[Tegevusala nimetus]:[Tegevusala koondnimetus]],2,FALSE)</f>
        <v>Elamu- ja kommunaalmajandus</v>
      </c>
      <c r="F225" t="s">
        <v>967</v>
      </c>
      <c r="G225" t="s">
        <v>1195</v>
      </c>
      <c r="H225" s="40">
        <v>580</v>
      </c>
      <c r="J225">
        <v>5514</v>
      </c>
      <c r="K225" s="3" t="str">
        <f>VLOOKUP(Table2[[#This Row],[Konto]],Table5[[Konto]:[Konto nimetus]],2,FALSE)</f>
        <v>Info- ja kommunikatsioonitehnoliigised kulud</v>
      </c>
      <c r="L225">
        <v>55</v>
      </c>
      <c r="M225" t="str">
        <f t="shared" si="7"/>
        <v>55</v>
      </c>
      <c r="N225" s="3" t="str">
        <f>VLOOKUP(Table2[[#This Row],[Tulu/kulu liik2]],Table5[[Tulu/kulu liik]:[Kontode koondnimetus]],4,FALSE)</f>
        <v>Muud tegevuskulud</v>
      </c>
      <c r="O225" s="34" t="str">
        <f>VLOOKUP(Table2[[#This Row],[Tulu/kulu liik2]],Table5[],6,FALSE)</f>
        <v>Majandamiskulud</v>
      </c>
      <c r="P225" s="3" t="str">
        <f>VLOOKUP(Table2[[#This Row],[Tulu/kulu liik2]],Table5[],5,FALSE)</f>
        <v>Põhitegevuse kulu</v>
      </c>
    </row>
    <row r="226" spans="1:16" hidden="1" x14ac:dyDescent="0.25">
      <c r="A226" t="str">
        <f t="shared" si="6"/>
        <v>06</v>
      </c>
      <c r="B226" t="s">
        <v>2210</v>
      </c>
      <c r="C226" s="3" t="str">
        <f>VLOOKUP(Table2[[#This Row],[Tegevusala]],Table4[],2,FALSE)</f>
        <v>Roela, Tudu, Viru-Jaagupi teeninduspiirkond</v>
      </c>
      <c r="D226" s="3" t="str">
        <f>VLOOKUP(Table2[[#This Row],[Tegevusala]],Table4[[Tegevusala kood]:[Tegevusala alanimetus]],4,FALSE)</f>
        <v>Muu elamu- ja kommunaalmajanduse tegevus</v>
      </c>
      <c r="E226" s="3" t="str">
        <f>VLOOKUP(Table2[[#This Row],[Tegevusala nimetus2]],Table4[[Tegevusala nimetus]:[Tegevusala koondnimetus]],2,FALSE)</f>
        <v>Elamu- ja kommunaalmajandus</v>
      </c>
      <c r="F226" s="14" t="s">
        <v>972</v>
      </c>
      <c r="G226" t="s">
        <v>951</v>
      </c>
      <c r="H226" s="40">
        <v>235</v>
      </c>
      <c r="I226" s="2" t="s">
        <v>974</v>
      </c>
      <c r="J226">
        <v>5511</v>
      </c>
      <c r="K226" s="3" t="str">
        <f>VLOOKUP(Table2[[#This Row],[Konto]],Table5[[Konto]:[Konto nimetus]],2,FALSE)</f>
        <v>Kinnistute, hoonete ja ruumide majandamiskulud</v>
      </c>
      <c r="L226">
        <v>55</v>
      </c>
      <c r="M226" t="str">
        <f t="shared" si="7"/>
        <v>55</v>
      </c>
      <c r="N226" s="3" t="str">
        <f>VLOOKUP(Table2[[#This Row],[Tulu/kulu liik2]],Table5[[Tulu/kulu liik]:[Kontode koondnimetus]],4,FALSE)</f>
        <v>Muud tegevuskulud</v>
      </c>
      <c r="O226" s="3" t="str">
        <f>VLOOKUP(Table2[[#This Row],[Tulu/kulu liik2]],Table5[],6,FALSE)</f>
        <v>Majandamiskulud</v>
      </c>
      <c r="P226" s="3" t="str">
        <f>VLOOKUP(Table2[[#This Row],[Tulu/kulu liik2]],Table5[],5,FALSE)</f>
        <v>Põhitegevuse kulu</v>
      </c>
    </row>
    <row r="227" spans="1:16" hidden="1" x14ac:dyDescent="0.25">
      <c r="A227" t="str">
        <f t="shared" si="6"/>
        <v>06</v>
      </c>
      <c r="B227" t="s">
        <v>2210</v>
      </c>
      <c r="C227" s="3" t="str">
        <f>VLOOKUP(Table2[[#This Row],[Tegevusala]],Table4[],2,FALSE)</f>
        <v>Roela, Tudu, Viru-Jaagupi teeninduspiirkond</v>
      </c>
      <c r="D227" s="3" t="str">
        <f>VLOOKUP(Table2[[#This Row],[Tegevusala]],Table4[[Tegevusala kood]:[Tegevusala alanimetus]],4,FALSE)</f>
        <v>Muu elamu- ja kommunaalmajanduse tegevus</v>
      </c>
      <c r="E227" s="3" t="str">
        <f>VLOOKUP(Table2[[#This Row],[Tegevusala nimetus2]],Table4[[Tegevusala nimetus]:[Tegevusala koondnimetus]],2,FALSE)</f>
        <v>Elamu- ja kommunaalmajandus</v>
      </c>
      <c r="F227" s="14" t="s">
        <v>972</v>
      </c>
      <c r="G227" t="s">
        <v>975</v>
      </c>
      <c r="H227" s="40">
        <v>92.4</v>
      </c>
      <c r="I227" s="2" t="s">
        <v>974</v>
      </c>
      <c r="J227">
        <v>5511</v>
      </c>
      <c r="K227" s="3" t="str">
        <f>VLOOKUP(Table2[[#This Row],[Konto]],Table5[[Konto]:[Konto nimetus]],2,FALSE)</f>
        <v>Kinnistute, hoonete ja ruumide majandamiskulud</v>
      </c>
      <c r="L227">
        <v>55</v>
      </c>
      <c r="M227" t="str">
        <f t="shared" si="7"/>
        <v>55</v>
      </c>
      <c r="N227" s="3" t="str">
        <f>VLOOKUP(Table2[[#This Row],[Tulu/kulu liik2]],Table5[[Tulu/kulu liik]:[Kontode koondnimetus]],4,FALSE)</f>
        <v>Muud tegevuskulud</v>
      </c>
      <c r="O227" s="3" t="str">
        <f>VLOOKUP(Table2[[#This Row],[Tulu/kulu liik2]],Table5[],6,FALSE)</f>
        <v>Majandamiskulud</v>
      </c>
      <c r="P227" s="3" t="str">
        <f>VLOOKUP(Table2[[#This Row],[Tulu/kulu liik2]],Table5[],5,FALSE)</f>
        <v>Põhitegevuse kulu</v>
      </c>
    </row>
    <row r="228" spans="1:16" hidden="1" x14ac:dyDescent="0.25">
      <c r="A228" t="str">
        <f t="shared" si="6"/>
        <v>06</v>
      </c>
      <c r="B228" t="s">
        <v>2210</v>
      </c>
      <c r="C228" s="3" t="str">
        <f>VLOOKUP(Table2[[#This Row],[Tegevusala]],Table4[],2,FALSE)</f>
        <v>Roela, Tudu, Viru-Jaagupi teeninduspiirkond</v>
      </c>
      <c r="D228" s="3" t="str">
        <f>VLOOKUP(Table2[[#This Row],[Tegevusala]],Table4[[Tegevusala kood]:[Tegevusala alanimetus]],4,FALSE)</f>
        <v>Muu elamu- ja kommunaalmajanduse tegevus</v>
      </c>
      <c r="E228" s="3" t="str">
        <f>VLOOKUP(Table2[[#This Row],[Tegevusala nimetus2]],Table4[[Tegevusala nimetus]:[Tegevusala koondnimetus]],2,FALSE)</f>
        <v>Elamu- ja kommunaalmajandus</v>
      </c>
      <c r="F228" s="14" t="s">
        <v>972</v>
      </c>
      <c r="G228" t="s">
        <v>492</v>
      </c>
      <c r="H228" s="40">
        <v>1400</v>
      </c>
      <c r="I228" s="2" t="s">
        <v>976</v>
      </c>
      <c r="J228">
        <v>5511</v>
      </c>
      <c r="K228" s="3" t="str">
        <f>VLOOKUP(Table2[[#This Row],[Konto]],Table5[[Konto]:[Konto nimetus]],2,FALSE)</f>
        <v>Kinnistute, hoonete ja ruumide majandamiskulud</v>
      </c>
      <c r="L228">
        <v>55</v>
      </c>
      <c r="M228" t="str">
        <f t="shared" si="7"/>
        <v>55</v>
      </c>
      <c r="N228" s="3" t="str">
        <f>VLOOKUP(Table2[[#This Row],[Tulu/kulu liik2]],Table5[[Tulu/kulu liik]:[Kontode koondnimetus]],4,FALSE)</f>
        <v>Muud tegevuskulud</v>
      </c>
      <c r="O228" s="3" t="str">
        <f>VLOOKUP(Table2[[#This Row],[Tulu/kulu liik2]],Table5[],6,FALSE)</f>
        <v>Majandamiskulud</v>
      </c>
      <c r="P228" s="3" t="str">
        <f>VLOOKUP(Table2[[#This Row],[Tulu/kulu liik2]],Table5[],5,FALSE)</f>
        <v>Põhitegevuse kulu</v>
      </c>
    </row>
    <row r="229" spans="1:16" hidden="1" x14ac:dyDescent="0.25">
      <c r="A229" t="str">
        <f t="shared" si="6"/>
        <v>06</v>
      </c>
      <c r="B229" t="s">
        <v>2210</v>
      </c>
      <c r="C229" s="3" t="str">
        <f>VLOOKUP(Table2[[#This Row],[Tegevusala]],Table4[],2,FALSE)</f>
        <v>Roela, Tudu, Viru-Jaagupi teeninduspiirkond</v>
      </c>
      <c r="D229" s="3" t="str">
        <f>VLOOKUP(Table2[[#This Row],[Tegevusala]],Table4[[Tegevusala kood]:[Tegevusala alanimetus]],4,FALSE)</f>
        <v>Muu elamu- ja kommunaalmajanduse tegevus</v>
      </c>
      <c r="E229" s="3" t="str">
        <f>VLOOKUP(Table2[[#This Row],[Tegevusala nimetus2]],Table4[[Tegevusala nimetus]:[Tegevusala koondnimetus]],2,FALSE)</f>
        <v>Elamu- ja kommunaalmajandus</v>
      </c>
      <c r="F229" s="14" t="s">
        <v>972</v>
      </c>
      <c r="G229" t="s">
        <v>951</v>
      </c>
      <c r="H229" s="40">
        <v>84</v>
      </c>
      <c r="I229" s="2" t="s">
        <v>977</v>
      </c>
      <c r="J229">
        <v>5511</v>
      </c>
      <c r="K229" s="3" t="str">
        <f>VLOOKUP(Table2[[#This Row],[Konto]],Table5[[Konto]:[Konto nimetus]],2,FALSE)</f>
        <v>Kinnistute, hoonete ja ruumide majandamiskulud</v>
      </c>
      <c r="L229">
        <v>55</v>
      </c>
      <c r="M229" t="str">
        <f t="shared" si="7"/>
        <v>55</v>
      </c>
      <c r="N229" s="3" t="str">
        <f>VLOOKUP(Table2[[#This Row],[Tulu/kulu liik2]],Table5[[Tulu/kulu liik]:[Kontode koondnimetus]],4,FALSE)</f>
        <v>Muud tegevuskulud</v>
      </c>
      <c r="O229" s="3" t="str">
        <f>VLOOKUP(Table2[[#This Row],[Tulu/kulu liik2]],Table5[],6,FALSE)</f>
        <v>Majandamiskulud</v>
      </c>
      <c r="P229" s="3" t="str">
        <f>VLOOKUP(Table2[[#This Row],[Tulu/kulu liik2]],Table5[],5,FALSE)</f>
        <v>Põhitegevuse kulu</v>
      </c>
    </row>
    <row r="230" spans="1:16" hidden="1" x14ac:dyDescent="0.25">
      <c r="A230" t="str">
        <f t="shared" si="6"/>
        <v>06</v>
      </c>
      <c r="B230" t="s">
        <v>2210</v>
      </c>
      <c r="C230" s="3" t="str">
        <f>VLOOKUP(Table2[[#This Row],[Tegevusala]],Table4[],2,FALSE)</f>
        <v>Roela, Tudu, Viru-Jaagupi teeninduspiirkond</v>
      </c>
      <c r="D230" s="3" t="str">
        <f>VLOOKUP(Table2[[#This Row],[Tegevusala]],Table4[[Tegevusala kood]:[Tegevusala alanimetus]],4,FALSE)</f>
        <v>Muu elamu- ja kommunaalmajanduse tegevus</v>
      </c>
      <c r="E230" s="3" t="str">
        <f>VLOOKUP(Table2[[#This Row],[Tegevusala nimetus2]],Table4[[Tegevusala nimetus]:[Tegevusala koondnimetus]],2,FALSE)</f>
        <v>Elamu- ja kommunaalmajandus</v>
      </c>
      <c r="F230" s="14" t="s">
        <v>972</v>
      </c>
      <c r="G230" t="s">
        <v>951</v>
      </c>
      <c r="H230" s="40">
        <v>350</v>
      </c>
      <c r="I230" s="2" t="s">
        <v>978</v>
      </c>
      <c r="J230">
        <v>5511</v>
      </c>
      <c r="K230" s="3" t="str">
        <f>VLOOKUP(Table2[[#This Row],[Konto]],Table5[[Konto]:[Konto nimetus]],2,FALSE)</f>
        <v>Kinnistute, hoonete ja ruumide majandamiskulud</v>
      </c>
      <c r="L230">
        <v>55</v>
      </c>
      <c r="M230" t="str">
        <f t="shared" si="7"/>
        <v>55</v>
      </c>
      <c r="N230" s="3" t="str">
        <f>VLOOKUP(Table2[[#This Row],[Tulu/kulu liik2]],Table5[[Tulu/kulu liik]:[Kontode koondnimetus]],4,FALSE)</f>
        <v>Muud tegevuskulud</v>
      </c>
      <c r="O230" s="3" t="str">
        <f>VLOOKUP(Table2[[#This Row],[Tulu/kulu liik2]],Table5[],6,FALSE)</f>
        <v>Majandamiskulud</v>
      </c>
      <c r="P230" s="3" t="str">
        <f>VLOOKUP(Table2[[#This Row],[Tulu/kulu liik2]],Table5[],5,FALSE)</f>
        <v>Põhitegevuse kulu</v>
      </c>
    </row>
    <row r="231" spans="1:16" hidden="1" x14ac:dyDescent="0.25">
      <c r="A231" t="str">
        <f t="shared" si="6"/>
        <v>06</v>
      </c>
      <c r="B231" t="s">
        <v>2210</v>
      </c>
      <c r="C231" s="3" t="str">
        <f>VLOOKUP(Table2[[#This Row],[Tegevusala]],Table4[],2,FALSE)</f>
        <v>Roela, Tudu, Viru-Jaagupi teeninduspiirkond</v>
      </c>
      <c r="D231" s="3" t="str">
        <f>VLOOKUP(Table2[[#This Row],[Tegevusala]],Table4[[Tegevusala kood]:[Tegevusala alanimetus]],4,FALSE)</f>
        <v>Muu elamu- ja kommunaalmajanduse tegevus</v>
      </c>
      <c r="E231" s="3" t="str">
        <f>VLOOKUP(Table2[[#This Row],[Tegevusala nimetus2]],Table4[[Tegevusala nimetus]:[Tegevusala koondnimetus]],2,FALSE)</f>
        <v>Elamu- ja kommunaalmajandus</v>
      </c>
      <c r="F231" s="14" t="s">
        <v>972</v>
      </c>
      <c r="G231" t="s">
        <v>979</v>
      </c>
      <c r="H231" s="40">
        <v>3600</v>
      </c>
      <c r="J231">
        <v>5511</v>
      </c>
      <c r="K231" s="3" t="str">
        <f>VLOOKUP(Table2[[#This Row],[Konto]],Table5[[Konto]:[Konto nimetus]],2,FALSE)</f>
        <v>Kinnistute, hoonete ja ruumide majandamiskulud</v>
      </c>
      <c r="L231">
        <v>55</v>
      </c>
      <c r="M231" t="str">
        <f t="shared" si="7"/>
        <v>55</v>
      </c>
      <c r="N231" s="3" t="str">
        <f>VLOOKUP(Table2[[#This Row],[Tulu/kulu liik2]],Table5[[Tulu/kulu liik]:[Kontode koondnimetus]],4,FALSE)</f>
        <v>Muud tegevuskulud</v>
      </c>
      <c r="O231" s="3" t="str">
        <f>VLOOKUP(Table2[[#This Row],[Tulu/kulu liik2]],Table5[],6,FALSE)</f>
        <v>Majandamiskulud</v>
      </c>
      <c r="P231" s="3" t="str">
        <f>VLOOKUP(Table2[[#This Row],[Tulu/kulu liik2]],Table5[],5,FALSE)</f>
        <v>Põhitegevuse kulu</v>
      </c>
    </row>
    <row r="232" spans="1:16" hidden="1" x14ac:dyDescent="0.25">
      <c r="A232" t="str">
        <f t="shared" si="6"/>
        <v>06</v>
      </c>
      <c r="B232" t="s">
        <v>2210</v>
      </c>
      <c r="C232" s="3" t="str">
        <f>VLOOKUP(Table2[[#This Row],[Tegevusala]],Table4[],2,FALSE)</f>
        <v>Roela, Tudu, Viru-Jaagupi teeninduspiirkond</v>
      </c>
      <c r="D232" s="3" t="str">
        <f>VLOOKUP(Table2[[#This Row],[Tegevusala]],Table4[[Tegevusala kood]:[Tegevusala alanimetus]],4,FALSE)</f>
        <v>Muu elamu- ja kommunaalmajanduse tegevus</v>
      </c>
      <c r="E232" s="3" t="str">
        <f>VLOOKUP(Table2[[#This Row],[Tegevusala nimetus2]],Table4[[Tegevusala nimetus]:[Tegevusala koondnimetus]],2,FALSE)</f>
        <v>Elamu- ja kommunaalmajandus</v>
      </c>
      <c r="F232" s="14" t="s">
        <v>972</v>
      </c>
      <c r="G232" t="s">
        <v>943</v>
      </c>
      <c r="H232" s="40">
        <v>3000</v>
      </c>
      <c r="J232">
        <v>5511</v>
      </c>
      <c r="K232" s="3" t="str">
        <f>VLOOKUP(Table2[[#This Row],[Konto]],Table5[[Konto]:[Konto nimetus]],2,FALSE)</f>
        <v>Kinnistute, hoonete ja ruumide majandamiskulud</v>
      </c>
      <c r="L232">
        <v>55</v>
      </c>
      <c r="M232" t="str">
        <f t="shared" si="7"/>
        <v>55</v>
      </c>
      <c r="N232" s="3" t="str">
        <f>VLOOKUP(Table2[[#This Row],[Tulu/kulu liik2]],Table5[[Tulu/kulu liik]:[Kontode koondnimetus]],4,FALSE)</f>
        <v>Muud tegevuskulud</v>
      </c>
      <c r="O232" s="3" t="str">
        <f>VLOOKUP(Table2[[#This Row],[Tulu/kulu liik2]],Table5[],6,FALSE)</f>
        <v>Majandamiskulud</v>
      </c>
      <c r="P232" s="3" t="str">
        <f>VLOOKUP(Table2[[#This Row],[Tulu/kulu liik2]],Table5[],5,FALSE)</f>
        <v>Põhitegevuse kulu</v>
      </c>
    </row>
    <row r="233" spans="1:16" hidden="1" x14ac:dyDescent="0.25">
      <c r="A233" t="str">
        <f t="shared" si="6"/>
        <v>06</v>
      </c>
      <c r="B233" t="s">
        <v>2210</v>
      </c>
      <c r="C233" s="3" t="str">
        <f>VLOOKUP(Table2[[#This Row],[Tegevusala]],Table4[],2,FALSE)</f>
        <v>Roela, Tudu, Viru-Jaagupi teeninduspiirkond</v>
      </c>
      <c r="D233" s="3" t="str">
        <f>VLOOKUP(Table2[[#This Row],[Tegevusala]],Table4[[Tegevusala kood]:[Tegevusala alanimetus]],4,FALSE)</f>
        <v>Muu elamu- ja kommunaalmajanduse tegevus</v>
      </c>
      <c r="E233" s="3" t="str">
        <f>VLOOKUP(Table2[[#This Row],[Tegevusala nimetus2]],Table4[[Tegevusala nimetus]:[Tegevusala koondnimetus]],2,FALSE)</f>
        <v>Elamu- ja kommunaalmajandus</v>
      </c>
      <c r="F233" s="14" t="s">
        <v>972</v>
      </c>
      <c r="G233" t="s">
        <v>924</v>
      </c>
      <c r="H233" s="40">
        <v>18000</v>
      </c>
      <c r="J233">
        <v>5511</v>
      </c>
      <c r="K233" s="3" t="str">
        <f>VLOOKUP(Table2[[#This Row],[Konto]],Table5[[Konto]:[Konto nimetus]],2,FALSE)</f>
        <v>Kinnistute, hoonete ja ruumide majandamiskulud</v>
      </c>
      <c r="L233">
        <v>55</v>
      </c>
      <c r="M233" t="str">
        <f t="shared" si="7"/>
        <v>55</v>
      </c>
      <c r="N233" s="3" t="str">
        <f>VLOOKUP(Table2[[#This Row],[Tulu/kulu liik2]],Table5[[Tulu/kulu liik]:[Kontode koondnimetus]],4,FALSE)</f>
        <v>Muud tegevuskulud</v>
      </c>
      <c r="O233" s="3" t="str">
        <f>VLOOKUP(Table2[[#This Row],[Tulu/kulu liik2]],Table5[],6,FALSE)</f>
        <v>Majandamiskulud</v>
      </c>
      <c r="P233" s="3" t="str">
        <f>VLOOKUP(Table2[[#This Row],[Tulu/kulu liik2]],Table5[],5,FALSE)</f>
        <v>Põhitegevuse kulu</v>
      </c>
    </row>
    <row r="234" spans="1:16" hidden="1" x14ac:dyDescent="0.25">
      <c r="A234" t="str">
        <f t="shared" si="6"/>
        <v>06</v>
      </c>
      <c r="B234" t="s">
        <v>2210</v>
      </c>
      <c r="C234" s="3" t="str">
        <f>VLOOKUP(Table2[[#This Row],[Tegevusala]],Table4[],2,FALSE)</f>
        <v>Roela, Tudu, Viru-Jaagupi teeninduspiirkond</v>
      </c>
      <c r="D234" s="3" t="str">
        <f>VLOOKUP(Table2[[#This Row],[Tegevusala]],Table4[[Tegevusala kood]:[Tegevusala alanimetus]],4,FALSE)</f>
        <v>Muu elamu- ja kommunaalmajanduse tegevus</v>
      </c>
      <c r="E234" s="3" t="str">
        <f>VLOOKUP(Table2[[#This Row],[Tegevusala nimetus2]],Table4[[Tegevusala nimetus]:[Tegevusala koondnimetus]],2,FALSE)</f>
        <v>Elamu- ja kommunaalmajandus</v>
      </c>
      <c r="F234" s="14" t="s">
        <v>972</v>
      </c>
      <c r="G234" t="s">
        <v>980</v>
      </c>
      <c r="H234" s="40">
        <v>1000</v>
      </c>
      <c r="I234" s="2" t="s">
        <v>981</v>
      </c>
      <c r="J234">
        <v>5511</v>
      </c>
      <c r="K234" s="3" t="str">
        <f>VLOOKUP(Table2[[#This Row],[Konto]],Table5[[Konto]:[Konto nimetus]],2,FALSE)</f>
        <v>Kinnistute, hoonete ja ruumide majandamiskulud</v>
      </c>
      <c r="L234">
        <v>55</v>
      </c>
      <c r="M234" t="str">
        <f t="shared" si="7"/>
        <v>55</v>
      </c>
      <c r="N234" s="3" t="str">
        <f>VLOOKUP(Table2[[#This Row],[Tulu/kulu liik2]],Table5[[Tulu/kulu liik]:[Kontode koondnimetus]],4,FALSE)</f>
        <v>Muud tegevuskulud</v>
      </c>
      <c r="O234" s="3" t="str">
        <f>VLOOKUP(Table2[[#This Row],[Tulu/kulu liik2]],Table5[],6,FALSE)</f>
        <v>Majandamiskulud</v>
      </c>
      <c r="P234" s="3" t="str">
        <f>VLOOKUP(Table2[[#This Row],[Tulu/kulu liik2]],Table5[],5,FALSE)</f>
        <v>Põhitegevuse kulu</v>
      </c>
    </row>
    <row r="235" spans="1:16" hidden="1" x14ac:dyDescent="0.25">
      <c r="A235" t="str">
        <f t="shared" si="6"/>
        <v>06</v>
      </c>
      <c r="B235" t="s">
        <v>2210</v>
      </c>
      <c r="C235" s="3" t="str">
        <f>VLOOKUP(Table2[[#This Row],[Tegevusala]],Table4[],2,FALSE)</f>
        <v>Roela, Tudu, Viru-Jaagupi teeninduspiirkond</v>
      </c>
      <c r="D235" s="3" t="str">
        <f>VLOOKUP(Table2[[#This Row],[Tegevusala]],Table4[[Tegevusala kood]:[Tegevusala alanimetus]],4,FALSE)</f>
        <v>Muu elamu- ja kommunaalmajanduse tegevus</v>
      </c>
      <c r="E235" s="3" t="str">
        <f>VLOOKUP(Table2[[#This Row],[Tegevusala nimetus2]],Table4[[Tegevusala nimetus]:[Tegevusala koondnimetus]],2,FALSE)</f>
        <v>Elamu- ja kommunaalmajandus</v>
      </c>
      <c r="F235" s="14" t="s">
        <v>972</v>
      </c>
      <c r="G235" t="s">
        <v>982</v>
      </c>
      <c r="H235" s="40">
        <v>84</v>
      </c>
      <c r="J235">
        <v>5511</v>
      </c>
      <c r="K235" s="3" t="str">
        <f>VLOOKUP(Table2[[#This Row],[Konto]],Table5[[Konto]:[Konto nimetus]],2,FALSE)</f>
        <v>Kinnistute, hoonete ja ruumide majandamiskulud</v>
      </c>
      <c r="L235">
        <v>55</v>
      </c>
      <c r="M235" t="str">
        <f t="shared" si="7"/>
        <v>55</v>
      </c>
      <c r="N235" s="3" t="str">
        <f>VLOOKUP(Table2[[#This Row],[Tulu/kulu liik2]],Table5[[Tulu/kulu liik]:[Kontode koondnimetus]],4,FALSE)</f>
        <v>Muud tegevuskulud</v>
      </c>
      <c r="O235" s="3" t="str">
        <f>VLOOKUP(Table2[[#This Row],[Tulu/kulu liik2]],Table5[],6,FALSE)</f>
        <v>Majandamiskulud</v>
      </c>
      <c r="P235" s="3" t="str">
        <f>VLOOKUP(Table2[[#This Row],[Tulu/kulu liik2]],Table5[],5,FALSE)</f>
        <v>Põhitegevuse kulu</v>
      </c>
    </row>
    <row r="236" spans="1:16" hidden="1" x14ac:dyDescent="0.25">
      <c r="A236" t="str">
        <f t="shared" si="6"/>
        <v>06</v>
      </c>
      <c r="B236" t="s">
        <v>2210</v>
      </c>
      <c r="C236" s="3" t="str">
        <f>VLOOKUP(Table2[[#This Row],[Tegevusala]],Table4[],2,FALSE)</f>
        <v>Roela, Tudu, Viru-Jaagupi teeninduspiirkond</v>
      </c>
      <c r="D236" s="3" t="str">
        <f>VLOOKUP(Table2[[#This Row],[Tegevusala]],Table4[[Tegevusala kood]:[Tegevusala alanimetus]],4,FALSE)</f>
        <v>Muu elamu- ja kommunaalmajanduse tegevus</v>
      </c>
      <c r="E236" s="3" t="str">
        <f>VLOOKUP(Table2[[#This Row],[Tegevusala nimetus2]],Table4[[Tegevusala nimetus]:[Tegevusala koondnimetus]],2,FALSE)</f>
        <v>Elamu- ja kommunaalmajandus</v>
      </c>
      <c r="F236" s="14" t="s">
        <v>972</v>
      </c>
      <c r="G236" t="s">
        <v>983</v>
      </c>
      <c r="H236" s="40">
        <v>1500</v>
      </c>
      <c r="I236" s="2" t="s">
        <v>984</v>
      </c>
      <c r="J236">
        <v>5511</v>
      </c>
      <c r="K236" s="3" t="str">
        <f>VLOOKUP(Table2[[#This Row],[Konto]],Table5[[Konto]:[Konto nimetus]],2,FALSE)</f>
        <v>Kinnistute, hoonete ja ruumide majandamiskulud</v>
      </c>
      <c r="L236">
        <v>55</v>
      </c>
      <c r="M236" t="str">
        <f t="shared" si="7"/>
        <v>55</v>
      </c>
      <c r="N236" s="3" t="str">
        <f>VLOOKUP(Table2[[#This Row],[Tulu/kulu liik2]],Table5[[Tulu/kulu liik]:[Kontode koondnimetus]],4,FALSE)</f>
        <v>Muud tegevuskulud</v>
      </c>
      <c r="O236" s="3" t="str">
        <f>VLOOKUP(Table2[[#This Row],[Tulu/kulu liik2]],Table5[],6,FALSE)</f>
        <v>Majandamiskulud</v>
      </c>
      <c r="P236" s="3" t="str">
        <f>VLOOKUP(Table2[[#This Row],[Tulu/kulu liik2]],Table5[],5,FALSE)</f>
        <v>Põhitegevuse kulu</v>
      </c>
    </row>
    <row r="237" spans="1:16" hidden="1" x14ac:dyDescent="0.25">
      <c r="A237" t="str">
        <f t="shared" si="6"/>
        <v>06</v>
      </c>
      <c r="B237" t="s">
        <v>2210</v>
      </c>
      <c r="C237" s="3" t="str">
        <f>VLOOKUP(Table2[[#This Row],[Tegevusala]],Table4[],2,FALSE)</f>
        <v>Roela, Tudu, Viru-Jaagupi teeninduspiirkond</v>
      </c>
      <c r="D237" s="3" t="str">
        <f>VLOOKUP(Table2[[#This Row],[Tegevusala]],Table4[[Tegevusala kood]:[Tegevusala alanimetus]],4,FALSE)</f>
        <v>Muu elamu- ja kommunaalmajanduse tegevus</v>
      </c>
      <c r="E237" s="3" t="str">
        <f>VLOOKUP(Table2[[#This Row],[Tegevusala nimetus2]],Table4[[Tegevusala nimetus]:[Tegevusala koondnimetus]],2,FALSE)</f>
        <v>Elamu- ja kommunaalmajandus</v>
      </c>
      <c r="F237" s="14" t="s">
        <v>972</v>
      </c>
      <c r="G237" t="s">
        <v>985</v>
      </c>
      <c r="H237" s="40">
        <v>314.32</v>
      </c>
      <c r="I237" s="2" t="s">
        <v>986</v>
      </c>
      <c r="J237">
        <v>5511</v>
      </c>
      <c r="K237" s="3" t="str">
        <f>VLOOKUP(Table2[[#This Row],[Konto]],Table5[[Konto]:[Konto nimetus]],2,FALSE)</f>
        <v>Kinnistute, hoonete ja ruumide majandamiskulud</v>
      </c>
      <c r="L237">
        <v>55</v>
      </c>
      <c r="M237" t="str">
        <f t="shared" si="7"/>
        <v>55</v>
      </c>
      <c r="N237" s="3" t="str">
        <f>VLOOKUP(Table2[[#This Row],[Tulu/kulu liik2]],Table5[[Tulu/kulu liik]:[Kontode koondnimetus]],4,FALSE)</f>
        <v>Muud tegevuskulud</v>
      </c>
      <c r="O237" s="3" t="str">
        <f>VLOOKUP(Table2[[#This Row],[Tulu/kulu liik2]],Table5[],6,FALSE)</f>
        <v>Majandamiskulud</v>
      </c>
      <c r="P237" s="3" t="str">
        <f>VLOOKUP(Table2[[#This Row],[Tulu/kulu liik2]],Table5[],5,FALSE)</f>
        <v>Põhitegevuse kulu</v>
      </c>
    </row>
    <row r="238" spans="1:16" hidden="1" x14ac:dyDescent="0.25">
      <c r="A238" t="str">
        <f t="shared" si="6"/>
        <v>06</v>
      </c>
      <c r="B238" t="s">
        <v>2210</v>
      </c>
      <c r="C238" s="3" t="str">
        <f>VLOOKUP(Table2[[#This Row],[Tegevusala]],Table4[],2,FALSE)</f>
        <v>Roela, Tudu, Viru-Jaagupi teeninduspiirkond</v>
      </c>
      <c r="D238" s="3" t="str">
        <f>VLOOKUP(Table2[[#This Row],[Tegevusala]],Table4[[Tegevusala kood]:[Tegevusala alanimetus]],4,FALSE)</f>
        <v>Muu elamu- ja kommunaalmajanduse tegevus</v>
      </c>
      <c r="E238" s="3" t="str">
        <f>VLOOKUP(Table2[[#This Row],[Tegevusala nimetus2]],Table4[[Tegevusala nimetus]:[Tegevusala koondnimetus]],2,FALSE)</f>
        <v>Elamu- ja kommunaalmajandus</v>
      </c>
      <c r="F238" s="14" t="s">
        <v>972</v>
      </c>
      <c r="G238" t="s">
        <v>987</v>
      </c>
      <c r="H238" s="40">
        <v>14.399999999999999</v>
      </c>
      <c r="I238" s="2" t="s">
        <v>977</v>
      </c>
      <c r="J238">
        <v>5511</v>
      </c>
      <c r="K238" s="3" t="str">
        <f>VLOOKUP(Table2[[#This Row],[Konto]],Table5[[Konto]:[Konto nimetus]],2,FALSE)</f>
        <v>Kinnistute, hoonete ja ruumide majandamiskulud</v>
      </c>
      <c r="L238">
        <v>55</v>
      </c>
      <c r="M238" t="str">
        <f t="shared" si="7"/>
        <v>55</v>
      </c>
      <c r="N238" s="3" t="str">
        <f>VLOOKUP(Table2[[#This Row],[Tulu/kulu liik2]],Table5[[Tulu/kulu liik]:[Kontode koondnimetus]],4,FALSE)</f>
        <v>Muud tegevuskulud</v>
      </c>
      <c r="O238" s="3" t="str">
        <f>VLOOKUP(Table2[[#This Row],[Tulu/kulu liik2]],Table5[],6,FALSE)</f>
        <v>Majandamiskulud</v>
      </c>
      <c r="P238" s="3" t="str">
        <f>VLOOKUP(Table2[[#This Row],[Tulu/kulu liik2]],Table5[],5,FALSE)</f>
        <v>Põhitegevuse kulu</v>
      </c>
    </row>
    <row r="239" spans="1:16" hidden="1" x14ac:dyDescent="0.25">
      <c r="A239" t="str">
        <f t="shared" si="6"/>
        <v>06</v>
      </c>
      <c r="B239" t="s">
        <v>2210</v>
      </c>
      <c r="C239" s="3" t="str">
        <f>VLOOKUP(Table2[[#This Row],[Tegevusala]],Table4[],2,FALSE)</f>
        <v>Roela, Tudu, Viru-Jaagupi teeninduspiirkond</v>
      </c>
      <c r="D239" s="3" t="str">
        <f>VLOOKUP(Table2[[#This Row],[Tegevusala]],Table4[[Tegevusala kood]:[Tegevusala alanimetus]],4,FALSE)</f>
        <v>Muu elamu- ja kommunaalmajanduse tegevus</v>
      </c>
      <c r="E239" s="3" t="str">
        <f>VLOOKUP(Table2[[#This Row],[Tegevusala nimetus2]],Table4[[Tegevusala nimetus]:[Tegevusala koondnimetus]],2,FALSE)</f>
        <v>Elamu- ja kommunaalmajandus</v>
      </c>
      <c r="F239" s="14" t="s">
        <v>972</v>
      </c>
      <c r="G239" t="s">
        <v>988</v>
      </c>
      <c r="H239" s="40">
        <v>384</v>
      </c>
      <c r="I239" s="2" t="s">
        <v>977</v>
      </c>
      <c r="J239">
        <v>5511</v>
      </c>
      <c r="K239" s="3" t="str">
        <f>VLOOKUP(Table2[[#This Row],[Konto]],Table5[[Konto]:[Konto nimetus]],2,FALSE)</f>
        <v>Kinnistute, hoonete ja ruumide majandamiskulud</v>
      </c>
      <c r="L239">
        <v>55</v>
      </c>
      <c r="M239" t="str">
        <f t="shared" si="7"/>
        <v>55</v>
      </c>
      <c r="N239" s="3" t="str">
        <f>VLOOKUP(Table2[[#This Row],[Tulu/kulu liik2]],Table5[[Tulu/kulu liik]:[Kontode koondnimetus]],4,FALSE)</f>
        <v>Muud tegevuskulud</v>
      </c>
      <c r="O239" s="3" t="str">
        <f>VLOOKUP(Table2[[#This Row],[Tulu/kulu liik2]],Table5[],6,FALSE)</f>
        <v>Majandamiskulud</v>
      </c>
      <c r="P239" s="3" t="str">
        <f>VLOOKUP(Table2[[#This Row],[Tulu/kulu liik2]],Table5[],5,FALSE)</f>
        <v>Põhitegevuse kulu</v>
      </c>
    </row>
    <row r="240" spans="1:16" hidden="1" x14ac:dyDescent="0.25">
      <c r="A240" t="str">
        <f t="shared" si="6"/>
        <v>06</v>
      </c>
      <c r="B240" t="s">
        <v>2210</v>
      </c>
      <c r="C240" s="3" t="str">
        <f>VLOOKUP(Table2[[#This Row],[Tegevusala]],Table4[],2,FALSE)</f>
        <v>Roela, Tudu, Viru-Jaagupi teeninduspiirkond</v>
      </c>
      <c r="D240" s="3" t="str">
        <f>VLOOKUP(Table2[[#This Row],[Tegevusala]],Table4[[Tegevusala kood]:[Tegevusala alanimetus]],4,FALSE)</f>
        <v>Muu elamu- ja kommunaalmajanduse tegevus</v>
      </c>
      <c r="E240" s="3" t="str">
        <f>VLOOKUP(Table2[[#This Row],[Tegevusala nimetus2]],Table4[[Tegevusala nimetus]:[Tegevusala koondnimetus]],2,FALSE)</f>
        <v>Elamu- ja kommunaalmajandus</v>
      </c>
      <c r="F240" s="14" t="s">
        <v>972</v>
      </c>
      <c r="G240" t="s">
        <v>989</v>
      </c>
      <c r="H240" s="40">
        <v>1500</v>
      </c>
      <c r="J240">
        <v>5511</v>
      </c>
      <c r="K240" s="3" t="str">
        <f>VLOOKUP(Table2[[#This Row],[Konto]],Table5[[Konto]:[Konto nimetus]],2,FALSE)</f>
        <v>Kinnistute, hoonete ja ruumide majandamiskulud</v>
      </c>
      <c r="L240">
        <v>55</v>
      </c>
      <c r="M240" t="str">
        <f t="shared" si="7"/>
        <v>55</v>
      </c>
      <c r="N240" s="3" t="str">
        <f>VLOOKUP(Table2[[#This Row],[Tulu/kulu liik2]],Table5[[Tulu/kulu liik]:[Kontode koondnimetus]],4,FALSE)</f>
        <v>Muud tegevuskulud</v>
      </c>
      <c r="O240" s="3" t="str">
        <f>VLOOKUP(Table2[[#This Row],[Tulu/kulu liik2]],Table5[],6,FALSE)</f>
        <v>Majandamiskulud</v>
      </c>
      <c r="P240" s="3" t="str">
        <f>VLOOKUP(Table2[[#This Row],[Tulu/kulu liik2]],Table5[],5,FALSE)</f>
        <v>Põhitegevuse kulu</v>
      </c>
    </row>
    <row r="241" spans="1:16" hidden="1" x14ac:dyDescent="0.25">
      <c r="A241" t="str">
        <f t="shared" si="6"/>
        <v>06</v>
      </c>
      <c r="B241" t="s">
        <v>2210</v>
      </c>
      <c r="C241" s="3" t="str">
        <f>VLOOKUP(Table2[[#This Row],[Tegevusala]],Table4[],2,FALSE)</f>
        <v>Roela, Tudu, Viru-Jaagupi teeninduspiirkond</v>
      </c>
      <c r="D241" s="3" t="str">
        <f>VLOOKUP(Table2[[#This Row],[Tegevusala]],Table4[[Tegevusala kood]:[Tegevusala alanimetus]],4,FALSE)</f>
        <v>Muu elamu- ja kommunaalmajanduse tegevus</v>
      </c>
      <c r="E241" s="3" t="str">
        <f>VLOOKUP(Table2[[#This Row],[Tegevusala nimetus2]],Table4[[Tegevusala nimetus]:[Tegevusala koondnimetus]],2,FALSE)</f>
        <v>Elamu- ja kommunaalmajandus</v>
      </c>
      <c r="F241" s="14" t="s">
        <v>972</v>
      </c>
      <c r="G241" t="s">
        <v>957</v>
      </c>
      <c r="H241" s="40">
        <v>3200</v>
      </c>
      <c r="I241" s="2" t="s">
        <v>990</v>
      </c>
      <c r="J241">
        <v>5511</v>
      </c>
      <c r="K241" s="3" t="str">
        <f>VLOOKUP(Table2[[#This Row],[Konto]],Table5[[Konto]:[Konto nimetus]],2,FALSE)</f>
        <v>Kinnistute, hoonete ja ruumide majandamiskulud</v>
      </c>
      <c r="L241">
        <v>55</v>
      </c>
      <c r="M241" t="str">
        <f t="shared" si="7"/>
        <v>55</v>
      </c>
      <c r="N241" s="3" t="str">
        <f>VLOOKUP(Table2[[#This Row],[Tulu/kulu liik2]],Table5[[Tulu/kulu liik]:[Kontode koondnimetus]],4,FALSE)</f>
        <v>Muud tegevuskulud</v>
      </c>
      <c r="O241" s="3" t="str">
        <f>VLOOKUP(Table2[[#This Row],[Tulu/kulu liik2]],Table5[],6,FALSE)</f>
        <v>Majandamiskulud</v>
      </c>
      <c r="P241" s="3" t="str">
        <f>VLOOKUP(Table2[[#This Row],[Tulu/kulu liik2]],Table5[],5,FALSE)</f>
        <v>Põhitegevuse kulu</v>
      </c>
    </row>
    <row r="242" spans="1:16" hidden="1" x14ac:dyDescent="0.25">
      <c r="A242" t="str">
        <f t="shared" si="6"/>
        <v>06</v>
      </c>
      <c r="B242" t="s">
        <v>2210</v>
      </c>
      <c r="C242" s="3" t="str">
        <f>VLOOKUP(Table2[[#This Row],[Tegevusala]],Table4[],2,FALSE)</f>
        <v>Roela, Tudu, Viru-Jaagupi teeninduspiirkond</v>
      </c>
      <c r="D242" s="3" t="str">
        <f>VLOOKUP(Table2[[#This Row],[Tegevusala]],Table4[[Tegevusala kood]:[Tegevusala alanimetus]],4,FALSE)</f>
        <v>Muu elamu- ja kommunaalmajanduse tegevus</v>
      </c>
      <c r="E242" s="3" t="str">
        <f>VLOOKUP(Table2[[#This Row],[Tegevusala nimetus2]],Table4[[Tegevusala nimetus]:[Tegevusala koondnimetus]],2,FALSE)</f>
        <v>Elamu- ja kommunaalmajandus</v>
      </c>
      <c r="F242" s="14" t="s">
        <v>972</v>
      </c>
      <c r="G242" t="s">
        <v>954</v>
      </c>
      <c r="H242" s="40">
        <v>300</v>
      </c>
      <c r="J242">
        <v>5511</v>
      </c>
      <c r="K242" s="3" t="str">
        <f>VLOOKUP(Table2[[#This Row],[Konto]],Table5[[Konto]:[Konto nimetus]],2,FALSE)</f>
        <v>Kinnistute, hoonete ja ruumide majandamiskulud</v>
      </c>
      <c r="L242">
        <v>55</v>
      </c>
      <c r="M242" t="str">
        <f t="shared" si="7"/>
        <v>55</v>
      </c>
      <c r="N242" s="3" t="str">
        <f>VLOOKUP(Table2[[#This Row],[Tulu/kulu liik2]],Table5[[Tulu/kulu liik]:[Kontode koondnimetus]],4,FALSE)</f>
        <v>Muud tegevuskulud</v>
      </c>
      <c r="O242" s="3" t="str">
        <f>VLOOKUP(Table2[[#This Row],[Tulu/kulu liik2]],Table5[],6,FALSE)</f>
        <v>Majandamiskulud</v>
      </c>
      <c r="P242" s="3" t="str">
        <f>VLOOKUP(Table2[[#This Row],[Tulu/kulu liik2]],Table5[],5,FALSE)</f>
        <v>Põhitegevuse kulu</v>
      </c>
    </row>
    <row r="243" spans="1:16" hidden="1" x14ac:dyDescent="0.25">
      <c r="A243" t="str">
        <f t="shared" si="6"/>
        <v>06</v>
      </c>
      <c r="B243" t="s">
        <v>2210</v>
      </c>
      <c r="C243" s="3" t="str">
        <f>VLOOKUP(Table2[[#This Row],[Tegevusala]],Table4[],2,FALSE)</f>
        <v>Roela, Tudu, Viru-Jaagupi teeninduspiirkond</v>
      </c>
      <c r="D243" s="3" t="str">
        <f>VLOOKUP(Table2[[#This Row],[Tegevusala]],Table4[[Tegevusala kood]:[Tegevusala alanimetus]],4,FALSE)</f>
        <v>Muu elamu- ja kommunaalmajanduse tegevus</v>
      </c>
      <c r="E243" s="3" t="str">
        <f>VLOOKUP(Table2[[#This Row],[Tegevusala nimetus2]],Table4[[Tegevusala nimetus]:[Tegevusala koondnimetus]],2,FALSE)</f>
        <v>Elamu- ja kommunaalmajandus</v>
      </c>
      <c r="F243" s="14" t="s">
        <v>972</v>
      </c>
      <c r="G243" t="s">
        <v>1910</v>
      </c>
      <c r="H243" s="40">
        <f>10*600</f>
        <v>6000</v>
      </c>
      <c r="J243">
        <v>5511</v>
      </c>
      <c r="K243" s="3" t="str">
        <f>VLOOKUP(Table2[[#This Row],[Konto]],Table5[[Konto]:[Konto nimetus]],2,FALSE)</f>
        <v>Kinnistute, hoonete ja ruumide majandamiskulud</v>
      </c>
      <c r="L243">
        <v>55</v>
      </c>
      <c r="M243" t="str">
        <f t="shared" si="7"/>
        <v>55</v>
      </c>
      <c r="N243" s="3" t="str">
        <f>VLOOKUP(Table2[[#This Row],[Tulu/kulu liik2]],Table5[[Tulu/kulu liik]:[Kontode koondnimetus]],4,FALSE)</f>
        <v>Muud tegevuskulud</v>
      </c>
      <c r="O243" s="3" t="str">
        <f>VLOOKUP(Table2[[#This Row],[Tulu/kulu liik2]],Table5[],6,FALSE)</f>
        <v>Majandamiskulud</v>
      </c>
      <c r="P243" s="3" t="str">
        <f>VLOOKUP(Table2[[#This Row],[Tulu/kulu liik2]],Table5[],5,FALSE)</f>
        <v>Põhitegevuse kulu</v>
      </c>
    </row>
    <row r="244" spans="1:16" hidden="1" x14ac:dyDescent="0.25">
      <c r="A244" t="str">
        <f t="shared" si="6"/>
        <v>06</v>
      </c>
      <c r="B244" t="s">
        <v>2210</v>
      </c>
      <c r="C244" s="3" t="str">
        <f>VLOOKUP(Table2[[#This Row],[Tegevusala]],Table4[],2,FALSE)</f>
        <v>Roela, Tudu, Viru-Jaagupi teeninduspiirkond</v>
      </c>
      <c r="D244" s="3" t="str">
        <f>VLOOKUP(Table2[[#This Row],[Tegevusala]],Table4[[Tegevusala kood]:[Tegevusala alanimetus]],4,FALSE)</f>
        <v>Muu elamu- ja kommunaalmajanduse tegevus</v>
      </c>
      <c r="E244" s="3" t="str">
        <f>VLOOKUP(Table2[[#This Row],[Tegevusala nimetus2]],Table4[[Tegevusala nimetus]:[Tegevusala koondnimetus]],2,FALSE)</f>
        <v>Elamu- ja kommunaalmajandus</v>
      </c>
      <c r="F244" s="14" t="s">
        <v>972</v>
      </c>
      <c r="G244" t="s">
        <v>973</v>
      </c>
      <c r="H244" s="40">
        <v>300</v>
      </c>
      <c r="J244">
        <v>5500</v>
      </c>
      <c r="K244" s="3" t="str">
        <f>VLOOKUP(Table2[[#This Row],[Konto]],Table5[[Konto]:[Konto nimetus]],2,FALSE)</f>
        <v>Administreerimiskulud</v>
      </c>
      <c r="L244">
        <v>55</v>
      </c>
      <c r="M244" t="str">
        <f t="shared" si="7"/>
        <v>55</v>
      </c>
      <c r="N244" s="3" t="str">
        <f>VLOOKUP(Table2[[#This Row],[Tulu/kulu liik2]],Table5[[Tulu/kulu liik]:[Kontode koondnimetus]],4,FALSE)</f>
        <v>Muud tegevuskulud</v>
      </c>
      <c r="O244" s="3" t="str">
        <f>VLOOKUP(Table2[[#This Row],[Tulu/kulu liik2]],Table5[],6,FALSE)</f>
        <v>Majandamiskulud</v>
      </c>
      <c r="P244" s="3" t="str">
        <f>VLOOKUP(Table2[[#This Row],[Tulu/kulu liik2]],Table5[],5,FALSE)</f>
        <v>Põhitegevuse kulu</v>
      </c>
    </row>
    <row r="245" spans="1:16" hidden="1" x14ac:dyDescent="0.25">
      <c r="A245" t="str">
        <f t="shared" si="6"/>
        <v>06</v>
      </c>
      <c r="B245" t="s">
        <v>2210</v>
      </c>
      <c r="C245" s="3" t="str">
        <f>VLOOKUP(Table2[[#This Row],[Tegevusala]],Table4[],2,FALSE)</f>
        <v>Roela, Tudu, Viru-Jaagupi teeninduspiirkond</v>
      </c>
      <c r="D245" s="3" t="str">
        <f>VLOOKUP(Table2[[#This Row],[Tegevusala]],Table4[[Tegevusala kood]:[Tegevusala alanimetus]],4,FALSE)</f>
        <v>Muu elamu- ja kommunaalmajanduse tegevus</v>
      </c>
      <c r="E245" s="3" t="str">
        <f>VLOOKUP(Table2[[#This Row],[Tegevusala nimetus2]],Table4[[Tegevusala nimetus]:[Tegevusala koondnimetus]],2,FALSE)</f>
        <v>Elamu- ja kommunaalmajandus</v>
      </c>
      <c r="F245" s="14" t="s">
        <v>972</v>
      </c>
      <c r="G245" t="s">
        <v>424</v>
      </c>
      <c r="H245" s="40">
        <f>11*300</f>
        <v>3300</v>
      </c>
      <c r="I245" s="2" t="s">
        <v>991</v>
      </c>
      <c r="J245">
        <v>5513</v>
      </c>
      <c r="K245" s="3" t="str">
        <f>VLOOKUP(Table2[[#This Row],[Konto]],Table5[[Konto]:[Konto nimetus]],2,FALSE)</f>
        <v>Sõidukite ülalpidamise kulud</v>
      </c>
      <c r="L245">
        <v>55</v>
      </c>
      <c r="M245" t="str">
        <f t="shared" si="7"/>
        <v>55</v>
      </c>
      <c r="N245" s="3" t="str">
        <f>VLOOKUP(Table2[[#This Row],[Tulu/kulu liik2]],Table5[[Tulu/kulu liik]:[Kontode koondnimetus]],4,FALSE)</f>
        <v>Muud tegevuskulud</v>
      </c>
      <c r="O245" s="3" t="str">
        <f>VLOOKUP(Table2[[#This Row],[Tulu/kulu liik2]],Table5[],6,FALSE)</f>
        <v>Majandamiskulud</v>
      </c>
      <c r="P245" s="3" t="str">
        <f>VLOOKUP(Table2[[#This Row],[Tulu/kulu liik2]],Table5[],5,FALSE)</f>
        <v>Põhitegevuse kulu</v>
      </c>
    </row>
    <row r="246" spans="1:16" hidden="1" x14ac:dyDescent="0.25">
      <c r="A246" t="str">
        <f t="shared" si="6"/>
        <v>06</v>
      </c>
      <c r="B246" t="s">
        <v>2210</v>
      </c>
      <c r="C246" s="3" t="str">
        <f>VLOOKUP(Table2[[#This Row],[Tegevusala]],Table4[],2,FALSE)</f>
        <v>Roela, Tudu, Viru-Jaagupi teeninduspiirkond</v>
      </c>
      <c r="D246" s="3" t="str">
        <f>VLOOKUP(Table2[[#This Row],[Tegevusala]],Table4[[Tegevusala kood]:[Tegevusala alanimetus]],4,FALSE)</f>
        <v>Muu elamu- ja kommunaalmajanduse tegevus</v>
      </c>
      <c r="E246" s="3" t="str">
        <f>VLOOKUP(Table2[[#This Row],[Tegevusala nimetus2]],Table4[[Tegevusala nimetus]:[Tegevusala koondnimetus]],2,FALSE)</f>
        <v>Elamu- ja kommunaalmajandus</v>
      </c>
      <c r="F246" s="14" t="s">
        <v>972</v>
      </c>
      <c r="G246" t="s">
        <v>992</v>
      </c>
      <c r="H246" s="40">
        <v>30</v>
      </c>
      <c r="J246">
        <v>5513</v>
      </c>
      <c r="K246" s="3" t="str">
        <f>VLOOKUP(Table2[[#This Row],[Konto]],Table5[[Konto]:[Konto nimetus]],2,FALSE)</f>
        <v>Sõidukite ülalpidamise kulud</v>
      </c>
      <c r="L246">
        <v>55</v>
      </c>
      <c r="M246" t="str">
        <f t="shared" si="7"/>
        <v>55</v>
      </c>
      <c r="N246" s="3" t="str">
        <f>VLOOKUP(Table2[[#This Row],[Tulu/kulu liik2]],Table5[[Tulu/kulu liik]:[Kontode koondnimetus]],4,FALSE)</f>
        <v>Muud tegevuskulud</v>
      </c>
      <c r="O246" s="3" t="str">
        <f>VLOOKUP(Table2[[#This Row],[Tulu/kulu liik2]],Table5[],6,FALSE)</f>
        <v>Majandamiskulud</v>
      </c>
      <c r="P246" s="3" t="str">
        <f>VLOOKUP(Table2[[#This Row],[Tulu/kulu liik2]],Table5[],5,FALSE)</f>
        <v>Põhitegevuse kulu</v>
      </c>
    </row>
    <row r="247" spans="1:16" hidden="1" x14ac:dyDescent="0.25">
      <c r="A247" t="str">
        <f t="shared" si="6"/>
        <v>06</v>
      </c>
      <c r="B247" t="s">
        <v>2210</v>
      </c>
      <c r="C247" s="3" t="str">
        <f>VLOOKUP(Table2[[#This Row],[Tegevusala]],Table4[],2,FALSE)</f>
        <v>Roela, Tudu, Viru-Jaagupi teeninduspiirkond</v>
      </c>
      <c r="D247" s="3" t="str">
        <f>VLOOKUP(Table2[[#This Row],[Tegevusala]],Table4[[Tegevusala kood]:[Tegevusala alanimetus]],4,FALSE)</f>
        <v>Muu elamu- ja kommunaalmajanduse tegevus</v>
      </c>
      <c r="E247" s="3" t="str">
        <f>VLOOKUP(Table2[[#This Row],[Tegevusala nimetus2]],Table4[[Tegevusala nimetus]:[Tegevusala koondnimetus]],2,FALSE)</f>
        <v>Elamu- ja kommunaalmajandus</v>
      </c>
      <c r="F247" s="14" t="s">
        <v>972</v>
      </c>
      <c r="G247" t="s">
        <v>993</v>
      </c>
      <c r="H247" s="40">
        <v>250</v>
      </c>
      <c r="J247">
        <v>5513</v>
      </c>
      <c r="K247" s="3" t="str">
        <f>VLOOKUP(Table2[[#This Row],[Konto]],Table5[[Konto]:[Konto nimetus]],2,FALSE)</f>
        <v>Sõidukite ülalpidamise kulud</v>
      </c>
      <c r="L247">
        <v>55</v>
      </c>
      <c r="M247" t="str">
        <f t="shared" si="7"/>
        <v>55</v>
      </c>
      <c r="N247" s="3" t="str">
        <f>VLOOKUP(Table2[[#This Row],[Tulu/kulu liik2]],Table5[[Tulu/kulu liik]:[Kontode koondnimetus]],4,FALSE)</f>
        <v>Muud tegevuskulud</v>
      </c>
      <c r="O247" s="3" t="str">
        <f>VLOOKUP(Table2[[#This Row],[Tulu/kulu liik2]],Table5[],6,FALSE)</f>
        <v>Majandamiskulud</v>
      </c>
      <c r="P247" s="3" t="str">
        <f>VLOOKUP(Table2[[#This Row],[Tulu/kulu liik2]],Table5[],5,FALSE)</f>
        <v>Põhitegevuse kulu</v>
      </c>
    </row>
    <row r="248" spans="1:16" hidden="1" x14ac:dyDescent="0.25">
      <c r="A248" t="str">
        <f t="shared" si="6"/>
        <v>06</v>
      </c>
      <c r="B248" t="s">
        <v>2210</v>
      </c>
      <c r="C248" s="3" t="str">
        <f>VLOOKUP(Table2[[#This Row],[Tegevusala]],Table4[],2,FALSE)</f>
        <v>Roela, Tudu, Viru-Jaagupi teeninduspiirkond</v>
      </c>
      <c r="D248" s="3" t="str">
        <f>VLOOKUP(Table2[[#This Row],[Tegevusala]],Table4[[Tegevusala kood]:[Tegevusala alanimetus]],4,FALSE)</f>
        <v>Muu elamu- ja kommunaalmajanduse tegevus</v>
      </c>
      <c r="E248" s="3" t="str">
        <f>VLOOKUP(Table2[[#This Row],[Tegevusala nimetus2]],Table4[[Tegevusala nimetus]:[Tegevusala koondnimetus]],2,FALSE)</f>
        <v>Elamu- ja kommunaalmajandus</v>
      </c>
      <c r="F248" s="14" t="s">
        <v>972</v>
      </c>
      <c r="G248" t="s">
        <v>994</v>
      </c>
      <c r="H248" s="40">
        <v>160</v>
      </c>
      <c r="J248">
        <v>5513</v>
      </c>
      <c r="K248" s="3" t="str">
        <f>VLOOKUP(Table2[[#This Row],[Konto]],Table5[[Konto]:[Konto nimetus]],2,FALSE)</f>
        <v>Sõidukite ülalpidamise kulud</v>
      </c>
      <c r="L248">
        <v>55</v>
      </c>
      <c r="M248" t="str">
        <f t="shared" si="7"/>
        <v>55</v>
      </c>
      <c r="N248" s="3" t="str">
        <f>VLOOKUP(Table2[[#This Row],[Tulu/kulu liik2]],Table5[[Tulu/kulu liik]:[Kontode koondnimetus]],4,FALSE)</f>
        <v>Muud tegevuskulud</v>
      </c>
      <c r="O248" s="3" t="str">
        <f>VLOOKUP(Table2[[#This Row],[Tulu/kulu liik2]],Table5[],6,FALSE)</f>
        <v>Majandamiskulud</v>
      </c>
      <c r="P248" s="3" t="str">
        <f>VLOOKUP(Table2[[#This Row],[Tulu/kulu liik2]],Table5[],5,FALSE)</f>
        <v>Põhitegevuse kulu</v>
      </c>
    </row>
    <row r="249" spans="1:16" hidden="1" x14ac:dyDescent="0.25">
      <c r="A249" t="str">
        <f t="shared" si="6"/>
        <v>06</v>
      </c>
      <c r="B249" t="s">
        <v>2210</v>
      </c>
      <c r="C249" s="3" t="str">
        <f>VLOOKUP(Table2[[#This Row],[Tegevusala]],Table4[],2,FALSE)</f>
        <v>Roela, Tudu, Viru-Jaagupi teeninduspiirkond</v>
      </c>
      <c r="D249" s="3" t="str">
        <f>VLOOKUP(Table2[[#This Row],[Tegevusala]],Table4[[Tegevusala kood]:[Tegevusala alanimetus]],4,FALSE)</f>
        <v>Muu elamu- ja kommunaalmajanduse tegevus</v>
      </c>
      <c r="E249" s="3" t="str">
        <f>VLOOKUP(Table2[[#This Row],[Tegevusala nimetus2]],Table4[[Tegevusala nimetus]:[Tegevusala koondnimetus]],2,FALSE)</f>
        <v>Elamu- ja kommunaalmajandus</v>
      </c>
      <c r="F249" s="14" t="s">
        <v>972</v>
      </c>
      <c r="G249" t="s">
        <v>995</v>
      </c>
      <c r="H249" s="40">
        <v>3600</v>
      </c>
      <c r="J249">
        <v>5513</v>
      </c>
      <c r="K249" s="3" t="str">
        <f>VLOOKUP(Table2[[#This Row],[Konto]],Table5[[Konto]:[Konto nimetus]],2,FALSE)</f>
        <v>Sõidukite ülalpidamise kulud</v>
      </c>
      <c r="L249">
        <v>55</v>
      </c>
      <c r="M249" t="str">
        <f t="shared" si="7"/>
        <v>55</v>
      </c>
      <c r="N249" s="3" t="str">
        <f>VLOOKUP(Table2[[#This Row],[Tulu/kulu liik2]],Table5[[Tulu/kulu liik]:[Kontode koondnimetus]],4,FALSE)</f>
        <v>Muud tegevuskulud</v>
      </c>
      <c r="O249" s="3" t="str">
        <f>VLOOKUP(Table2[[#This Row],[Tulu/kulu liik2]],Table5[],6,FALSE)</f>
        <v>Majandamiskulud</v>
      </c>
      <c r="P249" s="3" t="str">
        <f>VLOOKUP(Table2[[#This Row],[Tulu/kulu liik2]],Table5[],5,FALSE)</f>
        <v>Põhitegevuse kulu</v>
      </c>
    </row>
    <row r="250" spans="1:16" hidden="1" x14ac:dyDescent="0.25">
      <c r="A250" t="str">
        <f t="shared" si="6"/>
        <v>06</v>
      </c>
      <c r="B250" t="s">
        <v>2210</v>
      </c>
      <c r="C250" s="3" t="str">
        <f>VLOOKUP(Table2[[#This Row],[Tegevusala]],Table4[],2,FALSE)</f>
        <v>Roela, Tudu, Viru-Jaagupi teeninduspiirkond</v>
      </c>
      <c r="D250" s="3" t="str">
        <f>VLOOKUP(Table2[[#This Row],[Tegevusala]],Table4[[Tegevusala kood]:[Tegevusala alanimetus]],4,FALSE)</f>
        <v>Muu elamu- ja kommunaalmajanduse tegevus</v>
      </c>
      <c r="E250" s="3" t="str">
        <f>VLOOKUP(Table2[[#This Row],[Tegevusala nimetus2]],Table4[[Tegevusala nimetus]:[Tegevusala koondnimetus]],2,FALSE)</f>
        <v>Elamu- ja kommunaalmajandus</v>
      </c>
      <c r="F250" s="14" t="s">
        <v>972</v>
      </c>
      <c r="G250" t="s">
        <v>996</v>
      </c>
      <c r="H250" s="40">
        <v>70</v>
      </c>
      <c r="J250">
        <v>5513</v>
      </c>
      <c r="K250" s="3" t="str">
        <f>VLOOKUP(Table2[[#This Row],[Konto]],Table5[[Konto]:[Konto nimetus]],2,FALSE)</f>
        <v>Sõidukite ülalpidamise kulud</v>
      </c>
      <c r="L250">
        <v>55</v>
      </c>
      <c r="M250" t="str">
        <f t="shared" si="7"/>
        <v>55</v>
      </c>
      <c r="N250" s="3" t="str">
        <f>VLOOKUP(Table2[[#This Row],[Tulu/kulu liik2]],Table5[[Tulu/kulu liik]:[Kontode koondnimetus]],4,FALSE)</f>
        <v>Muud tegevuskulud</v>
      </c>
      <c r="O250" s="3" t="str">
        <f>VLOOKUP(Table2[[#This Row],[Tulu/kulu liik2]],Table5[],6,FALSE)</f>
        <v>Majandamiskulud</v>
      </c>
      <c r="P250" s="3" t="str">
        <f>VLOOKUP(Table2[[#This Row],[Tulu/kulu liik2]],Table5[],5,FALSE)</f>
        <v>Põhitegevuse kulu</v>
      </c>
    </row>
    <row r="251" spans="1:16" hidden="1" x14ac:dyDescent="0.25">
      <c r="A251" t="str">
        <f t="shared" si="6"/>
        <v>06</v>
      </c>
      <c r="B251" t="s">
        <v>2210</v>
      </c>
      <c r="C251" s="3" t="str">
        <f>VLOOKUP(Table2[[#This Row],[Tegevusala]],Table4[],2,FALSE)</f>
        <v>Roela, Tudu, Viru-Jaagupi teeninduspiirkond</v>
      </c>
      <c r="D251" s="3" t="str">
        <f>VLOOKUP(Table2[[#This Row],[Tegevusala]],Table4[[Tegevusala kood]:[Tegevusala alanimetus]],4,FALSE)</f>
        <v>Muu elamu- ja kommunaalmajanduse tegevus</v>
      </c>
      <c r="E251" s="3" t="str">
        <f>VLOOKUP(Table2[[#This Row],[Tegevusala nimetus2]],Table4[[Tegevusala nimetus]:[Tegevusala koondnimetus]],2,FALSE)</f>
        <v>Elamu- ja kommunaalmajandus</v>
      </c>
      <c r="F251" s="14" t="s">
        <v>972</v>
      </c>
      <c r="G251" t="s">
        <v>997</v>
      </c>
      <c r="H251" s="40">
        <v>400</v>
      </c>
      <c r="J251">
        <v>5513</v>
      </c>
      <c r="K251" s="3" t="str">
        <f>VLOOKUP(Table2[[#This Row],[Konto]],Table5[[Konto]:[Konto nimetus]],2,FALSE)</f>
        <v>Sõidukite ülalpidamise kulud</v>
      </c>
      <c r="L251">
        <v>55</v>
      </c>
      <c r="M251" t="str">
        <f t="shared" si="7"/>
        <v>55</v>
      </c>
      <c r="N251" s="3" t="str">
        <f>VLOOKUP(Table2[[#This Row],[Tulu/kulu liik2]],Table5[[Tulu/kulu liik]:[Kontode koondnimetus]],4,FALSE)</f>
        <v>Muud tegevuskulud</v>
      </c>
      <c r="O251" s="3" t="str">
        <f>VLOOKUP(Table2[[#This Row],[Tulu/kulu liik2]],Table5[],6,FALSE)</f>
        <v>Majandamiskulud</v>
      </c>
      <c r="P251" s="3" t="str">
        <f>VLOOKUP(Table2[[#This Row],[Tulu/kulu liik2]],Table5[],5,FALSE)</f>
        <v>Põhitegevuse kulu</v>
      </c>
    </row>
    <row r="252" spans="1:16" hidden="1" x14ac:dyDescent="0.25">
      <c r="A252" t="str">
        <f t="shared" si="6"/>
        <v>06</v>
      </c>
      <c r="B252" t="s">
        <v>2210</v>
      </c>
      <c r="C252" s="3" t="str">
        <f>VLOOKUP(Table2[[#This Row],[Tegevusala]],Table4[],2,FALSE)</f>
        <v>Roela, Tudu, Viru-Jaagupi teeninduspiirkond</v>
      </c>
      <c r="D252" s="3" t="str">
        <f>VLOOKUP(Table2[[#This Row],[Tegevusala]],Table4[[Tegevusala kood]:[Tegevusala alanimetus]],4,FALSE)</f>
        <v>Muu elamu- ja kommunaalmajanduse tegevus</v>
      </c>
      <c r="E252" s="3" t="str">
        <f>VLOOKUP(Table2[[#This Row],[Tegevusala nimetus2]],Table4[[Tegevusala nimetus]:[Tegevusala koondnimetus]],2,FALSE)</f>
        <v>Elamu- ja kommunaalmajandus</v>
      </c>
      <c r="F252" s="14" t="s">
        <v>972</v>
      </c>
      <c r="G252" t="s">
        <v>998</v>
      </c>
      <c r="H252" s="40">
        <v>800</v>
      </c>
      <c r="J252">
        <v>5513</v>
      </c>
      <c r="K252" s="3" t="str">
        <f>VLOOKUP(Table2[[#This Row],[Konto]],Table5[[Konto]:[Konto nimetus]],2,FALSE)</f>
        <v>Sõidukite ülalpidamise kulud</v>
      </c>
      <c r="L252">
        <v>55</v>
      </c>
      <c r="M252" t="str">
        <f t="shared" si="7"/>
        <v>55</v>
      </c>
      <c r="N252" s="3" t="str">
        <f>VLOOKUP(Table2[[#This Row],[Tulu/kulu liik2]],Table5[[Tulu/kulu liik]:[Kontode koondnimetus]],4,FALSE)</f>
        <v>Muud tegevuskulud</v>
      </c>
      <c r="O252" s="3" t="str">
        <f>VLOOKUP(Table2[[#This Row],[Tulu/kulu liik2]],Table5[],6,FALSE)</f>
        <v>Majandamiskulud</v>
      </c>
      <c r="P252" s="3" t="str">
        <f>VLOOKUP(Table2[[#This Row],[Tulu/kulu liik2]],Table5[],5,FALSE)</f>
        <v>Põhitegevuse kulu</v>
      </c>
    </row>
    <row r="253" spans="1:16" hidden="1" x14ac:dyDescent="0.25">
      <c r="A253" t="str">
        <f t="shared" si="6"/>
        <v>06</v>
      </c>
      <c r="B253" t="s">
        <v>2210</v>
      </c>
      <c r="C253" s="3" t="str">
        <f>VLOOKUP(Table2[[#This Row],[Tegevusala]],Table4[],2,FALSE)</f>
        <v>Roela, Tudu, Viru-Jaagupi teeninduspiirkond</v>
      </c>
      <c r="D253" s="3" t="str">
        <f>VLOOKUP(Table2[[#This Row],[Tegevusala]],Table4[[Tegevusala kood]:[Tegevusala alanimetus]],4,FALSE)</f>
        <v>Muu elamu- ja kommunaalmajanduse tegevus</v>
      </c>
      <c r="E253" s="3" t="str">
        <f>VLOOKUP(Table2[[#This Row],[Tegevusala nimetus2]],Table4[[Tegevusala nimetus]:[Tegevusala koondnimetus]],2,FALSE)</f>
        <v>Elamu- ja kommunaalmajandus</v>
      </c>
      <c r="F253" s="14" t="s">
        <v>972</v>
      </c>
      <c r="G253" t="s">
        <v>999</v>
      </c>
      <c r="H253" s="40">
        <v>400</v>
      </c>
      <c r="J253">
        <v>5540</v>
      </c>
      <c r="K253" s="3" t="str">
        <f>VLOOKUP(Table2[[#This Row],[Konto]],Table5[[Konto]:[Konto nimetus]],2,FALSE)</f>
        <v>Mitmesugused majanduskulud</v>
      </c>
      <c r="L253">
        <v>55</v>
      </c>
      <c r="M253" t="str">
        <f t="shared" si="7"/>
        <v>55</v>
      </c>
      <c r="N253" s="3" t="str">
        <f>VLOOKUP(Table2[[#This Row],[Tulu/kulu liik2]],Table5[[Tulu/kulu liik]:[Kontode koondnimetus]],4,FALSE)</f>
        <v>Muud tegevuskulud</v>
      </c>
      <c r="O253" s="3" t="str">
        <f>VLOOKUP(Table2[[#This Row],[Tulu/kulu liik2]],Table5[],6,FALSE)</f>
        <v>Majandamiskulud</v>
      </c>
      <c r="P253" s="3" t="str">
        <f>VLOOKUP(Table2[[#This Row],[Tulu/kulu liik2]],Table5[],5,FALSE)</f>
        <v>Põhitegevuse kulu</v>
      </c>
    </row>
    <row r="254" spans="1:16" hidden="1" x14ac:dyDescent="0.25">
      <c r="A254" s="77" t="str">
        <f t="shared" si="6"/>
        <v>06</v>
      </c>
      <c r="B254" s="77" t="s">
        <v>2210</v>
      </c>
      <c r="C254" s="79" t="str">
        <f>VLOOKUP(Table2[[#This Row],[Tegevusala]],Table4[],2,FALSE)</f>
        <v>Roela, Tudu, Viru-Jaagupi teeninduspiirkond</v>
      </c>
      <c r="D254" s="79" t="str">
        <f>VLOOKUP(Table2[[#This Row],[Tegevusala]],Table4[[Tegevusala kood]:[Tegevusala alanimetus]],4,FALSE)</f>
        <v>Muu elamu- ja kommunaalmajanduse tegevus</v>
      </c>
      <c r="E254" s="79" t="str">
        <f>VLOOKUP(Table2[[#This Row],[Tegevusala nimetus2]],Table4[[Tegevusala nimetus]:[Tegevusala koondnimetus]],2,FALSE)</f>
        <v>Elamu- ja kommunaalmajandus</v>
      </c>
      <c r="F254" s="77" t="s">
        <v>972</v>
      </c>
      <c r="G254" s="77" t="s">
        <v>1000</v>
      </c>
      <c r="H254" s="78">
        <v>7000</v>
      </c>
      <c r="I254" s="80" t="s">
        <v>974</v>
      </c>
      <c r="J254" s="77">
        <v>5511</v>
      </c>
      <c r="K254" s="79" t="str">
        <f>VLOOKUP(Table2[[#This Row],[Konto]],Table5[[Konto]:[Konto nimetus]],2,FALSE)</f>
        <v>Kinnistute, hoonete ja ruumide majandamiskulud</v>
      </c>
      <c r="L254" s="77">
        <v>55</v>
      </c>
      <c r="M254" s="77" t="str">
        <f t="shared" si="7"/>
        <v>55</v>
      </c>
      <c r="N254" s="79" t="str">
        <f>VLOOKUP(Table2[[#This Row],[Tulu/kulu liik2]],Table5[[Tulu/kulu liik]:[Kontode koondnimetus]],4,FALSE)</f>
        <v>Muud tegevuskulud</v>
      </c>
      <c r="O254" s="79" t="str">
        <f>VLOOKUP(Table2[[#This Row],[Tulu/kulu liik2]],Table5[],6,FALSE)</f>
        <v>Majandamiskulud</v>
      </c>
      <c r="P254" s="79" t="str">
        <f>VLOOKUP(Table2[[#This Row],[Tulu/kulu liik2]],Table5[],5,FALSE)</f>
        <v>Põhitegevuse kulu</v>
      </c>
    </row>
    <row r="255" spans="1:16" hidden="1" x14ac:dyDescent="0.25">
      <c r="A255" t="str">
        <f t="shared" si="6"/>
        <v>06</v>
      </c>
      <c r="B255" t="s">
        <v>2211</v>
      </c>
      <c r="C255" s="3" t="str">
        <f>VLOOKUP(Table2[[#This Row],[Tegevusala]],Table4[],2,FALSE)</f>
        <v>Ulvi, Vinni-Pajusti teeninduspiirkond</v>
      </c>
      <c r="D255" s="3" t="str">
        <f>VLOOKUP(Table2[[#This Row],[Tegevusala]],Table4[[Tegevusala kood]:[Tegevusala alanimetus]],4,FALSE)</f>
        <v>Muu elamu- ja kommunaalmajanduse tegevus</v>
      </c>
      <c r="E255" s="3" t="str">
        <f>VLOOKUP(Table2[[#This Row],[Tegevusala nimetus2]],Table4[[Tegevusala nimetus]:[Tegevusala koondnimetus]],2,FALSE)</f>
        <v>Elamu- ja kommunaalmajandus</v>
      </c>
      <c r="F255" t="s">
        <v>1897</v>
      </c>
      <c r="G255" t="s">
        <v>1898</v>
      </c>
      <c r="H255" s="40">
        <v>21000</v>
      </c>
      <c r="J255">
        <v>5511</v>
      </c>
      <c r="K255" s="3" t="str">
        <f>VLOOKUP(Table2[[#This Row],[Konto]],Table5[[Konto]:[Konto nimetus]],2,FALSE)</f>
        <v>Kinnistute, hoonete ja ruumide majandamiskulud</v>
      </c>
      <c r="L255">
        <v>55</v>
      </c>
      <c r="M255" t="str">
        <f t="shared" si="7"/>
        <v>55</v>
      </c>
      <c r="N255" s="3" t="str">
        <f>VLOOKUP(Table2[[#This Row],[Tulu/kulu liik2]],Table5[[Tulu/kulu liik]:[Kontode koondnimetus]],4,FALSE)</f>
        <v>Muud tegevuskulud</v>
      </c>
      <c r="O255" s="3" t="str">
        <f>VLOOKUP(Table2[[#This Row],[Tulu/kulu liik2]],Table5[],6,FALSE)</f>
        <v>Majandamiskulud</v>
      </c>
      <c r="P255" s="3" t="str">
        <f>VLOOKUP(Table2[[#This Row],[Tulu/kulu liik2]],Table5[],5,FALSE)</f>
        <v>Põhitegevuse kulu</v>
      </c>
    </row>
    <row r="256" spans="1:16" hidden="1" x14ac:dyDescent="0.25">
      <c r="A256" t="str">
        <f t="shared" ref="A256:A319" si="8">LEFT(B256,2)</f>
        <v>06</v>
      </c>
      <c r="B256" t="s">
        <v>2211</v>
      </c>
      <c r="C256" s="3" t="str">
        <f>VLOOKUP(Table2[[#This Row],[Tegevusala]],Table4[],2,FALSE)</f>
        <v>Ulvi, Vinni-Pajusti teeninduspiirkond</v>
      </c>
      <c r="D256" s="3" t="str">
        <f>VLOOKUP(Table2[[#This Row],[Tegevusala]],Table4[[Tegevusala kood]:[Tegevusala alanimetus]],4,FALSE)</f>
        <v>Muu elamu- ja kommunaalmajanduse tegevus</v>
      </c>
      <c r="E256" s="3" t="str">
        <f>VLOOKUP(Table2[[#This Row],[Tegevusala nimetus2]],Table4[[Tegevusala nimetus]:[Tegevusala koondnimetus]],2,FALSE)</f>
        <v>Elamu- ja kommunaalmajandus</v>
      </c>
      <c r="F256" t="s">
        <v>1897</v>
      </c>
      <c r="G256" t="s">
        <v>1899</v>
      </c>
      <c r="H256" s="40">
        <v>192</v>
      </c>
      <c r="I256" s="2" t="s">
        <v>1195</v>
      </c>
      <c r="J256">
        <v>5511</v>
      </c>
      <c r="K256" s="3" t="str">
        <f>VLOOKUP(Table2[[#This Row],[Konto]],Table5[[Konto]:[Konto nimetus]],2,FALSE)</f>
        <v>Kinnistute, hoonete ja ruumide majandamiskulud</v>
      </c>
      <c r="L256">
        <v>55</v>
      </c>
      <c r="M256" t="str">
        <f t="shared" ref="M256:M319" si="9">LEFT(J256,2)</f>
        <v>55</v>
      </c>
      <c r="N256" s="3" t="str">
        <f>VLOOKUP(Table2[[#This Row],[Tulu/kulu liik2]],Table5[[Tulu/kulu liik]:[Kontode koondnimetus]],4,FALSE)</f>
        <v>Muud tegevuskulud</v>
      </c>
      <c r="O256" s="3" t="str">
        <f>VLOOKUP(Table2[[#This Row],[Tulu/kulu liik2]],Table5[],6,FALSE)</f>
        <v>Majandamiskulud</v>
      </c>
      <c r="P256" s="3" t="str">
        <f>VLOOKUP(Table2[[#This Row],[Tulu/kulu liik2]],Table5[],5,FALSE)</f>
        <v>Põhitegevuse kulu</v>
      </c>
    </row>
    <row r="257" spans="1:16" hidden="1" x14ac:dyDescent="0.25">
      <c r="A257" t="str">
        <f t="shared" si="8"/>
        <v>06</v>
      </c>
      <c r="B257" t="s">
        <v>2211</v>
      </c>
      <c r="C257" s="3" t="str">
        <f>VLOOKUP(Table2[[#This Row],[Tegevusala]],Table4[],2,FALSE)</f>
        <v>Ulvi, Vinni-Pajusti teeninduspiirkond</v>
      </c>
      <c r="D257" s="3" t="str">
        <f>VLOOKUP(Table2[[#This Row],[Tegevusala]],Table4[[Tegevusala kood]:[Tegevusala alanimetus]],4,FALSE)</f>
        <v>Muu elamu- ja kommunaalmajanduse tegevus</v>
      </c>
      <c r="E257" s="3" t="str">
        <f>VLOOKUP(Table2[[#This Row],[Tegevusala nimetus2]],Table4[[Tegevusala nimetus]:[Tegevusala koondnimetus]],2,FALSE)</f>
        <v>Elamu- ja kommunaalmajandus</v>
      </c>
      <c r="F257" t="s">
        <v>1897</v>
      </c>
      <c r="G257" t="s">
        <v>1902</v>
      </c>
      <c r="H257" s="40">
        <v>1600</v>
      </c>
      <c r="I257" s="2" t="s">
        <v>1903</v>
      </c>
      <c r="J257">
        <v>5511</v>
      </c>
      <c r="K257" s="3" t="str">
        <f>VLOOKUP(Table2[[#This Row],[Konto]],Table5[[Konto]:[Konto nimetus]],2,FALSE)</f>
        <v>Kinnistute, hoonete ja ruumide majandamiskulud</v>
      </c>
      <c r="L257">
        <v>55</v>
      </c>
      <c r="M257" t="str">
        <f t="shared" si="9"/>
        <v>55</v>
      </c>
      <c r="N257" s="3" t="str">
        <f>VLOOKUP(Table2[[#This Row],[Tulu/kulu liik2]],Table5[[Tulu/kulu liik]:[Kontode koondnimetus]],4,FALSE)</f>
        <v>Muud tegevuskulud</v>
      </c>
      <c r="O257" s="3" t="str">
        <f>VLOOKUP(Table2[[#This Row],[Tulu/kulu liik2]],Table5[],6,FALSE)</f>
        <v>Majandamiskulud</v>
      </c>
      <c r="P257" s="3" t="str">
        <f>VLOOKUP(Table2[[#This Row],[Tulu/kulu liik2]],Table5[],5,FALSE)</f>
        <v>Põhitegevuse kulu</v>
      </c>
    </row>
    <row r="258" spans="1:16" hidden="1" x14ac:dyDescent="0.25">
      <c r="A258" t="str">
        <f t="shared" si="8"/>
        <v>06</v>
      </c>
      <c r="B258" t="s">
        <v>2211</v>
      </c>
      <c r="C258" s="3" t="str">
        <f>VLOOKUP(Table2[[#This Row],[Tegevusala]],Table4[],2,FALSE)</f>
        <v>Ulvi, Vinni-Pajusti teeninduspiirkond</v>
      </c>
      <c r="D258" s="3" t="str">
        <f>VLOOKUP(Table2[[#This Row],[Tegevusala]],Table4[[Tegevusala kood]:[Tegevusala alanimetus]],4,FALSE)</f>
        <v>Muu elamu- ja kommunaalmajanduse tegevus</v>
      </c>
      <c r="E258" s="3" t="str">
        <f>VLOOKUP(Table2[[#This Row],[Tegevusala nimetus2]],Table4[[Tegevusala nimetus]:[Tegevusala koondnimetus]],2,FALSE)</f>
        <v>Elamu- ja kommunaalmajandus</v>
      </c>
      <c r="F258" t="s">
        <v>1897</v>
      </c>
      <c r="G258" t="s">
        <v>1904</v>
      </c>
      <c r="H258" s="40">
        <v>97.199999999999989</v>
      </c>
      <c r="J258">
        <v>5511</v>
      </c>
      <c r="K258" s="3" t="str">
        <f>VLOOKUP(Table2[[#This Row],[Konto]],Table5[[Konto]:[Konto nimetus]],2,FALSE)</f>
        <v>Kinnistute, hoonete ja ruumide majandamiskulud</v>
      </c>
      <c r="L258">
        <v>55</v>
      </c>
      <c r="M258" t="str">
        <f t="shared" si="9"/>
        <v>55</v>
      </c>
      <c r="N258" s="3" t="str">
        <f>VLOOKUP(Table2[[#This Row],[Tulu/kulu liik2]],Table5[[Tulu/kulu liik]:[Kontode koondnimetus]],4,FALSE)</f>
        <v>Muud tegevuskulud</v>
      </c>
      <c r="O258" s="3" t="str">
        <f>VLOOKUP(Table2[[#This Row],[Tulu/kulu liik2]],Table5[],6,FALSE)</f>
        <v>Majandamiskulud</v>
      </c>
      <c r="P258" s="3" t="str">
        <f>VLOOKUP(Table2[[#This Row],[Tulu/kulu liik2]],Table5[],5,FALSE)</f>
        <v>Põhitegevuse kulu</v>
      </c>
    </row>
    <row r="259" spans="1:16" hidden="1" x14ac:dyDescent="0.25">
      <c r="A259" t="str">
        <f t="shared" si="8"/>
        <v>06</v>
      </c>
      <c r="B259" t="s">
        <v>2211</v>
      </c>
      <c r="C259" s="3" t="str">
        <f>VLOOKUP(Table2[[#This Row],[Tegevusala]],Table4[],2,FALSE)</f>
        <v>Ulvi, Vinni-Pajusti teeninduspiirkond</v>
      </c>
      <c r="D259" s="3" t="str">
        <f>VLOOKUP(Table2[[#This Row],[Tegevusala]],Table4[[Tegevusala kood]:[Tegevusala alanimetus]],4,FALSE)</f>
        <v>Muu elamu- ja kommunaalmajanduse tegevus</v>
      </c>
      <c r="E259" s="3" t="str">
        <f>VLOOKUP(Table2[[#This Row],[Tegevusala nimetus2]],Table4[[Tegevusala nimetus]:[Tegevusala koondnimetus]],2,FALSE)</f>
        <v>Elamu- ja kommunaalmajandus</v>
      </c>
      <c r="F259" t="s">
        <v>1897</v>
      </c>
      <c r="G259" t="s">
        <v>1905</v>
      </c>
      <c r="H259" s="40">
        <v>2200</v>
      </c>
      <c r="I259" s="2" t="s">
        <v>1906</v>
      </c>
      <c r="J259">
        <v>5511</v>
      </c>
      <c r="K259" s="3" t="str">
        <f>VLOOKUP(Table2[[#This Row],[Konto]],Table5[[Konto]:[Konto nimetus]],2,FALSE)</f>
        <v>Kinnistute, hoonete ja ruumide majandamiskulud</v>
      </c>
      <c r="L259">
        <v>55</v>
      </c>
      <c r="M259" t="str">
        <f t="shared" si="9"/>
        <v>55</v>
      </c>
      <c r="N259" s="3" t="str">
        <f>VLOOKUP(Table2[[#This Row],[Tulu/kulu liik2]],Table5[[Tulu/kulu liik]:[Kontode koondnimetus]],4,FALSE)</f>
        <v>Muud tegevuskulud</v>
      </c>
      <c r="O259" s="3" t="str">
        <f>VLOOKUP(Table2[[#This Row],[Tulu/kulu liik2]],Table5[],6,FALSE)</f>
        <v>Majandamiskulud</v>
      </c>
      <c r="P259" s="3" t="str">
        <f>VLOOKUP(Table2[[#This Row],[Tulu/kulu liik2]],Table5[],5,FALSE)</f>
        <v>Põhitegevuse kulu</v>
      </c>
    </row>
    <row r="260" spans="1:16" hidden="1" x14ac:dyDescent="0.25">
      <c r="A260" t="str">
        <f t="shared" si="8"/>
        <v>06</v>
      </c>
      <c r="B260" t="s">
        <v>2211</v>
      </c>
      <c r="C260" s="3" t="str">
        <f>VLOOKUP(Table2[[#This Row],[Tegevusala]],Table4[],2,FALSE)</f>
        <v>Ulvi, Vinni-Pajusti teeninduspiirkond</v>
      </c>
      <c r="D260" s="3" t="str">
        <f>VLOOKUP(Table2[[#This Row],[Tegevusala]],Table4[[Tegevusala kood]:[Tegevusala alanimetus]],4,FALSE)</f>
        <v>Muu elamu- ja kommunaalmajanduse tegevus</v>
      </c>
      <c r="E260" s="3" t="str">
        <f>VLOOKUP(Table2[[#This Row],[Tegevusala nimetus2]],Table4[[Tegevusala nimetus]:[Tegevusala koondnimetus]],2,FALSE)</f>
        <v>Elamu- ja kommunaalmajandus</v>
      </c>
      <c r="F260" t="s">
        <v>1897</v>
      </c>
      <c r="G260" t="s">
        <v>1907</v>
      </c>
      <c r="H260" s="40">
        <v>9000</v>
      </c>
      <c r="J260">
        <v>5511</v>
      </c>
      <c r="K260" s="3" t="str">
        <f>VLOOKUP(Table2[[#This Row],[Konto]],Table5[[Konto]:[Konto nimetus]],2,FALSE)</f>
        <v>Kinnistute, hoonete ja ruumide majandamiskulud</v>
      </c>
      <c r="L260">
        <v>55</v>
      </c>
      <c r="M260" t="str">
        <f t="shared" si="9"/>
        <v>55</v>
      </c>
      <c r="N260" s="3" t="str">
        <f>VLOOKUP(Table2[[#This Row],[Tulu/kulu liik2]],Table5[[Tulu/kulu liik]:[Kontode koondnimetus]],4,FALSE)</f>
        <v>Muud tegevuskulud</v>
      </c>
      <c r="O260" s="3" t="str">
        <f>VLOOKUP(Table2[[#This Row],[Tulu/kulu liik2]],Table5[],6,FALSE)</f>
        <v>Majandamiskulud</v>
      </c>
      <c r="P260" s="3" t="str">
        <f>VLOOKUP(Table2[[#This Row],[Tulu/kulu liik2]],Table5[],5,FALSE)</f>
        <v>Põhitegevuse kulu</v>
      </c>
    </row>
    <row r="261" spans="1:16" hidden="1" x14ac:dyDescent="0.25">
      <c r="A261" t="str">
        <f t="shared" si="8"/>
        <v>06</v>
      </c>
      <c r="B261" t="s">
        <v>2211</v>
      </c>
      <c r="C261" s="3" t="str">
        <f>VLOOKUP(Table2[[#This Row],[Tegevusala]],Table4[],2,FALSE)</f>
        <v>Ulvi, Vinni-Pajusti teeninduspiirkond</v>
      </c>
      <c r="D261" s="3" t="str">
        <f>VLOOKUP(Table2[[#This Row],[Tegevusala]],Table4[[Tegevusala kood]:[Tegevusala alanimetus]],4,FALSE)</f>
        <v>Muu elamu- ja kommunaalmajanduse tegevus</v>
      </c>
      <c r="E261" s="3" t="str">
        <f>VLOOKUP(Table2[[#This Row],[Tegevusala nimetus2]],Table4[[Tegevusala nimetus]:[Tegevusala koondnimetus]],2,FALSE)</f>
        <v>Elamu- ja kommunaalmajandus</v>
      </c>
      <c r="F261" t="s">
        <v>1897</v>
      </c>
      <c r="G261" t="s">
        <v>1908</v>
      </c>
      <c r="H261" s="40">
        <v>4500</v>
      </c>
      <c r="J261">
        <v>5511</v>
      </c>
      <c r="K261" s="3" t="str">
        <f>VLOOKUP(Table2[[#This Row],[Konto]],Table5[[Konto]:[Konto nimetus]],2,FALSE)</f>
        <v>Kinnistute, hoonete ja ruumide majandamiskulud</v>
      </c>
      <c r="L261">
        <v>55</v>
      </c>
      <c r="M261" t="str">
        <f t="shared" si="9"/>
        <v>55</v>
      </c>
      <c r="N261" s="3" t="str">
        <f>VLOOKUP(Table2[[#This Row],[Tulu/kulu liik2]],Table5[[Tulu/kulu liik]:[Kontode koondnimetus]],4,FALSE)</f>
        <v>Muud tegevuskulud</v>
      </c>
      <c r="O261" s="3" t="str">
        <f>VLOOKUP(Table2[[#This Row],[Tulu/kulu liik2]],Table5[],6,FALSE)</f>
        <v>Majandamiskulud</v>
      </c>
      <c r="P261" s="3" t="str">
        <f>VLOOKUP(Table2[[#This Row],[Tulu/kulu liik2]],Table5[],5,FALSE)</f>
        <v>Põhitegevuse kulu</v>
      </c>
    </row>
    <row r="262" spans="1:16" hidden="1" x14ac:dyDescent="0.25">
      <c r="A262" t="str">
        <f t="shared" si="8"/>
        <v>06</v>
      </c>
      <c r="B262" t="s">
        <v>2211</v>
      </c>
      <c r="C262" s="3" t="str">
        <f>VLOOKUP(Table2[[#This Row],[Tegevusala]],Table4[],2,FALSE)</f>
        <v>Ulvi, Vinni-Pajusti teeninduspiirkond</v>
      </c>
      <c r="D262" s="3" t="str">
        <f>VLOOKUP(Table2[[#This Row],[Tegevusala]],Table4[[Tegevusala kood]:[Tegevusala alanimetus]],4,FALSE)</f>
        <v>Muu elamu- ja kommunaalmajanduse tegevus</v>
      </c>
      <c r="E262" s="3" t="str">
        <f>VLOOKUP(Table2[[#This Row],[Tegevusala nimetus2]],Table4[[Tegevusala nimetus]:[Tegevusala koondnimetus]],2,FALSE)</f>
        <v>Elamu- ja kommunaalmajandus</v>
      </c>
      <c r="F262" t="s">
        <v>1897</v>
      </c>
      <c r="G262" t="s">
        <v>1909</v>
      </c>
      <c r="H262" s="40">
        <v>20000</v>
      </c>
      <c r="J262">
        <v>5511</v>
      </c>
      <c r="K262" s="3" t="str">
        <f>VLOOKUP(Table2[[#This Row],[Konto]],Table5[[Konto]:[Konto nimetus]],2,FALSE)</f>
        <v>Kinnistute, hoonete ja ruumide majandamiskulud</v>
      </c>
      <c r="L262">
        <v>55</v>
      </c>
      <c r="M262" t="str">
        <f t="shared" si="9"/>
        <v>55</v>
      </c>
      <c r="N262" s="3" t="str">
        <f>VLOOKUP(Table2[[#This Row],[Tulu/kulu liik2]],Table5[[Tulu/kulu liik]:[Kontode koondnimetus]],4,FALSE)</f>
        <v>Muud tegevuskulud</v>
      </c>
      <c r="O262" s="3" t="str">
        <f>VLOOKUP(Table2[[#This Row],[Tulu/kulu liik2]],Table5[],6,FALSE)</f>
        <v>Majandamiskulud</v>
      </c>
      <c r="P262" s="3" t="str">
        <f>VLOOKUP(Table2[[#This Row],[Tulu/kulu liik2]],Table5[],5,FALSE)</f>
        <v>Põhitegevuse kulu</v>
      </c>
    </row>
    <row r="263" spans="1:16" hidden="1" x14ac:dyDescent="0.25">
      <c r="A263" t="str">
        <f t="shared" si="8"/>
        <v>06</v>
      </c>
      <c r="B263" t="s">
        <v>2211</v>
      </c>
      <c r="C263" s="3" t="str">
        <f>VLOOKUP(Table2[[#This Row],[Tegevusala]],Table4[],2,FALSE)</f>
        <v>Ulvi, Vinni-Pajusti teeninduspiirkond</v>
      </c>
      <c r="D263" s="3" t="str">
        <f>VLOOKUP(Table2[[#This Row],[Tegevusala]],Table4[[Tegevusala kood]:[Tegevusala alanimetus]],4,FALSE)</f>
        <v>Muu elamu- ja kommunaalmajanduse tegevus</v>
      </c>
      <c r="E263" s="3" t="str">
        <f>VLOOKUP(Table2[[#This Row],[Tegevusala nimetus2]],Table4[[Tegevusala nimetus]:[Tegevusala koondnimetus]],2,FALSE)</f>
        <v>Elamu- ja kommunaalmajandus</v>
      </c>
      <c r="F263" t="s">
        <v>1897</v>
      </c>
      <c r="G263" t="s">
        <v>1910</v>
      </c>
      <c r="H263" s="40">
        <v>6000</v>
      </c>
      <c r="J263">
        <v>5511</v>
      </c>
      <c r="K263" s="3" t="str">
        <f>VLOOKUP(Table2[[#This Row],[Konto]],Table5[[Konto]:[Konto nimetus]],2,FALSE)</f>
        <v>Kinnistute, hoonete ja ruumide majandamiskulud</v>
      </c>
      <c r="L263">
        <v>55</v>
      </c>
      <c r="M263" t="str">
        <f t="shared" si="9"/>
        <v>55</v>
      </c>
      <c r="N263" s="3" t="str">
        <f>VLOOKUP(Table2[[#This Row],[Tulu/kulu liik2]],Table5[[Tulu/kulu liik]:[Kontode koondnimetus]],4,FALSE)</f>
        <v>Muud tegevuskulud</v>
      </c>
      <c r="O263" s="3" t="str">
        <f>VLOOKUP(Table2[[#This Row],[Tulu/kulu liik2]],Table5[],6,FALSE)</f>
        <v>Majandamiskulud</v>
      </c>
      <c r="P263" s="3" t="str">
        <f>VLOOKUP(Table2[[#This Row],[Tulu/kulu liik2]],Table5[],5,FALSE)</f>
        <v>Põhitegevuse kulu</v>
      </c>
    </row>
    <row r="264" spans="1:16" hidden="1" x14ac:dyDescent="0.25">
      <c r="A264" t="str">
        <f t="shared" si="8"/>
        <v>06</v>
      </c>
      <c r="B264" t="s">
        <v>2211</v>
      </c>
      <c r="C264" s="3" t="str">
        <f>VLOOKUP(Table2[[#This Row],[Tegevusala]],Table4[],2,FALSE)</f>
        <v>Ulvi, Vinni-Pajusti teeninduspiirkond</v>
      </c>
      <c r="D264" s="3" t="str">
        <f>VLOOKUP(Table2[[#This Row],[Tegevusala]],Table4[[Tegevusala kood]:[Tegevusala alanimetus]],4,FALSE)</f>
        <v>Muu elamu- ja kommunaalmajanduse tegevus</v>
      </c>
      <c r="E264" s="3" t="str">
        <f>VLOOKUP(Table2[[#This Row],[Tegevusala nimetus2]],Table4[[Tegevusala nimetus]:[Tegevusala koondnimetus]],2,FALSE)</f>
        <v>Elamu- ja kommunaalmajandus</v>
      </c>
      <c r="F264" t="s">
        <v>630</v>
      </c>
      <c r="G264" t="s">
        <v>1570</v>
      </c>
      <c r="H264" s="40">
        <v>2000</v>
      </c>
      <c r="J264">
        <v>5512</v>
      </c>
      <c r="K264" s="3" t="str">
        <f>VLOOKUP(Table2[[#This Row],[Konto]],Table5[[Konto]:[Konto nimetus]],2,FALSE)</f>
        <v>Rajatiste majandamiskulud</v>
      </c>
      <c r="L264">
        <v>55</v>
      </c>
      <c r="M264" t="str">
        <f t="shared" si="9"/>
        <v>55</v>
      </c>
      <c r="N264" s="3" t="str">
        <f>VLOOKUP(Table2[[#This Row],[Tulu/kulu liik2]],Table5[[Tulu/kulu liik]:[Kontode koondnimetus]],4,FALSE)</f>
        <v>Muud tegevuskulud</v>
      </c>
      <c r="O264" s="3" t="str">
        <f>VLOOKUP(Table2[[#This Row],[Tulu/kulu liik2]],Table5[],6,FALSE)</f>
        <v>Majandamiskulud</v>
      </c>
      <c r="P264" s="3" t="str">
        <f>VLOOKUP(Table2[[#This Row],[Tulu/kulu liik2]],Table5[],5,FALSE)</f>
        <v>Põhitegevuse kulu</v>
      </c>
    </row>
    <row r="265" spans="1:16" hidden="1" x14ac:dyDescent="0.25">
      <c r="A265" t="str">
        <f t="shared" si="8"/>
        <v>06</v>
      </c>
      <c r="B265" t="s">
        <v>2211</v>
      </c>
      <c r="C265" s="3" t="str">
        <f>VLOOKUP(Table2[[#This Row],[Tegevusala]],Table4[],2,FALSE)</f>
        <v>Ulvi, Vinni-Pajusti teeninduspiirkond</v>
      </c>
      <c r="D265" s="3" t="str">
        <f>VLOOKUP(Table2[[#This Row],[Tegevusala]],Table4[[Tegevusala kood]:[Tegevusala alanimetus]],4,FALSE)</f>
        <v>Muu elamu- ja kommunaalmajanduse tegevus</v>
      </c>
      <c r="E265" s="3" t="str">
        <f>VLOOKUP(Table2[[#This Row],[Tegevusala nimetus2]],Table4[[Tegevusala nimetus]:[Tegevusala koondnimetus]],2,FALSE)</f>
        <v>Elamu- ja kommunaalmajandus</v>
      </c>
      <c r="F265" t="s">
        <v>1897</v>
      </c>
      <c r="G265" t="s">
        <v>1896</v>
      </c>
      <c r="H265" s="40">
        <v>255.84</v>
      </c>
      <c r="J265">
        <v>5500</v>
      </c>
      <c r="K265" s="3" t="str">
        <f>VLOOKUP(Table2[[#This Row],[Konto]],Table5[[Konto]:[Konto nimetus]],2,FALSE)</f>
        <v>Administreerimiskulud</v>
      </c>
      <c r="L265">
        <v>55</v>
      </c>
      <c r="M265" t="str">
        <f t="shared" si="9"/>
        <v>55</v>
      </c>
      <c r="N265" s="3" t="str">
        <f>VLOOKUP(Table2[[#This Row],[Tulu/kulu liik2]],Table5[[Tulu/kulu liik]:[Kontode koondnimetus]],4,FALSE)</f>
        <v>Muud tegevuskulud</v>
      </c>
      <c r="O265" s="3" t="str">
        <f>VLOOKUP(Table2[[#This Row],[Tulu/kulu liik2]],Table5[],6,FALSE)</f>
        <v>Majandamiskulud</v>
      </c>
      <c r="P265" s="3" t="str">
        <f>VLOOKUP(Table2[[#This Row],[Tulu/kulu liik2]],Table5[],5,FALSE)</f>
        <v>Põhitegevuse kulu</v>
      </c>
    </row>
    <row r="266" spans="1:16" hidden="1" x14ac:dyDescent="0.25">
      <c r="A266" t="str">
        <f t="shared" si="8"/>
        <v>06</v>
      </c>
      <c r="B266" t="s">
        <v>2211</v>
      </c>
      <c r="C266" s="3" t="str">
        <f>VLOOKUP(Table2[[#This Row],[Tegevusala]],Table4[],2,FALSE)</f>
        <v>Ulvi, Vinni-Pajusti teeninduspiirkond</v>
      </c>
      <c r="D266" s="3" t="str">
        <f>VLOOKUP(Table2[[#This Row],[Tegevusala]],Table4[[Tegevusala kood]:[Tegevusala alanimetus]],4,FALSE)</f>
        <v>Muu elamu- ja kommunaalmajanduse tegevus</v>
      </c>
      <c r="E266" s="3" t="str">
        <f>VLOOKUP(Table2[[#This Row],[Tegevusala nimetus2]],Table4[[Tegevusala nimetus]:[Tegevusala koondnimetus]],2,FALSE)</f>
        <v>Elamu- ja kommunaalmajandus</v>
      </c>
      <c r="F266" t="s">
        <v>1897</v>
      </c>
      <c r="G266" t="s">
        <v>424</v>
      </c>
      <c r="H266" s="40">
        <v>650</v>
      </c>
      <c r="I266" s="2" t="s">
        <v>1911</v>
      </c>
      <c r="J266">
        <v>5513</v>
      </c>
      <c r="K266" s="3" t="str">
        <f>VLOOKUP(Table2[[#This Row],[Konto]],Table5[[Konto]:[Konto nimetus]],2,FALSE)</f>
        <v>Sõidukite ülalpidamise kulud</v>
      </c>
      <c r="L266">
        <v>55</v>
      </c>
      <c r="M266" t="str">
        <f t="shared" si="9"/>
        <v>55</v>
      </c>
      <c r="N266" s="3" t="str">
        <f>VLOOKUP(Table2[[#This Row],[Tulu/kulu liik2]],Table5[[Tulu/kulu liik]:[Kontode koondnimetus]],4,FALSE)</f>
        <v>Muud tegevuskulud</v>
      </c>
      <c r="O266" s="3" t="str">
        <f>VLOOKUP(Table2[[#This Row],[Tulu/kulu liik2]],Table5[],6,FALSE)</f>
        <v>Majandamiskulud</v>
      </c>
      <c r="P266" s="3" t="str">
        <f>VLOOKUP(Table2[[#This Row],[Tulu/kulu liik2]],Table5[],5,FALSE)</f>
        <v>Põhitegevuse kulu</v>
      </c>
    </row>
    <row r="267" spans="1:16" hidden="1" x14ac:dyDescent="0.25">
      <c r="A267" t="str">
        <f t="shared" si="8"/>
        <v>06</v>
      </c>
      <c r="B267" t="s">
        <v>2211</v>
      </c>
      <c r="C267" s="3" t="str">
        <f>VLOOKUP(Table2[[#This Row],[Tegevusala]],Table4[],2,FALSE)</f>
        <v>Ulvi, Vinni-Pajusti teeninduspiirkond</v>
      </c>
      <c r="D267" s="3" t="str">
        <f>VLOOKUP(Table2[[#This Row],[Tegevusala]],Table4[[Tegevusala kood]:[Tegevusala alanimetus]],4,FALSE)</f>
        <v>Muu elamu- ja kommunaalmajanduse tegevus</v>
      </c>
      <c r="E267" s="3" t="str">
        <f>VLOOKUP(Table2[[#This Row],[Tegevusala nimetus2]],Table4[[Tegevusala nimetus]:[Tegevusala koondnimetus]],2,FALSE)</f>
        <v>Elamu- ja kommunaalmajandus</v>
      </c>
      <c r="F267" t="s">
        <v>1897</v>
      </c>
      <c r="G267" t="s">
        <v>1912</v>
      </c>
      <c r="H267" s="40">
        <v>1670</v>
      </c>
      <c r="J267">
        <v>5513</v>
      </c>
      <c r="K267" s="3" t="str">
        <f>VLOOKUP(Table2[[#This Row],[Konto]],Table5[[Konto]:[Konto nimetus]],2,FALSE)</f>
        <v>Sõidukite ülalpidamise kulud</v>
      </c>
      <c r="L267">
        <v>55</v>
      </c>
      <c r="M267" t="str">
        <f t="shared" si="9"/>
        <v>55</v>
      </c>
      <c r="N267" s="3" t="str">
        <f>VLOOKUP(Table2[[#This Row],[Tulu/kulu liik2]],Table5[[Tulu/kulu liik]:[Kontode koondnimetus]],4,FALSE)</f>
        <v>Muud tegevuskulud</v>
      </c>
      <c r="O267" s="3" t="str">
        <f>VLOOKUP(Table2[[#This Row],[Tulu/kulu liik2]],Table5[],6,FALSE)</f>
        <v>Majandamiskulud</v>
      </c>
      <c r="P267" s="3" t="str">
        <f>VLOOKUP(Table2[[#This Row],[Tulu/kulu liik2]],Table5[],5,FALSE)</f>
        <v>Põhitegevuse kulu</v>
      </c>
    </row>
    <row r="268" spans="1:16" hidden="1" x14ac:dyDescent="0.25">
      <c r="A268" t="str">
        <f t="shared" si="8"/>
        <v>06</v>
      </c>
      <c r="B268" t="s">
        <v>2211</v>
      </c>
      <c r="C268" s="3" t="str">
        <f>VLOOKUP(Table2[[#This Row],[Tegevusala]],Table4[],2,FALSE)</f>
        <v>Ulvi, Vinni-Pajusti teeninduspiirkond</v>
      </c>
      <c r="D268" s="3" t="str">
        <f>VLOOKUP(Table2[[#This Row],[Tegevusala]],Table4[[Tegevusala kood]:[Tegevusala alanimetus]],4,FALSE)</f>
        <v>Muu elamu- ja kommunaalmajanduse tegevus</v>
      </c>
      <c r="E268" s="3" t="str">
        <f>VLOOKUP(Table2[[#This Row],[Tegevusala nimetus2]],Table4[[Tegevusala nimetus]:[Tegevusala koondnimetus]],2,FALSE)</f>
        <v>Elamu- ja kommunaalmajandus</v>
      </c>
      <c r="F268" t="s">
        <v>1897</v>
      </c>
      <c r="G268" t="s">
        <v>1913</v>
      </c>
      <c r="H268" s="40">
        <v>1998</v>
      </c>
      <c r="J268">
        <v>5513</v>
      </c>
      <c r="K268" s="3" t="str">
        <f>VLOOKUP(Table2[[#This Row],[Konto]],Table5[[Konto]:[Konto nimetus]],2,FALSE)</f>
        <v>Sõidukite ülalpidamise kulud</v>
      </c>
      <c r="L268">
        <v>55</v>
      </c>
      <c r="M268" t="str">
        <f t="shared" si="9"/>
        <v>55</v>
      </c>
      <c r="N268" s="3" t="str">
        <f>VLOOKUP(Table2[[#This Row],[Tulu/kulu liik2]],Table5[[Tulu/kulu liik]:[Kontode koondnimetus]],4,FALSE)</f>
        <v>Muud tegevuskulud</v>
      </c>
      <c r="O268" s="3" t="str">
        <f>VLOOKUP(Table2[[#This Row],[Tulu/kulu liik2]],Table5[],6,FALSE)</f>
        <v>Majandamiskulud</v>
      </c>
      <c r="P268" s="3" t="str">
        <f>VLOOKUP(Table2[[#This Row],[Tulu/kulu liik2]],Table5[],5,FALSE)</f>
        <v>Põhitegevuse kulu</v>
      </c>
    </row>
    <row r="269" spans="1:16" hidden="1" x14ac:dyDescent="0.25">
      <c r="A269" t="str">
        <f t="shared" si="8"/>
        <v>06</v>
      </c>
      <c r="B269" t="s">
        <v>2211</v>
      </c>
      <c r="C269" s="3" t="str">
        <f>VLOOKUP(Table2[[#This Row],[Tegevusala]],Table4[],2,FALSE)</f>
        <v>Ulvi, Vinni-Pajusti teeninduspiirkond</v>
      </c>
      <c r="D269" s="3" t="str">
        <f>VLOOKUP(Table2[[#This Row],[Tegevusala]],Table4[[Tegevusala kood]:[Tegevusala alanimetus]],4,FALSE)</f>
        <v>Muu elamu- ja kommunaalmajanduse tegevus</v>
      </c>
      <c r="E269" s="3" t="str">
        <f>VLOOKUP(Table2[[#This Row],[Tegevusala nimetus2]],Table4[[Tegevusala nimetus]:[Tegevusala koondnimetus]],2,FALSE)</f>
        <v>Elamu- ja kommunaalmajandus</v>
      </c>
      <c r="F269" t="s">
        <v>1897</v>
      </c>
      <c r="G269" t="s">
        <v>1914</v>
      </c>
      <c r="H269" s="40">
        <v>210</v>
      </c>
      <c r="J269">
        <v>5513</v>
      </c>
      <c r="K269" s="3" t="str">
        <f>VLOOKUP(Table2[[#This Row],[Konto]],Table5[[Konto]:[Konto nimetus]],2,FALSE)</f>
        <v>Sõidukite ülalpidamise kulud</v>
      </c>
      <c r="L269">
        <v>55</v>
      </c>
      <c r="M269" t="str">
        <f t="shared" si="9"/>
        <v>55</v>
      </c>
      <c r="N269" s="3" t="str">
        <f>VLOOKUP(Table2[[#This Row],[Tulu/kulu liik2]],Table5[[Tulu/kulu liik]:[Kontode koondnimetus]],4,FALSE)</f>
        <v>Muud tegevuskulud</v>
      </c>
      <c r="O269" s="3" t="str">
        <f>VLOOKUP(Table2[[#This Row],[Tulu/kulu liik2]],Table5[],6,FALSE)</f>
        <v>Majandamiskulud</v>
      </c>
      <c r="P269" s="3" t="str">
        <f>VLOOKUP(Table2[[#This Row],[Tulu/kulu liik2]],Table5[],5,FALSE)</f>
        <v>Põhitegevuse kulu</v>
      </c>
    </row>
    <row r="270" spans="1:16" hidden="1" x14ac:dyDescent="0.25">
      <c r="A270" t="str">
        <f t="shared" si="8"/>
        <v>06</v>
      </c>
      <c r="B270" t="s">
        <v>2211</v>
      </c>
      <c r="C270" s="3" t="str">
        <f>VLOOKUP(Table2[[#This Row],[Tegevusala]],Table4[],2,FALSE)</f>
        <v>Ulvi, Vinni-Pajusti teeninduspiirkond</v>
      </c>
      <c r="D270" s="3" t="str">
        <f>VLOOKUP(Table2[[#This Row],[Tegevusala]],Table4[[Tegevusala kood]:[Tegevusala alanimetus]],4,FALSE)</f>
        <v>Muu elamu- ja kommunaalmajanduse tegevus</v>
      </c>
      <c r="E270" s="3" t="str">
        <f>VLOOKUP(Table2[[#This Row],[Tegevusala nimetus2]],Table4[[Tegevusala nimetus]:[Tegevusala koondnimetus]],2,FALSE)</f>
        <v>Elamu- ja kommunaalmajandus</v>
      </c>
      <c r="F270" t="s">
        <v>1897</v>
      </c>
      <c r="G270" t="s">
        <v>882</v>
      </c>
      <c r="H270" s="40">
        <v>2607.2400000000002</v>
      </c>
      <c r="I270" s="2" t="s">
        <v>1915</v>
      </c>
      <c r="J270">
        <v>5513</v>
      </c>
      <c r="K270" s="3" t="str">
        <f>VLOOKUP(Table2[[#This Row],[Konto]],Table5[[Konto]:[Konto nimetus]],2,FALSE)</f>
        <v>Sõidukite ülalpidamise kulud</v>
      </c>
      <c r="L270">
        <v>55</v>
      </c>
      <c r="M270" t="str">
        <f t="shared" si="9"/>
        <v>55</v>
      </c>
      <c r="N270" s="3" t="str">
        <f>VLOOKUP(Table2[[#This Row],[Tulu/kulu liik2]],Table5[[Tulu/kulu liik]:[Kontode koondnimetus]],4,FALSE)</f>
        <v>Muud tegevuskulud</v>
      </c>
      <c r="O270" s="3" t="str">
        <f>VLOOKUP(Table2[[#This Row],[Tulu/kulu liik2]],Table5[],6,FALSE)</f>
        <v>Majandamiskulud</v>
      </c>
      <c r="P270" s="3" t="str">
        <f>VLOOKUP(Table2[[#This Row],[Tulu/kulu liik2]],Table5[],5,FALSE)</f>
        <v>Põhitegevuse kulu</v>
      </c>
    </row>
    <row r="271" spans="1:16" hidden="1" x14ac:dyDescent="0.25">
      <c r="A271" t="str">
        <f t="shared" si="8"/>
        <v>06</v>
      </c>
      <c r="B271" t="s">
        <v>2211</v>
      </c>
      <c r="C271" s="3" t="str">
        <f>VLOOKUP(Table2[[#This Row],[Tegevusala]],Table4[],2,FALSE)</f>
        <v>Ulvi, Vinni-Pajusti teeninduspiirkond</v>
      </c>
      <c r="D271" s="3" t="str">
        <f>VLOOKUP(Table2[[#This Row],[Tegevusala]],Table4[[Tegevusala kood]:[Tegevusala alanimetus]],4,FALSE)</f>
        <v>Muu elamu- ja kommunaalmajanduse tegevus</v>
      </c>
      <c r="E271" s="3" t="str">
        <f>VLOOKUP(Table2[[#This Row],[Tegevusala nimetus2]],Table4[[Tegevusala nimetus]:[Tegevusala koondnimetus]],2,FALSE)</f>
        <v>Elamu- ja kommunaalmajandus</v>
      </c>
      <c r="F271" t="s">
        <v>1897</v>
      </c>
      <c r="G271" t="s">
        <v>1916</v>
      </c>
      <c r="H271" s="40">
        <v>1400</v>
      </c>
      <c r="I271" s="2" t="s">
        <v>1917</v>
      </c>
      <c r="J271">
        <v>5513</v>
      </c>
      <c r="K271" s="3" t="str">
        <f>VLOOKUP(Table2[[#This Row],[Konto]],Table5[[Konto]:[Konto nimetus]],2,FALSE)</f>
        <v>Sõidukite ülalpidamise kulud</v>
      </c>
      <c r="L271">
        <v>55</v>
      </c>
      <c r="M271" t="str">
        <f t="shared" si="9"/>
        <v>55</v>
      </c>
      <c r="N271" s="3" t="str">
        <f>VLOOKUP(Table2[[#This Row],[Tulu/kulu liik2]],Table5[[Tulu/kulu liik]:[Kontode koondnimetus]],4,FALSE)</f>
        <v>Muud tegevuskulud</v>
      </c>
      <c r="O271" s="3" t="str">
        <f>VLOOKUP(Table2[[#This Row],[Tulu/kulu liik2]],Table5[],6,FALSE)</f>
        <v>Majandamiskulud</v>
      </c>
      <c r="P271" s="3" t="str">
        <f>VLOOKUP(Table2[[#This Row],[Tulu/kulu liik2]],Table5[],5,FALSE)</f>
        <v>Põhitegevuse kulu</v>
      </c>
    </row>
    <row r="272" spans="1:16" hidden="1" x14ac:dyDescent="0.25">
      <c r="A272" t="str">
        <f t="shared" si="8"/>
        <v>06</v>
      </c>
      <c r="B272" t="s">
        <v>2211</v>
      </c>
      <c r="C272" s="3" t="str">
        <f>VLOOKUP(Table2[[#This Row],[Tegevusala]],Table4[],2,FALSE)</f>
        <v>Ulvi, Vinni-Pajusti teeninduspiirkond</v>
      </c>
      <c r="D272" s="3" t="str">
        <f>VLOOKUP(Table2[[#This Row],[Tegevusala]],Table4[[Tegevusala kood]:[Tegevusala alanimetus]],4,FALSE)</f>
        <v>Muu elamu- ja kommunaalmajanduse tegevus</v>
      </c>
      <c r="E272" s="3" t="str">
        <f>VLOOKUP(Table2[[#This Row],[Tegevusala nimetus2]],Table4[[Tegevusala nimetus]:[Tegevusala koondnimetus]],2,FALSE)</f>
        <v>Elamu- ja kommunaalmajandus</v>
      </c>
      <c r="F272" t="s">
        <v>1897</v>
      </c>
      <c r="G272" t="s">
        <v>198</v>
      </c>
      <c r="H272" s="40">
        <v>13000</v>
      </c>
      <c r="J272">
        <v>5513</v>
      </c>
      <c r="K272" s="3" t="str">
        <f>VLOOKUP(Table2[[#This Row],[Konto]],Table5[[Konto]:[Konto nimetus]],2,FALSE)</f>
        <v>Sõidukite ülalpidamise kulud</v>
      </c>
      <c r="L272">
        <v>55</v>
      </c>
      <c r="M272" t="str">
        <f t="shared" si="9"/>
        <v>55</v>
      </c>
      <c r="N272" s="3" t="str">
        <f>VLOOKUP(Table2[[#This Row],[Tulu/kulu liik2]],Table5[[Tulu/kulu liik]:[Kontode koondnimetus]],4,FALSE)</f>
        <v>Muud tegevuskulud</v>
      </c>
      <c r="O272" s="3" t="str">
        <f>VLOOKUP(Table2[[#This Row],[Tulu/kulu liik2]],Table5[],6,FALSE)</f>
        <v>Majandamiskulud</v>
      </c>
      <c r="P272" s="3" t="str">
        <f>VLOOKUP(Table2[[#This Row],[Tulu/kulu liik2]],Table5[],5,FALSE)</f>
        <v>Põhitegevuse kulu</v>
      </c>
    </row>
    <row r="273" spans="1:17" hidden="1" x14ac:dyDescent="0.25">
      <c r="A273" t="str">
        <f t="shared" si="8"/>
        <v>06</v>
      </c>
      <c r="B273" t="s">
        <v>2211</v>
      </c>
      <c r="C273" s="3" t="str">
        <f>VLOOKUP(Table2[[#This Row],[Tegevusala]],Table4[],2,FALSE)</f>
        <v>Ulvi, Vinni-Pajusti teeninduspiirkond</v>
      </c>
      <c r="D273" s="3" t="str">
        <f>VLOOKUP(Table2[[#This Row],[Tegevusala]],Table4[[Tegevusala kood]:[Tegevusala alanimetus]],4,FALSE)</f>
        <v>Muu elamu- ja kommunaalmajanduse tegevus</v>
      </c>
      <c r="E273" s="3" t="str">
        <f>VLOOKUP(Table2[[#This Row],[Tegevusala nimetus2]],Table4[[Tegevusala nimetus]:[Tegevusala koondnimetus]],2,FALSE)</f>
        <v>Elamu- ja kommunaalmajandus</v>
      </c>
      <c r="F273" t="s">
        <v>1897</v>
      </c>
      <c r="G273" t="s">
        <v>1918</v>
      </c>
      <c r="H273" s="40">
        <v>3000</v>
      </c>
      <c r="J273">
        <v>5513</v>
      </c>
      <c r="K273" s="3" t="str">
        <f>VLOOKUP(Table2[[#This Row],[Konto]],Table5[[Konto]:[Konto nimetus]],2,FALSE)</f>
        <v>Sõidukite ülalpidamise kulud</v>
      </c>
      <c r="L273">
        <v>55</v>
      </c>
      <c r="M273" t="str">
        <f t="shared" si="9"/>
        <v>55</v>
      </c>
      <c r="N273" s="3" t="str">
        <f>VLOOKUP(Table2[[#This Row],[Tulu/kulu liik2]],Table5[[Tulu/kulu liik]:[Kontode koondnimetus]],4,FALSE)</f>
        <v>Muud tegevuskulud</v>
      </c>
      <c r="O273" s="3" t="str">
        <f>VLOOKUP(Table2[[#This Row],[Tulu/kulu liik2]],Table5[],6,FALSE)</f>
        <v>Majandamiskulud</v>
      </c>
      <c r="P273" s="3" t="str">
        <f>VLOOKUP(Table2[[#This Row],[Tulu/kulu liik2]],Table5[],5,FALSE)</f>
        <v>Põhitegevuse kulu</v>
      </c>
    </row>
    <row r="274" spans="1:17" hidden="1" x14ac:dyDescent="0.25">
      <c r="A274" t="str">
        <f t="shared" si="8"/>
        <v>06</v>
      </c>
      <c r="B274" t="s">
        <v>2211</v>
      </c>
      <c r="C274" s="3" t="str">
        <f>VLOOKUP(Table2[[#This Row],[Tegevusala]],Table4[],2,FALSE)</f>
        <v>Ulvi, Vinni-Pajusti teeninduspiirkond</v>
      </c>
      <c r="D274" s="3" t="str">
        <f>VLOOKUP(Table2[[#This Row],[Tegevusala]],Table4[[Tegevusala kood]:[Tegevusala alanimetus]],4,FALSE)</f>
        <v>Muu elamu- ja kommunaalmajanduse tegevus</v>
      </c>
      <c r="E274" s="3" t="str">
        <f>VLOOKUP(Table2[[#This Row],[Tegevusala nimetus2]],Table4[[Tegevusala nimetus]:[Tegevusala koondnimetus]],2,FALSE)</f>
        <v>Elamu- ja kommunaalmajandus</v>
      </c>
      <c r="F274" t="s">
        <v>1897</v>
      </c>
      <c r="G274" t="s">
        <v>1919</v>
      </c>
      <c r="H274" s="40">
        <v>4000</v>
      </c>
      <c r="J274">
        <v>5513</v>
      </c>
      <c r="K274" s="3" t="str">
        <f>VLOOKUP(Table2[[#This Row],[Konto]],Table5[[Konto]:[Konto nimetus]],2,FALSE)</f>
        <v>Sõidukite ülalpidamise kulud</v>
      </c>
      <c r="L274">
        <v>55</v>
      </c>
      <c r="M274" t="str">
        <f t="shared" si="9"/>
        <v>55</v>
      </c>
      <c r="N274" s="3" t="str">
        <f>VLOOKUP(Table2[[#This Row],[Tulu/kulu liik2]],Table5[[Tulu/kulu liik]:[Kontode koondnimetus]],4,FALSE)</f>
        <v>Muud tegevuskulud</v>
      </c>
      <c r="O274" s="3" t="str">
        <f>VLOOKUP(Table2[[#This Row],[Tulu/kulu liik2]],Table5[],6,FALSE)</f>
        <v>Majandamiskulud</v>
      </c>
      <c r="P274" s="3" t="str">
        <f>VLOOKUP(Table2[[#This Row],[Tulu/kulu liik2]],Table5[],5,FALSE)</f>
        <v>Põhitegevuse kulu</v>
      </c>
    </row>
    <row r="275" spans="1:17" hidden="1" x14ac:dyDescent="0.25">
      <c r="A275" t="str">
        <f t="shared" si="8"/>
        <v>06</v>
      </c>
      <c r="B275" t="s">
        <v>2211</v>
      </c>
      <c r="C275" s="3" t="str">
        <f>VLOOKUP(Table2[[#This Row],[Tegevusala]],Table4[],2,FALSE)</f>
        <v>Ulvi, Vinni-Pajusti teeninduspiirkond</v>
      </c>
      <c r="D275" s="3" t="str">
        <f>VLOOKUP(Table2[[#This Row],[Tegevusala]],Table4[[Tegevusala kood]:[Tegevusala alanimetus]],4,FALSE)</f>
        <v>Muu elamu- ja kommunaalmajanduse tegevus</v>
      </c>
      <c r="E275" s="3" t="str">
        <f>VLOOKUP(Table2[[#This Row],[Tegevusala nimetus2]],Table4[[Tegevusala nimetus]:[Tegevusala koondnimetus]],2,FALSE)</f>
        <v>Elamu- ja kommunaalmajandus</v>
      </c>
      <c r="F275" t="s">
        <v>1897</v>
      </c>
      <c r="G275" t="s">
        <v>1920</v>
      </c>
      <c r="H275" s="40">
        <v>6000</v>
      </c>
      <c r="J275">
        <v>5515</v>
      </c>
      <c r="K275" s="3" t="str">
        <f>VLOOKUP(Table2[[#This Row],[Konto]],Table5[[Konto]:[Konto nimetus]],2,FALSE)</f>
        <v>Inventari kulud, v.a infotehnoloogia ja kaitseotstarbelised kulud</v>
      </c>
      <c r="L275">
        <v>55</v>
      </c>
      <c r="M275" t="str">
        <f t="shared" si="9"/>
        <v>55</v>
      </c>
      <c r="N275" s="3" t="str">
        <f>VLOOKUP(Table2[[#This Row],[Tulu/kulu liik2]],Table5[[Tulu/kulu liik]:[Kontode koondnimetus]],4,FALSE)</f>
        <v>Muud tegevuskulud</v>
      </c>
      <c r="O275" s="3" t="str">
        <f>VLOOKUP(Table2[[#This Row],[Tulu/kulu liik2]],Table5[],6,FALSE)</f>
        <v>Majandamiskulud</v>
      </c>
      <c r="P275" s="3" t="str">
        <f>VLOOKUP(Table2[[#This Row],[Tulu/kulu liik2]],Table5[],5,FALSE)</f>
        <v>Põhitegevuse kulu</v>
      </c>
    </row>
    <row r="276" spans="1:17" hidden="1" x14ac:dyDescent="0.25">
      <c r="A276" t="str">
        <f t="shared" si="8"/>
        <v>06</v>
      </c>
      <c r="B276" t="s">
        <v>260</v>
      </c>
      <c r="C276" s="3" t="str">
        <f>VLOOKUP(Table2[[#This Row],[Tegevusala]],Table4[],2,FALSE)</f>
        <v xml:space="preserve"> Saunad</v>
      </c>
      <c r="D276" s="3" t="str">
        <f>VLOOKUP(Table2[[#This Row],[Tegevusala]],Table4[[Tegevusala kood]:[Tegevusala alanimetus]],4,FALSE)</f>
        <v>Muu elamu- ja kommunaalmajanduse tegevus</v>
      </c>
      <c r="E276" s="3" t="str">
        <f>VLOOKUP(Table2[[#This Row],[Tegevusala nimetus2]],Table4[[Tegevusala nimetus]:[Tegevusala koondnimetus]],2,FALSE)</f>
        <v>Elamu- ja kommunaalmajandus</v>
      </c>
      <c r="F276" s="14" t="s">
        <v>1003</v>
      </c>
      <c r="G276" t="s">
        <v>1001</v>
      </c>
      <c r="H276" s="40">
        <v>8600</v>
      </c>
      <c r="J276">
        <v>5511</v>
      </c>
      <c r="K276" s="3" t="str">
        <f>VLOOKUP(Table2[[#This Row],[Konto]],Table5[[Konto]:[Konto nimetus]],2,FALSE)</f>
        <v>Kinnistute, hoonete ja ruumide majandamiskulud</v>
      </c>
      <c r="L276">
        <v>55</v>
      </c>
      <c r="M276" t="str">
        <f t="shared" si="9"/>
        <v>55</v>
      </c>
      <c r="N276" s="3" t="str">
        <f>VLOOKUP(Table2[[#This Row],[Tulu/kulu liik2]],Table5[[Tulu/kulu liik]:[Kontode koondnimetus]],4,FALSE)</f>
        <v>Muud tegevuskulud</v>
      </c>
      <c r="O276" s="3" t="str">
        <f>VLOOKUP(Table2[[#This Row],[Tulu/kulu liik2]],Table5[],6,FALSE)</f>
        <v>Majandamiskulud</v>
      </c>
      <c r="P276" s="3" t="str">
        <f>VLOOKUP(Table2[[#This Row],[Tulu/kulu liik2]],Table5[],5,FALSE)</f>
        <v>Põhitegevuse kulu</v>
      </c>
    </row>
    <row r="277" spans="1:17" hidden="1" x14ac:dyDescent="0.25">
      <c r="A277" t="str">
        <f t="shared" si="8"/>
        <v>06</v>
      </c>
      <c r="B277" t="s">
        <v>260</v>
      </c>
      <c r="C277" s="3" t="str">
        <f>VLOOKUP(Table2[[#This Row],[Tegevusala]],Table4[],2,FALSE)</f>
        <v xml:space="preserve"> Saunad</v>
      </c>
      <c r="D277" s="3" t="str">
        <f>VLOOKUP(Table2[[#This Row],[Tegevusala]],Table4[[Tegevusala kood]:[Tegevusala alanimetus]],4,FALSE)</f>
        <v>Muu elamu- ja kommunaalmajanduse tegevus</v>
      </c>
      <c r="E277" s="3" t="str">
        <f>VLOOKUP(Table2[[#This Row],[Tegevusala nimetus2]],Table4[[Tegevusala nimetus]:[Tegevusala koondnimetus]],2,FALSE)</f>
        <v>Elamu- ja kommunaalmajandus</v>
      </c>
      <c r="F277" s="14" t="s">
        <v>1003</v>
      </c>
      <c r="G277" t="s">
        <v>951</v>
      </c>
      <c r="H277" s="40">
        <v>35</v>
      </c>
      <c r="J277">
        <v>5511</v>
      </c>
      <c r="K277" s="3" t="str">
        <f>VLOOKUP(Table2[[#This Row],[Konto]],Table5[[Konto]:[Konto nimetus]],2,FALSE)</f>
        <v>Kinnistute, hoonete ja ruumide majandamiskulud</v>
      </c>
      <c r="L277">
        <v>55</v>
      </c>
      <c r="M277" t="str">
        <f t="shared" si="9"/>
        <v>55</v>
      </c>
      <c r="N277" s="3" t="str">
        <f>VLOOKUP(Table2[[#This Row],[Tulu/kulu liik2]],Table5[[Tulu/kulu liik]:[Kontode koondnimetus]],4,FALSE)</f>
        <v>Muud tegevuskulud</v>
      </c>
      <c r="O277" s="3" t="str">
        <f>VLOOKUP(Table2[[#This Row],[Tulu/kulu liik2]],Table5[],6,FALSE)</f>
        <v>Majandamiskulud</v>
      </c>
      <c r="P277" s="3" t="str">
        <f>VLOOKUP(Table2[[#This Row],[Tulu/kulu liik2]],Table5[],5,FALSE)</f>
        <v>Põhitegevuse kulu</v>
      </c>
    </row>
    <row r="278" spans="1:17" hidden="1" x14ac:dyDescent="0.25">
      <c r="A278" t="str">
        <f t="shared" si="8"/>
        <v>06</v>
      </c>
      <c r="B278" t="s">
        <v>260</v>
      </c>
      <c r="C278" s="3" t="str">
        <f>VLOOKUP(Table2[[#This Row],[Tegevusala]],Table4[],2,FALSE)</f>
        <v xml:space="preserve"> Saunad</v>
      </c>
      <c r="D278" s="3" t="str">
        <f>VLOOKUP(Table2[[#This Row],[Tegevusala]],Table4[[Tegevusala kood]:[Tegevusala alanimetus]],4,FALSE)</f>
        <v>Muu elamu- ja kommunaalmajanduse tegevus</v>
      </c>
      <c r="E278" s="3" t="str">
        <f>VLOOKUP(Table2[[#This Row],[Tegevusala nimetus2]],Table4[[Tegevusala nimetus]:[Tegevusala koondnimetus]],2,FALSE)</f>
        <v>Elamu- ja kommunaalmajandus</v>
      </c>
      <c r="F278" s="14" t="s">
        <v>1003</v>
      </c>
      <c r="G278" t="s">
        <v>492</v>
      </c>
      <c r="H278" s="40">
        <v>800</v>
      </c>
      <c r="J278">
        <v>5511</v>
      </c>
      <c r="K278" s="3" t="str">
        <f>VLOOKUP(Table2[[#This Row],[Konto]],Table5[[Konto]:[Konto nimetus]],2,FALSE)</f>
        <v>Kinnistute, hoonete ja ruumide majandamiskulud</v>
      </c>
      <c r="L278">
        <v>55</v>
      </c>
      <c r="M278" t="str">
        <f t="shared" si="9"/>
        <v>55</v>
      </c>
      <c r="N278" s="3" t="str">
        <f>VLOOKUP(Table2[[#This Row],[Tulu/kulu liik2]],Table5[[Tulu/kulu liik]:[Kontode koondnimetus]],4,FALSE)</f>
        <v>Muud tegevuskulud</v>
      </c>
      <c r="O278" s="3" t="str">
        <f>VLOOKUP(Table2[[#This Row],[Tulu/kulu liik2]],Table5[],6,FALSE)</f>
        <v>Majandamiskulud</v>
      </c>
      <c r="P278" s="3" t="str">
        <f>VLOOKUP(Table2[[#This Row],[Tulu/kulu liik2]],Table5[],5,FALSE)</f>
        <v>Põhitegevuse kulu</v>
      </c>
    </row>
    <row r="279" spans="1:17" hidden="1" x14ac:dyDescent="0.25">
      <c r="A279" t="str">
        <f t="shared" si="8"/>
        <v>06</v>
      </c>
      <c r="B279" t="s">
        <v>260</v>
      </c>
      <c r="C279" s="3" t="str">
        <f>VLOOKUP(Table2[[#This Row],[Tegevusala]],Table4[],2,FALSE)</f>
        <v xml:space="preserve"> Saunad</v>
      </c>
      <c r="D279" s="3" t="str">
        <f>VLOOKUP(Table2[[#This Row],[Tegevusala]],Table4[[Tegevusala kood]:[Tegevusala alanimetus]],4,FALSE)</f>
        <v>Muu elamu- ja kommunaalmajanduse tegevus</v>
      </c>
      <c r="E279" s="3" t="str">
        <f>VLOOKUP(Table2[[#This Row],[Tegevusala nimetus2]],Table4[[Tegevusala nimetus]:[Tegevusala koondnimetus]],2,FALSE)</f>
        <v>Elamu- ja kommunaalmajandus</v>
      </c>
      <c r="F279" s="14" t="s">
        <v>1003</v>
      </c>
      <c r="G279" t="s">
        <v>924</v>
      </c>
      <c r="H279" s="40">
        <v>1700</v>
      </c>
      <c r="J279">
        <v>5511</v>
      </c>
      <c r="K279" s="3" t="str">
        <f>VLOOKUP(Table2[[#This Row],[Konto]],Table5[[Konto]:[Konto nimetus]],2,FALSE)</f>
        <v>Kinnistute, hoonete ja ruumide majandamiskulud</v>
      </c>
      <c r="L279">
        <v>55</v>
      </c>
      <c r="M279" t="str">
        <f t="shared" si="9"/>
        <v>55</v>
      </c>
      <c r="N279" s="3" t="str">
        <f>VLOOKUP(Table2[[#This Row],[Tulu/kulu liik2]],Table5[[Tulu/kulu liik]:[Kontode koondnimetus]],4,FALSE)</f>
        <v>Muud tegevuskulud</v>
      </c>
      <c r="O279" s="3" t="str">
        <f>VLOOKUP(Table2[[#This Row],[Tulu/kulu liik2]],Table5[],6,FALSE)</f>
        <v>Majandamiskulud</v>
      </c>
      <c r="P279" s="3" t="str">
        <f>VLOOKUP(Table2[[#This Row],[Tulu/kulu liik2]],Table5[],5,FALSE)</f>
        <v>Põhitegevuse kulu</v>
      </c>
    </row>
    <row r="280" spans="1:17" hidden="1" x14ac:dyDescent="0.25">
      <c r="A280" t="str">
        <f t="shared" si="8"/>
        <v>06</v>
      </c>
      <c r="B280" t="s">
        <v>260</v>
      </c>
      <c r="C280" s="3" t="str">
        <f>VLOOKUP(Table2[[#This Row],[Tegevusala]],Table4[],2,FALSE)</f>
        <v xml:space="preserve"> Saunad</v>
      </c>
      <c r="D280" s="3" t="str">
        <f>VLOOKUP(Table2[[#This Row],[Tegevusala]],Table4[[Tegevusala kood]:[Tegevusala alanimetus]],4,FALSE)</f>
        <v>Muu elamu- ja kommunaalmajanduse tegevus</v>
      </c>
      <c r="E280" s="3" t="str">
        <f>VLOOKUP(Table2[[#This Row],[Tegevusala nimetus2]],Table4[[Tegevusala nimetus]:[Tegevusala koondnimetus]],2,FALSE)</f>
        <v>Elamu- ja kommunaalmajandus</v>
      </c>
      <c r="F280" s="14" t="s">
        <v>1003</v>
      </c>
      <c r="G280" t="s">
        <v>1002</v>
      </c>
      <c r="H280" s="40">
        <v>4500</v>
      </c>
      <c r="J280">
        <v>5511</v>
      </c>
      <c r="K280" s="3" t="str">
        <f>VLOOKUP(Table2[[#This Row],[Konto]],Table5[[Konto]:[Konto nimetus]],2,FALSE)</f>
        <v>Kinnistute, hoonete ja ruumide majandamiskulud</v>
      </c>
      <c r="L280">
        <v>55</v>
      </c>
      <c r="M280" t="str">
        <f t="shared" si="9"/>
        <v>55</v>
      </c>
      <c r="N280" s="3" t="str">
        <f>VLOOKUP(Table2[[#This Row],[Tulu/kulu liik2]],Table5[[Tulu/kulu liik]:[Kontode koondnimetus]],4,FALSE)</f>
        <v>Muud tegevuskulud</v>
      </c>
      <c r="O280" s="3" t="str">
        <f>VLOOKUP(Table2[[#This Row],[Tulu/kulu liik2]],Table5[],6,FALSE)</f>
        <v>Majandamiskulud</v>
      </c>
      <c r="P280" s="3" t="str">
        <f>VLOOKUP(Table2[[#This Row],[Tulu/kulu liik2]],Table5[],5,FALSE)</f>
        <v>Põhitegevuse kulu</v>
      </c>
    </row>
    <row r="281" spans="1:17" hidden="1" x14ac:dyDescent="0.25">
      <c r="A281" t="str">
        <f t="shared" si="8"/>
        <v>06</v>
      </c>
      <c r="B281" t="s">
        <v>260</v>
      </c>
      <c r="C281" s="3" t="str">
        <f>VLOOKUP(Table2[[#This Row],[Tegevusala]],Table4[],2,FALSE)</f>
        <v xml:space="preserve"> Saunad</v>
      </c>
      <c r="D281" s="3" t="str">
        <f>VLOOKUP(Table2[[#This Row],[Tegevusala]],Table4[[Tegevusala kood]:[Tegevusala alanimetus]],4,FALSE)</f>
        <v>Muu elamu- ja kommunaalmajanduse tegevus</v>
      </c>
      <c r="E281" s="3" t="str">
        <f>VLOOKUP(Table2[[#This Row],[Tegevusala nimetus2]],Table4[[Tegevusala nimetus]:[Tegevusala koondnimetus]],2,FALSE)</f>
        <v>Elamu- ja kommunaalmajandus</v>
      </c>
      <c r="F281" s="14" t="s">
        <v>1003</v>
      </c>
      <c r="G281" t="s">
        <v>980</v>
      </c>
      <c r="H281" s="40">
        <v>600</v>
      </c>
      <c r="J281">
        <v>5511</v>
      </c>
      <c r="K281" s="3" t="str">
        <f>VLOOKUP(Table2[[#This Row],[Konto]],Table5[[Konto]:[Konto nimetus]],2,FALSE)</f>
        <v>Kinnistute, hoonete ja ruumide majandamiskulud</v>
      </c>
      <c r="L281">
        <v>55</v>
      </c>
      <c r="M281" t="str">
        <f t="shared" si="9"/>
        <v>55</v>
      </c>
      <c r="N281" s="3" t="str">
        <f>VLOOKUP(Table2[[#This Row],[Tulu/kulu liik2]],Table5[[Tulu/kulu liik]:[Kontode koondnimetus]],4,FALSE)</f>
        <v>Muud tegevuskulud</v>
      </c>
      <c r="O281" s="3" t="str">
        <f>VLOOKUP(Table2[[#This Row],[Tulu/kulu liik2]],Table5[],6,FALSE)</f>
        <v>Majandamiskulud</v>
      </c>
      <c r="P281" s="3" t="str">
        <f>VLOOKUP(Table2[[#This Row],[Tulu/kulu liik2]],Table5[],5,FALSE)</f>
        <v>Põhitegevuse kulu</v>
      </c>
    </row>
    <row r="282" spans="1:17" hidden="1" x14ac:dyDescent="0.25">
      <c r="A282" t="str">
        <f t="shared" si="8"/>
        <v>06</v>
      </c>
      <c r="B282" t="s">
        <v>260</v>
      </c>
      <c r="C282" s="3" t="str">
        <f>VLOOKUP(Table2[[#This Row],[Tegevusala]],Table4[],2,FALSE)</f>
        <v xml:space="preserve"> Saunad</v>
      </c>
      <c r="D282" s="3" t="str">
        <f>VLOOKUP(Table2[[#This Row],[Tegevusala]],Table4[[Tegevusala kood]:[Tegevusala alanimetus]],4,FALSE)</f>
        <v>Muu elamu- ja kommunaalmajanduse tegevus</v>
      </c>
      <c r="E282" s="3" t="str">
        <f>VLOOKUP(Table2[[#This Row],[Tegevusala nimetus2]],Table4[[Tegevusala nimetus]:[Tegevusala koondnimetus]],2,FALSE)</f>
        <v>Elamu- ja kommunaalmajandus</v>
      </c>
      <c r="F282" s="14" t="s">
        <v>1003</v>
      </c>
      <c r="G282" t="s">
        <v>958</v>
      </c>
      <c r="H282" s="40">
        <v>225</v>
      </c>
      <c r="J282">
        <v>5511</v>
      </c>
      <c r="K282" s="3" t="str">
        <f>VLOOKUP(Table2[[#This Row],[Konto]],Table5[[Konto]:[Konto nimetus]],2,FALSE)</f>
        <v>Kinnistute, hoonete ja ruumide majandamiskulud</v>
      </c>
      <c r="L282">
        <v>55</v>
      </c>
      <c r="M282" t="str">
        <f t="shared" si="9"/>
        <v>55</v>
      </c>
      <c r="N282" s="3" t="str">
        <f>VLOOKUP(Table2[[#This Row],[Tulu/kulu liik2]],Table5[[Tulu/kulu liik]:[Kontode koondnimetus]],4,FALSE)</f>
        <v>Muud tegevuskulud</v>
      </c>
      <c r="O282" s="3" t="str">
        <f>VLOOKUP(Table2[[#This Row],[Tulu/kulu liik2]],Table5[],6,FALSE)</f>
        <v>Majandamiskulud</v>
      </c>
      <c r="P282" s="3" t="str">
        <f>VLOOKUP(Table2[[#This Row],[Tulu/kulu liik2]],Table5[],5,FALSE)</f>
        <v>Põhitegevuse kulu</v>
      </c>
    </row>
    <row r="283" spans="1:17" hidden="1" x14ac:dyDescent="0.25">
      <c r="A283" t="str">
        <f t="shared" si="8"/>
        <v>06</v>
      </c>
      <c r="B283" t="s">
        <v>262</v>
      </c>
      <c r="C283" s="3" t="str">
        <f>VLOOKUP(Table2[[#This Row],[Tegevusala]],Table4[],2,FALSE)</f>
        <v xml:space="preserve"> Kalmistud</v>
      </c>
      <c r="D283" s="3" t="str">
        <f>VLOOKUP(Table2[[#This Row],[Tegevusala]],Table4[[Tegevusala kood]:[Tegevusala alanimetus]],4,FALSE)</f>
        <v>Muu elamu- ja kommunaalmajanduse tegevus</v>
      </c>
      <c r="E283" s="3" t="str">
        <f>VLOOKUP(Table2[[#This Row],[Tegevusala nimetus2]],Table4[[Tegevusala nimetus]:[Tegevusala koondnimetus]],2,FALSE)</f>
        <v>Elamu- ja kommunaalmajandus</v>
      </c>
      <c r="F283" s="14" t="s">
        <v>1003</v>
      </c>
      <c r="G283" t="s">
        <v>1009</v>
      </c>
      <c r="H283" s="40">
        <v>624</v>
      </c>
      <c r="I283" s="2" t="s">
        <v>1010</v>
      </c>
      <c r="J283">
        <v>5511</v>
      </c>
      <c r="K283" s="3" t="str">
        <f>VLOOKUP(Table2[[#This Row],[Konto]],Table5[[Konto]:[Konto nimetus]],2,FALSE)</f>
        <v>Kinnistute, hoonete ja ruumide majandamiskulud</v>
      </c>
      <c r="L283">
        <v>55</v>
      </c>
      <c r="M283" t="str">
        <f t="shared" si="9"/>
        <v>55</v>
      </c>
      <c r="N283" s="3" t="str">
        <f>VLOOKUP(Table2[[#This Row],[Tulu/kulu liik2]],Table5[[Tulu/kulu liik]:[Kontode koondnimetus]],4,FALSE)</f>
        <v>Muud tegevuskulud</v>
      </c>
      <c r="O283" s="3" t="str">
        <f>VLOOKUP(Table2[[#This Row],[Tulu/kulu liik2]],Table5[],6,FALSE)</f>
        <v>Majandamiskulud</v>
      </c>
      <c r="P283" s="3" t="str">
        <f>VLOOKUP(Table2[[#This Row],[Tulu/kulu liik2]],Table5[],5,FALSE)</f>
        <v>Põhitegevuse kulu</v>
      </c>
      <c r="Q283" s="2"/>
    </row>
    <row r="284" spans="1:17" hidden="1" x14ac:dyDescent="0.25">
      <c r="A284" t="str">
        <f t="shared" si="8"/>
        <v>06</v>
      </c>
      <c r="B284" t="s">
        <v>262</v>
      </c>
      <c r="C284" s="3" t="str">
        <f>VLOOKUP(Table2[[#This Row],[Tegevusala]],Table4[],2,FALSE)</f>
        <v xml:space="preserve"> Kalmistud</v>
      </c>
      <c r="D284" s="3" t="str">
        <f>VLOOKUP(Table2[[#This Row],[Tegevusala]],Table4[[Tegevusala kood]:[Tegevusala alanimetus]],4,FALSE)</f>
        <v>Muu elamu- ja kommunaalmajanduse tegevus</v>
      </c>
      <c r="E284" s="3" t="str">
        <f>VLOOKUP(Table2[[#This Row],[Tegevusala nimetus2]],Table4[[Tegevusala nimetus]:[Tegevusala koondnimetus]],2,FALSE)</f>
        <v>Elamu- ja kommunaalmajandus</v>
      </c>
      <c r="F284" s="14" t="s">
        <v>1003</v>
      </c>
      <c r="G284" t="s">
        <v>951</v>
      </c>
      <c r="H284" s="40">
        <v>3000</v>
      </c>
      <c r="J284">
        <v>5511</v>
      </c>
      <c r="K284" s="3" t="str">
        <f>VLOOKUP(Table2[[#This Row],[Konto]],Table5[[Konto]:[Konto nimetus]],2,FALSE)</f>
        <v>Kinnistute, hoonete ja ruumide majandamiskulud</v>
      </c>
      <c r="L284">
        <v>55</v>
      </c>
      <c r="M284" t="str">
        <f t="shared" si="9"/>
        <v>55</v>
      </c>
      <c r="N284" s="3" t="str">
        <f>VLOOKUP(Table2[[#This Row],[Tulu/kulu liik2]],Table5[[Tulu/kulu liik]:[Kontode koondnimetus]],4,FALSE)</f>
        <v>Muud tegevuskulud</v>
      </c>
      <c r="O284" s="3" t="str">
        <f>VLOOKUP(Table2[[#This Row],[Tulu/kulu liik2]],Table5[],6,FALSE)</f>
        <v>Majandamiskulud</v>
      </c>
      <c r="P284" s="3" t="str">
        <f>VLOOKUP(Table2[[#This Row],[Tulu/kulu liik2]],Table5[],5,FALSE)</f>
        <v>Põhitegevuse kulu</v>
      </c>
      <c r="Q284" s="2"/>
    </row>
    <row r="285" spans="1:17" hidden="1" x14ac:dyDescent="0.25">
      <c r="A285" t="str">
        <f t="shared" si="8"/>
        <v>06</v>
      </c>
      <c r="B285" t="s">
        <v>262</v>
      </c>
      <c r="C285" s="3" t="str">
        <f>VLOOKUP(Table2[[#This Row],[Tegevusala]],Table4[],2,FALSE)</f>
        <v xml:space="preserve"> Kalmistud</v>
      </c>
      <c r="D285" s="3" t="str">
        <f>VLOOKUP(Table2[[#This Row],[Tegevusala]],Table4[[Tegevusala kood]:[Tegevusala alanimetus]],4,FALSE)</f>
        <v>Muu elamu- ja kommunaalmajanduse tegevus</v>
      </c>
      <c r="E285" s="3" t="str">
        <f>VLOOKUP(Table2[[#This Row],[Tegevusala nimetus2]],Table4[[Tegevusala nimetus]:[Tegevusala koondnimetus]],2,FALSE)</f>
        <v>Elamu- ja kommunaalmajandus</v>
      </c>
      <c r="F285" s="14" t="s">
        <v>1003</v>
      </c>
      <c r="G285" t="s">
        <v>975</v>
      </c>
      <c r="H285" s="40">
        <v>411</v>
      </c>
      <c r="I285" s="2" t="s">
        <v>1011</v>
      </c>
      <c r="J285">
        <v>5511</v>
      </c>
      <c r="K285" s="3" t="str">
        <f>VLOOKUP(Table2[[#This Row],[Konto]],Table5[[Konto]:[Konto nimetus]],2,FALSE)</f>
        <v>Kinnistute, hoonete ja ruumide majandamiskulud</v>
      </c>
      <c r="L285">
        <v>55</v>
      </c>
      <c r="M285" t="str">
        <f t="shared" si="9"/>
        <v>55</v>
      </c>
      <c r="N285" s="3" t="str">
        <f>VLOOKUP(Table2[[#This Row],[Tulu/kulu liik2]],Table5[[Tulu/kulu liik]:[Kontode koondnimetus]],4,FALSE)</f>
        <v>Muud tegevuskulud</v>
      </c>
      <c r="O285" s="3" t="str">
        <f>VLOOKUP(Table2[[#This Row],[Tulu/kulu liik2]],Table5[],6,FALSE)</f>
        <v>Majandamiskulud</v>
      </c>
      <c r="P285" s="3" t="str">
        <f>VLOOKUP(Table2[[#This Row],[Tulu/kulu liik2]],Table5[],5,FALSE)</f>
        <v>Põhitegevuse kulu</v>
      </c>
      <c r="Q285" s="2"/>
    </row>
    <row r="286" spans="1:17" hidden="1" x14ac:dyDescent="0.25">
      <c r="A286" t="str">
        <f t="shared" si="8"/>
        <v>06</v>
      </c>
      <c r="B286" t="s">
        <v>262</v>
      </c>
      <c r="C286" s="3" t="str">
        <f>VLOOKUP(Table2[[#This Row],[Tegevusala]],Table4[],2,FALSE)</f>
        <v xml:space="preserve"> Kalmistud</v>
      </c>
      <c r="D286" s="3" t="str">
        <f>VLOOKUP(Table2[[#This Row],[Tegevusala]],Table4[[Tegevusala kood]:[Tegevusala alanimetus]],4,FALSE)</f>
        <v>Muu elamu- ja kommunaalmajanduse tegevus</v>
      </c>
      <c r="E286" s="3" t="str">
        <f>VLOOKUP(Table2[[#This Row],[Tegevusala nimetus2]],Table4[[Tegevusala nimetus]:[Tegevusala koondnimetus]],2,FALSE)</f>
        <v>Elamu- ja kommunaalmajandus</v>
      </c>
      <c r="F286" s="14" t="s">
        <v>1003</v>
      </c>
      <c r="G286" t="s">
        <v>1012</v>
      </c>
      <c r="H286" s="40">
        <v>1000</v>
      </c>
      <c r="J286">
        <v>5511</v>
      </c>
      <c r="K286" s="3" t="str">
        <f>VLOOKUP(Table2[[#This Row],[Konto]],Table5[[Konto]:[Konto nimetus]],2,FALSE)</f>
        <v>Kinnistute, hoonete ja ruumide majandamiskulud</v>
      </c>
      <c r="L286">
        <v>55</v>
      </c>
      <c r="M286" t="str">
        <f t="shared" si="9"/>
        <v>55</v>
      </c>
      <c r="N286" s="3" t="str">
        <f>VLOOKUP(Table2[[#This Row],[Tulu/kulu liik2]],Table5[[Tulu/kulu liik]:[Kontode koondnimetus]],4,FALSE)</f>
        <v>Muud tegevuskulud</v>
      </c>
      <c r="O286" s="3" t="str">
        <f>VLOOKUP(Table2[[#This Row],[Tulu/kulu liik2]],Table5[],6,FALSE)</f>
        <v>Majandamiskulud</v>
      </c>
      <c r="P286" s="3" t="str">
        <f>VLOOKUP(Table2[[#This Row],[Tulu/kulu liik2]],Table5[],5,FALSE)</f>
        <v>Põhitegevuse kulu</v>
      </c>
      <c r="Q286" s="2"/>
    </row>
    <row r="287" spans="1:17" hidden="1" x14ac:dyDescent="0.25">
      <c r="A287" t="str">
        <f t="shared" si="8"/>
        <v>06</v>
      </c>
      <c r="B287" t="s">
        <v>262</v>
      </c>
      <c r="C287" s="3" t="str">
        <f>VLOOKUP(Table2[[#This Row],[Tegevusala]],Table4[],2,FALSE)</f>
        <v xml:space="preserve"> Kalmistud</v>
      </c>
      <c r="D287" s="3" t="str">
        <f>VLOOKUP(Table2[[#This Row],[Tegevusala]],Table4[[Tegevusala kood]:[Tegevusala alanimetus]],4,FALSE)</f>
        <v>Muu elamu- ja kommunaalmajanduse tegevus</v>
      </c>
      <c r="E287" s="3" t="str">
        <f>VLOOKUP(Table2[[#This Row],[Tegevusala nimetus2]],Table4[[Tegevusala nimetus]:[Tegevusala koondnimetus]],2,FALSE)</f>
        <v>Elamu- ja kommunaalmajandus</v>
      </c>
      <c r="F287" s="14" t="s">
        <v>1003</v>
      </c>
      <c r="G287" t="s">
        <v>1013</v>
      </c>
      <c r="H287" s="40">
        <v>2400</v>
      </c>
      <c r="J287">
        <v>5511</v>
      </c>
      <c r="K287" s="3" t="str">
        <f>VLOOKUP(Table2[[#This Row],[Konto]],Table5[[Konto]:[Konto nimetus]],2,FALSE)</f>
        <v>Kinnistute, hoonete ja ruumide majandamiskulud</v>
      </c>
      <c r="L287">
        <v>55</v>
      </c>
      <c r="M287" t="str">
        <f t="shared" si="9"/>
        <v>55</v>
      </c>
      <c r="N287" s="3" t="str">
        <f>VLOOKUP(Table2[[#This Row],[Tulu/kulu liik2]],Table5[[Tulu/kulu liik]:[Kontode koondnimetus]],4,FALSE)</f>
        <v>Muud tegevuskulud</v>
      </c>
      <c r="O287" s="3" t="str">
        <f>VLOOKUP(Table2[[#This Row],[Tulu/kulu liik2]],Table5[],6,FALSE)</f>
        <v>Majandamiskulud</v>
      </c>
      <c r="P287" s="3" t="str">
        <f>VLOOKUP(Table2[[#This Row],[Tulu/kulu liik2]],Table5[],5,FALSE)</f>
        <v>Põhitegevuse kulu</v>
      </c>
      <c r="Q287" s="2"/>
    </row>
    <row r="288" spans="1:17" hidden="1" x14ac:dyDescent="0.25">
      <c r="A288" t="str">
        <f t="shared" si="8"/>
        <v>06</v>
      </c>
      <c r="B288" t="s">
        <v>262</v>
      </c>
      <c r="C288" s="3" t="str">
        <f>VLOOKUP(Table2[[#This Row],[Tegevusala]],Table4[],2,FALSE)</f>
        <v xml:space="preserve"> Kalmistud</v>
      </c>
      <c r="D288" s="3" t="str">
        <f>VLOOKUP(Table2[[#This Row],[Tegevusala]],Table4[[Tegevusala kood]:[Tegevusala alanimetus]],4,FALSE)</f>
        <v>Muu elamu- ja kommunaalmajanduse tegevus</v>
      </c>
      <c r="E288" s="3" t="str">
        <f>VLOOKUP(Table2[[#This Row],[Tegevusala nimetus2]],Table4[[Tegevusala nimetus]:[Tegevusala koondnimetus]],2,FALSE)</f>
        <v>Elamu- ja kommunaalmajandus</v>
      </c>
      <c r="F288" s="14" t="s">
        <v>1003</v>
      </c>
      <c r="G288" t="s">
        <v>1014</v>
      </c>
      <c r="H288" s="40">
        <v>2556.48</v>
      </c>
      <c r="J288">
        <v>5511</v>
      </c>
      <c r="K288" s="3" t="str">
        <f>VLOOKUP(Table2[[#This Row],[Konto]],Table5[[Konto]:[Konto nimetus]],2,FALSE)</f>
        <v>Kinnistute, hoonete ja ruumide majandamiskulud</v>
      </c>
      <c r="L288">
        <v>55</v>
      </c>
      <c r="M288" t="str">
        <f t="shared" si="9"/>
        <v>55</v>
      </c>
      <c r="N288" s="3" t="str">
        <f>VLOOKUP(Table2[[#This Row],[Tulu/kulu liik2]],Table5[[Tulu/kulu liik]:[Kontode koondnimetus]],4,FALSE)</f>
        <v>Muud tegevuskulud</v>
      </c>
      <c r="O288" s="3" t="str">
        <f>VLOOKUP(Table2[[#This Row],[Tulu/kulu liik2]],Table5[],6,FALSE)</f>
        <v>Majandamiskulud</v>
      </c>
      <c r="P288" s="3" t="str">
        <f>VLOOKUP(Table2[[#This Row],[Tulu/kulu liik2]],Table5[],5,FALSE)</f>
        <v>Põhitegevuse kulu</v>
      </c>
      <c r="Q288" s="2"/>
    </row>
    <row r="289" spans="1:17" hidden="1" x14ac:dyDescent="0.25">
      <c r="A289" t="str">
        <f t="shared" si="8"/>
        <v>06</v>
      </c>
      <c r="B289" t="s">
        <v>262</v>
      </c>
      <c r="C289" s="3" t="str">
        <f>VLOOKUP(Table2[[#This Row],[Tegevusala]],Table4[],2,FALSE)</f>
        <v xml:space="preserve"> Kalmistud</v>
      </c>
      <c r="D289" s="3" t="str">
        <f>VLOOKUP(Table2[[#This Row],[Tegevusala]],Table4[[Tegevusala kood]:[Tegevusala alanimetus]],4,FALSE)</f>
        <v>Muu elamu- ja kommunaalmajanduse tegevus</v>
      </c>
      <c r="E289" s="3" t="str">
        <f>VLOOKUP(Table2[[#This Row],[Tegevusala nimetus2]],Table4[[Tegevusala nimetus]:[Tegevusala koondnimetus]],2,FALSE)</f>
        <v>Elamu- ja kommunaalmajandus</v>
      </c>
      <c r="F289" s="14" t="s">
        <v>1003</v>
      </c>
      <c r="G289" t="s">
        <v>946</v>
      </c>
      <c r="H289" s="40">
        <v>500</v>
      </c>
      <c r="I289" s="2" t="s">
        <v>1015</v>
      </c>
      <c r="J289">
        <v>5511</v>
      </c>
      <c r="K289" s="3" t="str">
        <f>VLOOKUP(Table2[[#This Row],[Konto]],Table5[[Konto]:[Konto nimetus]],2,FALSE)</f>
        <v>Kinnistute, hoonete ja ruumide majandamiskulud</v>
      </c>
      <c r="L289">
        <v>55</v>
      </c>
      <c r="M289" t="str">
        <f t="shared" si="9"/>
        <v>55</v>
      </c>
      <c r="N289" s="3" t="str">
        <f>VLOOKUP(Table2[[#This Row],[Tulu/kulu liik2]],Table5[[Tulu/kulu liik]:[Kontode koondnimetus]],4,FALSE)</f>
        <v>Muud tegevuskulud</v>
      </c>
      <c r="O289" s="3" t="str">
        <f>VLOOKUP(Table2[[#This Row],[Tulu/kulu liik2]],Table5[],6,FALSE)</f>
        <v>Majandamiskulud</v>
      </c>
      <c r="P289" s="3" t="str">
        <f>VLOOKUP(Table2[[#This Row],[Tulu/kulu liik2]],Table5[],5,FALSE)</f>
        <v>Põhitegevuse kulu</v>
      </c>
      <c r="Q289" s="2"/>
    </row>
    <row r="290" spans="1:17" hidden="1" x14ac:dyDescent="0.25">
      <c r="A290" t="str">
        <f t="shared" si="8"/>
        <v>06</v>
      </c>
      <c r="B290" t="s">
        <v>262</v>
      </c>
      <c r="C290" s="3" t="str">
        <f>VLOOKUP(Table2[[#This Row],[Tegevusala]],Table4[],2,FALSE)</f>
        <v xml:space="preserve"> Kalmistud</v>
      </c>
      <c r="D290" s="3" t="str">
        <f>VLOOKUP(Table2[[#This Row],[Tegevusala]],Table4[[Tegevusala kood]:[Tegevusala alanimetus]],4,FALSE)</f>
        <v>Muu elamu- ja kommunaalmajanduse tegevus</v>
      </c>
      <c r="E290" s="3" t="str">
        <f>VLOOKUP(Table2[[#This Row],[Tegevusala nimetus2]],Table4[[Tegevusala nimetus]:[Tegevusala koondnimetus]],2,FALSE)</f>
        <v>Elamu- ja kommunaalmajandus</v>
      </c>
      <c r="F290" s="14" t="s">
        <v>1003</v>
      </c>
      <c r="G290" t="s">
        <v>1016</v>
      </c>
      <c r="H290" s="40">
        <v>6000</v>
      </c>
      <c r="I290" s="2" t="s">
        <v>1017</v>
      </c>
      <c r="J290">
        <v>5511</v>
      </c>
      <c r="K290" s="3" t="str">
        <f>VLOOKUP(Table2[[#This Row],[Konto]],Table5[[Konto]:[Konto nimetus]],2,FALSE)</f>
        <v>Kinnistute, hoonete ja ruumide majandamiskulud</v>
      </c>
      <c r="L290">
        <v>55</v>
      </c>
      <c r="M290" t="str">
        <f t="shared" si="9"/>
        <v>55</v>
      </c>
      <c r="N290" s="3" t="str">
        <f>VLOOKUP(Table2[[#This Row],[Tulu/kulu liik2]],Table5[[Tulu/kulu liik]:[Kontode koondnimetus]],4,FALSE)</f>
        <v>Muud tegevuskulud</v>
      </c>
      <c r="O290" s="3" t="str">
        <f>VLOOKUP(Table2[[#This Row],[Tulu/kulu liik2]],Table5[],6,FALSE)</f>
        <v>Majandamiskulud</v>
      </c>
      <c r="P290" s="3" t="str">
        <f>VLOOKUP(Table2[[#This Row],[Tulu/kulu liik2]],Table5[],5,FALSE)</f>
        <v>Põhitegevuse kulu</v>
      </c>
      <c r="Q290" s="2"/>
    </row>
    <row r="291" spans="1:17" hidden="1" x14ac:dyDescent="0.25">
      <c r="A291" t="str">
        <f t="shared" si="8"/>
        <v>06</v>
      </c>
      <c r="B291" t="s">
        <v>262</v>
      </c>
      <c r="C291" s="3" t="str">
        <f>VLOOKUP(Table2[[#This Row],[Tegevusala]],Table4[],2,FALSE)</f>
        <v xml:space="preserve"> Kalmistud</v>
      </c>
      <c r="D291" s="3" t="str">
        <f>VLOOKUP(Table2[[#This Row],[Tegevusala]],Table4[[Tegevusala kood]:[Tegevusala alanimetus]],4,FALSE)</f>
        <v>Muu elamu- ja kommunaalmajanduse tegevus</v>
      </c>
      <c r="E291" s="3" t="str">
        <f>VLOOKUP(Table2[[#This Row],[Tegevusala nimetus2]],Table4[[Tegevusala nimetus]:[Tegevusala koondnimetus]],2,FALSE)</f>
        <v>Elamu- ja kommunaalmajandus</v>
      </c>
      <c r="F291" s="14" t="s">
        <v>1003</v>
      </c>
      <c r="G291" t="s">
        <v>1018</v>
      </c>
      <c r="H291" s="40">
        <v>6000</v>
      </c>
      <c r="I291" s="2" t="s">
        <v>1010</v>
      </c>
      <c r="J291">
        <v>5511</v>
      </c>
      <c r="K291" s="3" t="str">
        <f>VLOOKUP(Table2[[#This Row],[Konto]],Table5[[Konto]:[Konto nimetus]],2,FALSE)</f>
        <v>Kinnistute, hoonete ja ruumide majandamiskulud</v>
      </c>
      <c r="L291">
        <v>55</v>
      </c>
      <c r="M291" t="str">
        <f t="shared" si="9"/>
        <v>55</v>
      </c>
      <c r="N291" s="3" t="str">
        <f>VLOOKUP(Table2[[#This Row],[Tulu/kulu liik2]],Table5[[Tulu/kulu liik]:[Kontode koondnimetus]],4,FALSE)</f>
        <v>Muud tegevuskulud</v>
      </c>
      <c r="O291" s="3" t="str">
        <f>VLOOKUP(Table2[[#This Row],[Tulu/kulu liik2]],Table5[],6,FALSE)</f>
        <v>Majandamiskulud</v>
      </c>
      <c r="P291" s="3" t="str">
        <f>VLOOKUP(Table2[[#This Row],[Tulu/kulu liik2]],Table5[],5,FALSE)</f>
        <v>Põhitegevuse kulu</v>
      </c>
      <c r="Q291" s="2"/>
    </row>
    <row r="292" spans="1:17" hidden="1" x14ac:dyDescent="0.25">
      <c r="A292" t="str">
        <f t="shared" si="8"/>
        <v>06</v>
      </c>
      <c r="B292" t="s">
        <v>262</v>
      </c>
      <c r="C292" s="3" t="str">
        <f>VLOOKUP(Table2[[#This Row],[Tegevusala]],Table4[],2,FALSE)</f>
        <v xml:space="preserve"> Kalmistud</v>
      </c>
      <c r="D292" s="3" t="str">
        <f>VLOOKUP(Table2[[#This Row],[Tegevusala]],Table4[[Tegevusala kood]:[Tegevusala alanimetus]],4,FALSE)</f>
        <v>Muu elamu- ja kommunaalmajanduse tegevus</v>
      </c>
      <c r="E292" s="3" t="str">
        <f>VLOOKUP(Table2[[#This Row],[Tegevusala nimetus2]],Table4[[Tegevusala nimetus]:[Tegevusala koondnimetus]],2,FALSE)</f>
        <v>Elamu- ja kommunaalmajandus</v>
      </c>
      <c r="F292" s="14" t="s">
        <v>1003</v>
      </c>
      <c r="G292" t="s">
        <v>1019</v>
      </c>
      <c r="H292" s="40">
        <v>500</v>
      </c>
      <c r="I292" s="2" t="s">
        <v>1020</v>
      </c>
      <c r="J292">
        <v>5511</v>
      </c>
      <c r="K292" s="3" t="str">
        <f>VLOOKUP(Table2[[#This Row],[Konto]],Table5[[Konto]:[Konto nimetus]],2,FALSE)</f>
        <v>Kinnistute, hoonete ja ruumide majandamiskulud</v>
      </c>
      <c r="L292">
        <v>55</v>
      </c>
      <c r="M292" t="str">
        <f t="shared" si="9"/>
        <v>55</v>
      </c>
      <c r="N292" s="3" t="str">
        <f>VLOOKUP(Table2[[#This Row],[Tulu/kulu liik2]],Table5[[Tulu/kulu liik]:[Kontode koondnimetus]],4,FALSE)</f>
        <v>Muud tegevuskulud</v>
      </c>
      <c r="O292" s="3" t="str">
        <f>VLOOKUP(Table2[[#This Row],[Tulu/kulu liik2]],Table5[],6,FALSE)</f>
        <v>Majandamiskulud</v>
      </c>
      <c r="P292" s="3" t="str">
        <f>VLOOKUP(Table2[[#This Row],[Tulu/kulu liik2]],Table5[],5,FALSE)</f>
        <v>Põhitegevuse kulu</v>
      </c>
      <c r="Q292" s="2"/>
    </row>
    <row r="293" spans="1:17" hidden="1" x14ac:dyDescent="0.25">
      <c r="A293" s="77" t="str">
        <f t="shared" si="8"/>
        <v>06</v>
      </c>
      <c r="B293" s="77" t="s">
        <v>262</v>
      </c>
      <c r="C293" s="79" t="str">
        <f>VLOOKUP(Table2[[#This Row],[Tegevusala]],Table4[],2,FALSE)</f>
        <v xml:space="preserve"> Kalmistud</v>
      </c>
      <c r="D293" s="79" t="str">
        <f>VLOOKUP(Table2[[#This Row],[Tegevusala]],Table4[[Tegevusala kood]:[Tegevusala alanimetus]],4,FALSE)</f>
        <v>Muu elamu- ja kommunaalmajanduse tegevus</v>
      </c>
      <c r="E293" s="79" t="str">
        <f>VLOOKUP(Table2[[#This Row],[Tegevusala nimetus2]],Table4[[Tegevusala nimetus]:[Tegevusala koondnimetus]],2,FALSE)</f>
        <v>Elamu- ja kommunaalmajandus</v>
      </c>
      <c r="F293" s="77" t="s">
        <v>1003</v>
      </c>
      <c r="G293" s="77" t="s">
        <v>1004</v>
      </c>
      <c r="H293" s="78">
        <v>2000</v>
      </c>
      <c r="I293" s="80"/>
      <c r="J293" s="77">
        <v>5511</v>
      </c>
      <c r="K293" s="79" t="str">
        <f>VLOOKUP(Table2[[#This Row],[Konto]],Table5[[Konto]:[Konto nimetus]],2,FALSE)</f>
        <v>Kinnistute, hoonete ja ruumide majandamiskulud</v>
      </c>
      <c r="L293" s="77">
        <v>55</v>
      </c>
      <c r="M293" s="77" t="str">
        <f t="shared" si="9"/>
        <v>55</v>
      </c>
      <c r="N293" s="79" t="str">
        <f>VLOOKUP(Table2[[#This Row],[Tulu/kulu liik2]],Table5[[Tulu/kulu liik]:[Kontode koondnimetus]],4,FALSE)</f>
        <v>Muud tegevuskulud</v>
      </c>
      <c r="O293" s="79" t="str">
        <f>VLOOKUP(Table2[[#This Row],[Tulu/kulu liik2]],Table5[],6,FALSE)</f>
        <v>Majandamiskulud</v>
      </c>
      <c r="P293" s="79" t="str">
        <f>VLOOKUP(Table2[[#This Row],[Tulu/kulu liik2]],Table5[],5,FALSE)</f>
        <v>Põhitegevuse kulu</v>
      </c>
      <c r="Q293" s="2"/>
    </row>
    <row r="294" spans="1:17" hidden="1" x14ac:dyDescent="0.25">
      <c r="A294" s="77" t="str">
        <f t="shared" si="8"/>
        <v>06</v>
      </c>
      <c r="B294" s="77" t="s">
        <v>262</v>
      </c>
      <c r="C294" s="79" t="str">
        <f>VLOOKUP(Table2[[#This Row],[Tegevusala]],Table4[],2,FALSE)</f>
        <v xml:space="preserve"> Kalmistud</v>
      </c>
      <c r="D294" s="79" t="str">
        <f>VLOOKUP(Table2[[#This Row],[Tegevusala]],Table4[[Tegevusala kood]:[Tegevusala alanimetus]],4,FALSE)</f>
        <v>Muu elamu- ja kommunaalmajanduse tegevus</v>
      </c>
      <c r="E294" s="79" t="str">
        <f>VLOOKUP(Table2[[#This Row],[Tegevusala nimetus2]],Table4[[Tegevusala nimetus]:[Tegevusala koondnimetus]],2,FALSE)</f>
        <v>Elamu- ja kommunaalmajandus</v>
      </c>
      <c r="F294" s="77" t="s">
        <v>1003</v>
      </c>
      <c r="G294" s="77" t="s">
        <v>1005</v>
      </c>
      <c r="H294" s="78">
        <v>10000</v>
      </c>
      <c r="I294" s="80"/>
      <c r="J294" s="77">
        <v>5512</v>
      </c>
      <c r="K294" s="79" t="str">
        <f>VLOOKUP(Table2[[#This Row],[Konto]],Table5[[Konto]:[Konto nimetus]],2,FALSE)</f>
        <v>Rajatiste majandamiskulud</v>
      </c>
      <c r="L294" s="77">
        <v>55</v>
      </c>
      <c r="M294" s="77" t="str">
        <f t="shared" si="9"/>
        <v>55</v>
      </c>
      <c r="N294" s="79" t="str">
        <f>VLOOKUP(Table2[[#This Row],[Tulu/kulu liik2]],Table5[[Tulu/kulu liik]:[Kontode koondnimetus]],4,FALSE)</f>
        <v>Muud tegevuskulud</v>
      </c>
      <c r="O294" s="79" t="str">
        <f>VLOOKUP(Table2[[#This Row],[Tulu/kulu liik2]],Table5[],6,FALSE)</f>
        <v>Majandamiskulud</v>
      </c>
      <c r="P294" s="79" t="str">
        <f>VLOOKUP(Table2[[#This Row],[Tulu/kulu liik2]],Table5[],5,FALSE)</f>
        <v>Põhitegevuse kulu</v>
      </c>
      <c r="Q294" s="2"/>
    </row>
    <row r="295" spans="1:17" hidden="1" x14ac:dyDescent="0.25">
      <c r="A295" s="33" t="str">
        <f t="shared" si="8"/>
        <v>06</v>
      </c>
      <c r="B295" s="33" t="s">
        <v>264</v>
      </c>
      <c r="C295" s="34" t="str">
        <f>VLOOKUP(Table2[[#This Row],[Tegevusala]],Table4[],2,FALSE)</f>
        <v xml:space="preserve"> Hulkuvad loomad</v>
      </c>
      <c r="D295" s="34" t="str">
        <f>VLOOKUP(Table2[[#This Row],[Tegevusala]],Table4[[Tegevusala kood]:[Tegevusala alanimetus]],4,FALSE)</f>
        <v>Muu elamu- ja kommunaalmajanduse tegevus</v>
      </c>
      <c r="E295" s="34" t="str">
        <f>VLOOKUP(Table2[[#This Row],[Tegevusala nimetus2]],Table4[[Tegevusala nimetus]:[Tegevusala koondnimetus]],2,FALSE)</f>
        <v>Elamu- ja kommunaalmajandus</v>
      </c>
      <c r="F295" s="33" t="s">
        <v>1023</v>
      </c>
      <c r="G295" s="33" t="s">
        <v>1931</v>
      </c>
      <c r="H295" s="47">
        <v>9000</v>
      </c>
      <c r="I295" s="35"/>
      <c r="J295" s="33">
        <v>5511</v>
      </c>
      <c r="K295" s="34" t="str">
        <f>VLOOKUP(Table2[[#This Row],[Konto]],Table5[[Konto]:[Konto nimetus]],2,FALSE)</f>
        <v>Kinnistute, hoonete ja ruumide majandamiskulud</v>
      </c>
      <c r="L295" s="33">
        <v>55</v>
      </c>
      <c r="M295" s="33" t="str">
        <f t="shared" si="9"/>
        <v>55</v>
      </c>
      <c r="N295" s="34" t="str">
        <f>VLOOKUP(Table2[[#This Row],[Tulu/kulu liik2]],Table5[[Tulu/kulu liik]:[Kontode koondnimetus]],4,FALSE)</f>
        <v>Muud tegevuskulud</v>
      </c>
      <c r="O295" s="34" t="str">
        <f>VLOOKUP(Table2[[#This Row],[Tulu/kulu liik2]],Table5[],6,FALSE)</f>
        <v>Majandamiskulud</v>
      </c>
      <c r="P295" s="34" t="str">
        <f>VLOOKUP(Table2[[#This Row],[Tulu/kulu liik2]],Table5[],5,FALSE)</f>
        <v>Põhitegevuse kulu</v>
      </c>
    </row>
    <row r="296" spans="1:17" hidden="1" x14ac:dyDescent="0.25">
      <c r="A296" t="str">
        <f t="shared" si="8"/>
        <v>06</v>
      </c>
      <c r="B296" t="s">
        <v>264</v>
      </c>
      <c r="C296" s="3" t="str">
        <f>VLOOKUP(Table2[[#This Row],[Tegevusala]],Table4[],2,FALSE)</f>
        <v xml:space="preserve"> Hulkuvad loomad</v>
      </c>
      <c r="D296" s="3" t="str">
        <f>VLOOKUP(Table2[[#This Row],[Tegevusala]],Table4[[Tegevusala kood]:[Tegevusala alanimetus]],4,FALSE)</f>
        <v>Muu elamu- ja kommunaalmajanduse tegevus</v>
      </c>
      <c r="E296" s="3" t="str">
        <f>VLOOKUP(Table2[[#This Row],[Tegevusala nimetus2]],Table4[[Tegevusala nimetus]:[Tegevusala koondnimetus]],2,FALSE)</f>
        <v>Elamu- ja kommunaalmajandus</v>
      </c>
      <c r="F296" t="s">
        <v>1023</v>
      </c>
      <c r="G296" t="s">
        <v>1894</v>
      </c>
      <c r="H296" s="40">
        <v>837.6</v>
      </c>
      <c r="J296">
        <v>5511</v>
      </c>
      <c r="K296" s="3" t="str">
        <f>VLOOKUP(Table2[[#This Row],[Konto]],Table5[[Konto]:[Konto nimetus]],2,FALSE)</f>
        <v>Kinnistute, hoonete ja ruumide majandamiskulud</v>
      </c>
      <c r="L296">
        <v>55</v>
      </c>
      <c r="M296" t="str">
        <f t="shared" si="9"/>
        <v>55</v>
      </c>
      <c r="N296" s="3" t="str">
        <f>VLOOKUP(Table2[[#This Row],[Tulu/kulu liik2]],Table5[[Tulu/kulu liik]:[Kontode koondnimetus]],4,FALSE)</f>
        <v>Muud tegevuskulud</v>
      </c>
      <c r="O296" s="3" t="str">
        <f>VLOOKUP(Table2[[#This Row],[Tulu/kulu liik2]],Table5[],6,FALSE)</f>
        <v>Majandamiskulud</v>
      </c>
      <c r="P296" s="3" t="str">
        <f>VLOOKUP(Table2[[#This Row],[Tulu/kulu liik2]],Table5[],5,FALSE)</f>
        <v>Põhitegevuse kulu</v>
      </c>
    </row>
    <row r="297" spans="1:17" hidden="1" x14ac:dyDescent="0.25">
      <c r="A297" t="str">
        <f t="shared" si="8"/>
        <v>06</v>
      </c>
      <c r="B297" t="s">
        <v>264</v>
      </c>
      <c r="C297" s="3" t="str">
        <f>VLOOKUP(Table2[[#This Row],[Tegevusala]],Table4[],2,FALSE)</f>
        <v xml:space="preserve"> Hulkuvad loomad</v>
      </c>
      <c r="D297" s="3" t="str">
        <f>VLOOKUP(Table2[[#This Row],[Tegevusala]],Table4[[Tegevusala kood]:[Tegevusala alanimetus]],4,FALSE)</f>
        <v>Muu elamu- ja kommunaalmajanduse tegevus</v>
      </c>
      <c r="E297" s="3" t="str">
        <f>VLOOKUP(Table2[[#This Row],[Tegevusala nimetus2]],Table4[[Tegevusala nimetus]:[Tegevusala koondnimetus]],2,FALSE)</f>
        <v>Elamu- ja kommunaalmajandus</v>
      </c>
      <c r="F297" t="s">
        <v>1023</v>
      </c>
      <c r="G297" t="s">
        <v>1893</v>
      </c>
      <c r="H297" s="40">
        <f>12*55.2</f>
        <v>662.40000000000009</v>
      </c>
      <c r="J297">
        <v>5514</v>
      </c>
      <c r="K297" s="3" t="str">
        <f>VLOOKUP(Table2[[#This Row],[Konto]],Table5[[Konto]:[Konto nimetus]],2,FALSE)</f>
        <v>Info- ja kommunikatsioonitehnoliigised kulud</v>
      </c>
      <c r="L297">
        <v>55</v>
      </c>
      <c r="M297" t="str">
        <f t="shared" si="9"/>
        <v>55</v>
      </c>
      <c r="N297" s="3" t="str">
        <f>VLOOKUP(Table2[[#This Row],[Tulu/kulu liik2]],Table5[[Tulu/kulu liik]:[Kontode koondnimetus]],4,FALSE)</f>
        <v>Muud tegevuskulud</v>
      </c>
      <c r="O297" s="3" t="str">
        <f>VLOOKUP(Table2[[#This Row],[Tulu/kulu liik2]],Table5[],6,FALSE)</f>
        <v>Majandamiskulud</v>
      </c>
      <c r="P297" s="3" t="str">
        <f>VLOOKUP(Table2[[#This Row],[Tulu/kulu liik2]],Table5[],5,FALSE)</f>
        <v>Põhitegevuse kulu</v>
      </c>
    </row>
    <row r="298" spans="1:17" hidden="1" x14ac:dyDescent="0.25">
      <c r="A298" t="str">
        <f t="shared" si="8"/>
        <v>07</v>
      </c>
      <c r="B298" t="s">
        <v>41</v>
      </c>
      <c r="C298" s="1" t="str">
        <f>VLOOKUP(Table2[[#This Row],[Tegevusala]],Table4[],2,FALSE)</f>
        <v xml:space="preserve"> Muu tervishoid, sh tervishoiu haldamine</v>
      </c>
      <c r="D298" s="1" t="str">
        <f>VLOOKUP(Table2[[#This Row],[Tegevusala]],Table4[[Tegevusala kood]:[Tegevusala alanimetus]],4,FALSE)</f>
        <v>Muu tervishoid, sh tervishoiu haldamine</v>
      </c>
      <c r="E298" s="1" t="str">
        <f>VLOOKUP(Table2[[#This Row],[Tegevusala nimetus2]],Table4[[Tegevusala nimetus]:[Tegevusala koondnimetus]],2,FALSE)</f>
        <v>Tervishoid</v>
      </c>
      <c r="F298" t="s">
        <v>473</v>
      </c>
      <c r="G298" t="s">
        <v>3</v>
      </c>
      <c r="H298" s="40">
        <v>32477</v>
      </c>
      <c r="J298">
        <v>45028</v>
      </c>
      <c r="K298" t="str">
        <f>VLOOKUP(Table2[[#This Row],[Konto]],Table5[[Konto]:[Konto nimetus]],2,FALSE)</f>
        <v>Sihtotstarbelised eraldised põhivara soetamiseks muudele residentidele</v>
      </c>
      <c r="L298">
        <v>4502</v>
      </c>
      <c r="M298" t="str">
        <f t="shared" si="9"/>
        <v>45</v>
      </c>
      <c r="N298" t="str">
        <f>VLOOKUP(Table2[[#This Row],[Tulu/kulu liik2]],Table5[[Tulu/kulu liik]:[Kontode koondnimetus]],4,FALSE)</f>
        <v>Põhivara soetuseks antav sihtfinantseerimine (-)</v>
      </c>
      <c r="O298" t="str">
        <f>VLOOKUP(Table2[[#This Row],[Tulu/kulu liik2]],Table5[],6,FALSE)</f>
        <v>Põhivara soetuseks antav sihtfinantseerimine (-)</v>
      </c>
      <c r="P298" t="str">
        <f>VLOOKUP(Table2[[#This Row],[Tulu/kulu liik2]],Table5[],5,FALSE)</f>
        <v>Investeerimistegevus</v>
      </c>
    </row>
    <row r="299" spans="1:17" hidden="1" x14ac:dyDescent="0.25">
      <c r="A299" t="str">
        <f t="shared" si="8"/>
        <v>07</v>
      </c>
      <c r="B299" t="s">
        <v>41</v>
      </c>
      <c r="C299" s="1" t="str">
        <f>VLOOKUP(Table2[[#This Row],[Tegevusala]],Table4[],2,FALSE)</f>
        <v xml:space="preserve"> Muu tervishoid, sh tervishoiu haldamine</v>
      </c>
      <c r="D299" s="1" t="str">
        <f>VLOOKUP(Table2[[#This Row],[Tegevusala]],Table4[[Tegevusala kood]:[Tegevusala alanimetus]],4,FALSE)</f>
        <v>Muu tervishoid, sh tervishoiu haldamine</v>
      </c>
      <c r="E299" s="1" t="str">
        <f>VLOOKUP(Table2[[#This Row],[Tegevusala nimetus2]],Table4[[Tegevusala nimetus]:[Tegevusala koondnimetus]],2,FALSE)</f>
        <v>Tervishoid</v>
      </c>
      <c r="F299" t="s">
        <v>473</v>
      </c>
      <c r="G299" t="s">
        <v>0</v>
      </c>
      <c r="H299" s="40">
        <v>2500</v>
      </c>
      <c r="J299">
        <v>4528</v>
      </c>
      <c r="K299" t="str">
        <f>VLOOKUP(Table2[[#This Row],[Konto]],Table5[[Konto]:[Konto nimetus]],2,FALSE)</f>
        <v>Liikmemaksud</v>
      </c>
      <c r="L299">
        <v>452</v>
      </c>
      <c r="M299" t="str">
        <f t="shared" si="9"/>
        <v>45</v>
      </c>
      <c r="N299" t="str">
        <f>VLOOKUP(Table2[[#This Row],[Tulu/kulu liik2]],Table5[[Tulu/kulu liik]:[Kontode koondnimetus]],4,FALSE)</f>
        <v>Antavad toetused tegevuskuludeks</v>
      </c>
      <c r="O299" t="str">
        <f>VLOOKUP(Table2[[#This Row],[Tulu/kulu liik2]],Table5[],6,FALSE)</f>
        <v>Mittesihtotstarbelised toetused</v>
      </c>
      <c r="P299" t="str">
        <f>VLOOKUP(Table2[[#This Row],[Tulu/kulu liik2]],Table5[],5,FALSE)</f>
        <v>Põhitegevuse kulu</v>
      </c>
    </row>
    <row r="300" spans="1:17" hidden="1" x14ac:dyDescent="0.25">
      <c r="A300" s="33" t="str">
        <f t="shared" si="8"/>
        <v>07</v>
      </c>
      <c r="B300" s="33" t="s">
        <v>41</v>
      </c>
      <c r="C300" s="34" t="str">
        <f>VLOOKUP(Table2[[#This Row],[Tegevusala]],Table4[],2,FALSE)</f>
        <v xml:space="preserve"> Muu tervishoid, sh tervishoiu haldamine</v>
      </c>
      <c r="D300" s="34" t="str">
        <f>VLOOKUP(Table2[[#This Row],[Tegevusala]],Table4[[Tegevusala kood]:[Tegevusala alanimetus]],4,FALSE)</f>
        <v>Muu tervishoid, sh tervishoiu haldamine</v>
      </c>
      <c r="E300" s="34" t="str">
        <f>VLOOKUP(Table2[[#This Row],[Tegevusala nimetus2]],Table4[[Tegevusala nimetus]:[Tegevusala koondnimetus]],2,FALSE)</f>
        <v>Tervishoid</v>
      </c>
      <c r="F300" s="33" t="s">
        <v>444</v>
      </c>
      <c r="G300" s="33" t="s">
        <v>723</v>
      </c>
      <c r="H300" s="47">
        <v>600</v>
      </c>
      <c r="I300" s="35"/>
      <c r="J300" s="33">
        <v>5515</v>
      </c>
      <c r="K300" s="34" t="str">
        <f>VLOOKUP(Table2[[#This Row],[Konto]],Table5[[Konto]:[Konto nimetus]],2,FALSE)</f>
        <v>Inventari kulud, v.a infotehnoloogia ja kaitseotstarbelised kulud</v>
      </c>
      <c r="L300" s="33">
        <v>55</v>
      </c>
      <c r="M300" s="33" t="str">
        <f t="shared" si="9"/>
        <v>55</v>
      </c>
      <c r="N300" s="34" t="str">
        <f>VLOOKUP(Table2[[#This Row],[Tulu/kulu liik2]],Table5[[Tulu/kulu liik]:[Kontode koondnimetus]],4,FALSE)</f>
        <v>Muud tegevuskulud</v>
      </c>
      <c r="O300" s="34" t="str">
        <f>VLOOKUP(Table2[[#This Row],[Tulu/kulu liik2]],Table5[],6,FALSE)</f>
        <v>Majandamiskulud</v>
      </c>
      <c r="P300" s="34" t="str">
        <f>VLOOKUP(Table2[[#This Row],[Tulu/kulu liik2]],Table5[],5,FALSE)</f>
        <v>Põhitegevuse kulu</v>
      </c>
    </row>
    <row r="301" spans="1:17" hidden="1" x14ac:dyDescent="0.25">
      <c r="A301" s="33" t="str">
        <f t="shared" si="8"/>
        <v>07</v>
      </c>
      <c r="B301" s="33" t="s">
        <v>41</v>
      </c>
      <c r="C301" s="34" t="str">
        <f>VLOOKUP(Table2[[#This Row],[Tegevusala]],Table4[],2,FALSE)</f>
        <v xml:space="preserve"> Muu tervishoid, sh tervishoiu haldamine</v>
      </c>
      <c r="D301" s="34" t="str">
        <f>VLOOKUP(Table2[[#This Row],[Tegevusala]],Table4[[Tegevusala kood]:[Tegevusala alanimetus]],4,FALSE)</f>
        <v>Muu tervishoid, sh tervishoiu haldamine</v>
      </c>
      <c r="E301" s="34" t="str">
        <f>VLOOKUP(Table2[[#This Row],[Tegevusala nimetus2]],Table4[[Tegevusala nimetus]:[Tegevusala koondnimetus]],2,FALSE)</f>
        <v>Tervishoid</v>
      </c>
      <c r="F301" s="33" t="s">
        <v>444</v>
      </c>
      <c r="G301" s="33" t="s">
        <v>721</v>
      </c>
      <c r="H301" s="47">
        <f>12*200</f>
        <v>2400</v>
      </c>
      <c r="I301" s="35"/>
      <c r="J301" s="33">
        <v>5540</v>
      </c>
      <c r="K301" s="34" t="str">
        <f>VLOOKUP(Table2[[#This Row],[Konto]],Table5[[Konto]:[Konto nimetus]],2,FALSE)</f>
        <v>Mitmesugused majanduskulud</v>
      </c>
      <c r="L301" s="33">
        <v>55</v>
      </c>
      <c r="M301" s="33" t="str">
        <f t="shared" si="9"/>
        <v>55</v>
      </c>
      <c r="N301" s="34" t="str">
        <f>VLOOKUP(Table2[[#This Row],[Tulu/kulu liik2]],Table5[[Tulu/kulu liik]:[Kontode koondnimetus]],4,FALSE)</f>
        <v>Muud tegevuskulud</v>
      </c>
      <c r="O301" s="34" t="str">
        <f>VLOOKUP(Table2[[#This Row],[Tulu/kulu liik2]],Table5[],6,FALSE)</f>
        <v>Majandamiskulud</v>
      </c>
      <c r="P301" s="34" t="str">
        <f>VLOOKUP(Table2[[#This Row],[Tulu/kulu liik2]],Table5[],5,FALSE)</f>
        <v>Põhitegevuse kulu</v>
      </c>
    </row>
    <row r="302" spans="1:17" hidden="1" x14ac:dyDescent="0.25">
      <c r="A302" t="str">
        <f t="shared" si="8"/>
        <v>07</v>
      </c>
      <c r="B302" t="s">
        <v>41</v>
      </c>
      <c r="C302" s="3" t="str">
        <f>VLOOKUP(Table2[[#This Row],[Tegevusala]],Table4[],2,FALSE)</f>
        <v xml:space="preserve"> Muu tervishoid, sh tervishoiu haldamine</v>
      </c>
      <c r="D302" s="3" t="str">
        <f>VLOOKUP(Table2[[#This Row],[Tegevusala]],Table4[[Tegevusala kood]:[Tegevusala alanimetus]],4,FALSE)</f>
        <v>Muu tervishoid, sh tervishoiu haldamine</v>
      </c>
      <c r="E302" s="3" t="str">
        <f>VLOOKUP(Table2[[#This Row],[Tegevusala nimetus2]],Table4[[Tegevusala nimetus]:[Tegevusala koondnimetus]],2,FALSE)</f>
        <v>Tervishoid</v>
      </c>
      <c r="F302" t="s">
        <v>444</v>
      </c>
      <c r="G302" t="s">
        <v>722</v>
      </c>
      <c r="H302" s="40">
        <v>5000</v>
      </c>
      <c r="J302">
        <v>5511</v>
      </c>
      <c r="K302" s="3" t="str">
        <f>VLOOKUP(Table2[[#This Row],[Konto]],Table5[[Konto]:[Konto nimetus]],2,FALSE)</f>
        <v>Kinnistute, hoonete ja ruumide majandamiskulud</v>
      </c>
      <c r="L302">
        <v>55</v>
      </c>
      <c r="M302" t="str">
        <f t="shared" si="9"/>
        <v>55</v>
      </c>
      <c r="N302" s="3" t="str">
        <f>VLOOKUP(Table2[[#This Row],[Tulu/kulu liik2]],Table5[[Tulu/kulu liik]:[Kontode koondnimetus]],4,FALSE)</f>
        <v>Muud tegevuskulud</v>
      </c>
      <c r="O302" s="3" t="str">
        <f>VLOOKUP(Table2[[#This Row],[Tulu/kulu liik2]],Table5[],6,FALSE)</f>
        <v>Majandamiskulud</v>
      </c>
      <c r="P302" s="3" t="str">
        <f>VLOOKUP(Table2[[#This Row],[Tulu/kulu liik2]],Table5[],5,FALSE)</f>
        <v>Põhitegevuse kulu</v>
      </c>
    </row>
    <row r="303" spans="1:17" hidden="1" x14ac:dyDescent="0.25">
      <c r="A303" t="str">
        <f t="shared" si="8"/>
        <v>08</v>
      </c>
      <c r="B303" t="s">
        <v>266</v>
      </c>
      <c r="C303" s="3" t="str">
        <f>VLOOKUP(Table2[[#This Row],[Tegevusala]],Table4[],2,FALSE)</f>
        <v xml:space="preserve"> Vinni Spordikompleks</v>
      </c>
      <c r="D303" s="3" t="str">
        <f>VLOOKUP(Table2[[#This Row],[Tegevusala]],Table4[[Tegevusala kood]:[Tegevusala alanimetus]],4,FALSE)</f>
        <v>Sport</v>
      </c>
      <c r="E303" s="3" t="str">
        <f>VLOOKUP(Table2[[#This Row],[Tegevusala nimetus2]],Table4[[Tegevusala nimetus]:[Tegevusala koondnimetus]],2,FALSE)</f>
        <v>Vabaaeg, kultuur ja religioon</v>
      </c>
      <c r="F303" t="s">
        <v>606</v>
      </c>
      <c r="G303" t="s">
        <v>835</v>
      </c>
      <c r="H303" s="40">
        <v>120000</v>
      </c>
      <c r="I303" s="2" t="s">
        <v>2042</v>
      </c>
      <c r="J303">
        <v>45008</v>
      </c>
      <c r="K303" s="3" t="str">
        <f>VLOOKUP(Table2[[#This Row],[Konto]],Table5[[Konto]:[Konto nimetus]],2,FALSE)</f>
        <v>Sihtotstarbelised eraldised muudele residentidele</v>
      </c>
      <c r="L303">
        <v>4500</v>
      </c>
      <c r="M303" t="str">
        <f t="shared" si="9"/>
        <v>45</v>
      </c>
      <c r="N303" s="3" t="str">
        <f>VLOOKUP(Table2[[#This Row],[Tulu/kulu liik2]],Table5[[Tulu/kulu liik]:[Kontode koondnimetus]],4,FALSE)</f>
        <v>Antavad toetused tegevuskuludeks</v>
      </c>
      <c r="O303" s="3" t="str">
        <f>VLOOKUP(Table2[[#This Row],[Tulu/kulu liik2]],Table5[],6,FALSE)</f>
        <v>Sihtotstarbelised toetused tegevuskuludeks</v>
      </c>
      <c r="P303" s="3" t="str">
        <f>VLOOKUP(Table2[[#This Row],[Tulu/kulu liik2]],Table5[],5,FALSE)</f>
        <v>Põhitegevuse kulu</v>
      </c>
    </row>
    <row r="304" spans="1:17" hidden="1" x14ac:dyDescent="0.25">
      <c r="A304" t="str">
        <f t="shared" si="8"/>
        <v>08</v>
      </c>
      <c r="B304" t="s">
        <v>266</v>
      </c>
      <c r="C304" s="3" t="str">
        <f>VLOOKUP(Table2[[#This Row],[Tegevusala]],Table4[],2,FALSE)</f>
        <v xml:space="preserve"> Vinni Spordikompleks</v>
      </c>
      <c r="D304" s="3" t="str">
        <f>VLOOKUP(Table2[[#This Row],[Tegevusala]],Table4[[Tegevusala kood]:[Tegevusala alanimetus]],4,FALSE)</f>
        <v>Sport</v>
      </c>
      <c r="E304" s="3" t="str">
        <f>VLOOKUP(Table2[[#This Row],[Tegevusala nimetus2]],Table4[[Tegevusala nimetus]:[Tegevusala koondnimetus]],2,FALSE)</f>
        <v>Vabaaeg, kultuur ja religioon</v>
      </c>
      <c r="F304" t="s">
        <v>606</v>
      </c>
      <c r="G304" t="s">
        <v>836</v>
      </c>
      <c r="H304" s="40">
        <v>18243.96</v>
      </c>
      <c r="I304" s="2" t="s">
        <v>839</v>
      </c>
      <c r="J304">
        <v>45028</v>
      </c>
      <c r="K304" s="3" t="str">
        <f>VLOOKUP(Table2[[#This Row],[Konto]],Table5[[Konto]:[Konto nimetus]],2,FALSE)</f>
        <v>Sihtotstarbelised eraldised põhivara soetamiseks muudele residentidele</v>
      </c>
      <c r="L304">
        <v>4502</v>
      </c>
      <c r="M304" t="str">
        <f t="shared" si="9"/>
        <v>45</v>
      </c>
      <c r="N304" s="3" t="str">
        <f>VLOOKUP(Table2[[#This Row],[Tulu/kulu liik2]],Table5[[Tulu/kulu liik]:[Kontode koondnimetus]],4,FALSE)</f>
        <v>Põhivara soetuseks antav sihtfinantseerimine (-)</v>
      </c>
      <c r="O304" s="3" t="str">
        <f>VLOOKUP(Table2[[#This Row],[Tulu/kulu liik2]],Table5[],6,FALSE)</f>
        <v>Põhivara soetuseks antav sihtfinantseerimine (-)</v>
      </c>
      <c r="P304" s="3" t="str">
        <f>VLOOKUP(Table2[[#This Row],[Tulu/kulu liik2]],Table5[],5,FALSE)</f>
        <v>Investeerimistegevus</v>
      </c>
    </row>
    <row r="305" spans="1:16" hidden="1" x14ac:dyDescent="0.25">
      <c r="A305" t="str">
        <f t="shared" si="8"/>
        <v>08</v>
      </c>
      <c r="B305" t="s">
        <v>266</v>
      </c>
      <c r="C305" s="3" t="str">
        <f>VLOOKUP(Table2[[#This Row],[Tegevusala]],Table4[],2,FALSE)</f>
        <v xml:space="preserve"> Vinni Spordikompleks</v>
      </c>
      <c r="D305" s="3" t="str">
        <f>VLOOKUP(Table2[[#This Row],[Tegevusala]],Table4[[Tegevusala kood]:[Tegevusala alanimetus]],4,FALSE)</f>
        <v>Sport</v>
      </c>
      <c r="E305" s="3" t="str">
        <f>VLOOKUP(Table2[[#This Row],[Tegevusala nimetus2]],Table4[[Tegevusala nimetus]:[Tegevusala koondnimetus]],2,FALSE)</f>
        <v>Vabaaeg, kultuur ja religioon</v>
      </c>
      <c r="F305" t="s">
        <v>606</v>
      </c>
      <c r="G305" t="s">
        <v>837</v>
      </c>
      <c r="H305" s="40">
        <v>3648.84</v>
      </c>
      <c r="I305" s="2" t="s">
        <v>838</v>
      </c>
      <c r="J305">
        <v>45028</v>
      </c>
      <c r="K305" s="3" t="str">
        <f>VLOOKUP(Table2[[#This Row],[Konto]],Table5[[Konto]:[Konto nimetus]],2,FALSE)</f>
        <v>Sihtotstarbelised eraldised põhivara soetamiseks muudele residentidele</v>
      </c>
      <c r="L305">
        <v>4502</v>
      </c>
      <c r="M305" t="str">
        <f t="shared" si="9"/>
        <v>45</v>
      </c>
      <c r="N305" s="3" t="str">
        <f>VLOOKUP(Table2[[#This Row],[Tulu/kulu liik2]],Table5[[Tulu/kulu liik]:[Kontode koondnimetus]],4,FALSE)</f>
        <v>Põhivara soetuseks antav sihtfinantseerimine (-)</v>
      </c>
      <c r="O305" s="3" t="str">
        <f>VLOOKUP(Table2[[#This Row],[Tulu/kulu liik2]],Table5[],6,FALSE)</f>
        <v>Põhivara soetuseks antav sihtfinantseerimine (-)</v>
      </c>
      <c r="P305" s="3" t="str">
        <f>VLOOKUP(Table2[[#This Row],[Tulu/kulu liik2]],Table5[],5,FALSE)</f>
        <v>Investeerimistegevus</v>
      </c>
    </row>
    <row r="306" spans="1:16" hidden="1" x14ac:dyDescent="0.25">
      <c r="A306" t="str">
        <f t="shared" si="8"/>
        <v>08</v>
      </c>
      <c r="B306" t="s">
        <v>266</v>
      </c>
      <c r="C306" s="3" t="str">
        <f>VLOOKUP(Table2[[#This Row],[Tegevusala]],Table4[],2,FALSE)</f>
        <v xml:space="preserve"> Vinni Spordikompleks</v>
      </c>
      <c r="D306" s="3" t="str">
        <f>VLOOKUP(Table2[[#This Row],[Tegevusala]],Table4[[Tegevusala kood]:[Tegevusala alanimetus]],4,FALSE)</f>
        <v>Sport</v>
      </c>
      <c r="E306" s="3" t="str">
        <f>VLOOKUP(Table2[[#This Row],[Tegevusala nimetus2]],Table4[[Tegevusala nimetus]:[Tegevusala koondnimetus]],2,FALSE)</f>
        <v>Vabaaeg, kultuur ja religioon</v>
      </c>
      <c r="F306" t="s">
        <v>606</v>
      </c>
      <c r="G306" t="s">
        <v>840</v>
      </c>
      <c r="H306" s="40">
        <v>1791.48</v>
      </c>
      <c r="I306" s="2" t="s">
        <v>841</v>
      </c>
      <c r="J306">
        <v>45028</v>
      </c>
      <c r="K306" s="3" t="str">
        <f>VLOOKUP(Table2[[#This Row],[Konto]],Table5[[Konto]:[Konto nimetus]],2,FALSE)</f>
        <v>Sihtotstarbelised eraldised põhivara soetamiseks muudele residentidele</v>
      </c>
      <c r="L306">
        <v>4502</v>
      </c>
      <c r="M306" t="str">
        <f t="shared" si="9"/>
        <v>45</v>
      </c>
      <c r="N306" s="3" t="str">
        <f>VLOOKUP(Table2[[#This Row],[Tulu/kulu liik2]],Table5[[Tulu/kulu liik]:[Kontode koondnimetus]],4,FALSE)</f>
        <v>Põhivara soetuseks antav sihtfinantseerimine (-)</v>
      </c>
      <c r="O306" s="3" t="str">
        <f>VLOOKUP(Table2[[#This Row],[Tulu/kulu liik2]],Table5[],6,FALSE)</f>
        <v>Põhivara soetuseks antav sihtfinantseerimine (-)</v>
      </c>
      <c r="P306" s="3" t="str">
        <f>VLOOKUP(Table2[[#This Row],[Tulu/kulu liik2]],Table5[],5,FALSE)</f>
        <v>Investeerimistegevus</v>
      </c>
    </row>
    <row r="307" spans="1:16" hidden="1" x14ac:dyDescent="0.25">
      <c r="A307" t="str">
        <f t="shared" si="8"/>
        <v>08</v>
      </c>
      <c r="B307" t="s">
        <v>268</v>
      </c>
      <c r="C307" s="3" t="str">
        <f>VLOOKUP(Table2[[#This Row],[Tegevusala]],Table4[],2,FALSE)</f>
        <v xml:space="preserve"> Muuga Spordihoone</v>
      </c>
      <c r="D307" s="3" t="str">
        <f>VLOOKUP(Table2[[#This Row],[Tegevusala]],Table4[[Tegevusala kood]:[Tegevusala alanimetus]],4,FALSE)</f>
        <v>Sport</v>
      </c>
      <c r="E307" s="3" t="str">
        <f>VLOOKUP(Table2[[#This Row],[Tegevusala nimetus2]],Table4[[Tegevusala nimetus]:[Tegevusala koondnimetus]],2,FALSE)</f>
        <v>Vabaaeg, kultuur ja religioon</v>
      </c>
      <c r="F307" t="s">
        <v>487</v>
      </c>
      <c r="G307" t="s">
        <v>382</v>
      </c>
      <c r="H307" s="40">
        <v>100</v>
      </c>
      <c r="J307">
        <v>5500</v>
      </c>
      <c r="K307" s="3" t="str">
        <f>VLOOKUP(Table2[[#This Row],[Konto]],Table5[[Konto]:[Konto nimetus]],2,FALSE)</f>
        <v>Administreerimiskulud</v>
      </c>
      <c r="L307">
        <v>55</v>
      </c>
      <c r="M307" t="str">
        <f t="shared" si="9"/>
        <v>55</v>
      </c>
      <c r="N307" t="str">
        <f>VLOOKUP(Table2[[#This Row],[Tulu/kulu liik2]],Table5[[Tulu/kulu liik]:[Kontode koondnimetus]],4,FALSE)</f>
        <v>Muud tegevuskulud</v>
      </c>
      <c r="O307" t="str">
        <f>VLOOKUP(Table2[[#This Row],[Tulu/kulu liik2]],Table5[],6,FALSE)</f>
        <v>Majandamiskulud</v>
      </c>
      <c r="P307" s="3" t="str">
        <f>VLOOKUP(Table2[[#This Row],[Tulu/kulu liik2]],Table5[],5,FALSE)</f>
        <v>Põhitegevuse kulu</v>
      </c>
    </row>
    <row r="308" spans="1:16" hidden="1" x14ac:dyDescent="0.25">
      <c r="A308" t="str">
        <f t="shared" si="8"/>
        <v>08</v>
      </c>
      <c r="B308" t="s">
        <v>268</v>
      </c>
      <c r="C308" s="3" t="str">
        <f>VLOOKUP(Table2[[#This Row],[Tegevusala]],Table4[],2,FALSE)</f>
        <v xml:space="preserve"> Muuga Spordihoone</v>
      </c>
      <c r="D308" s="3" t="str">
        <f>VLOOKUP(Table2[[#This Row],[Tegevusala]],Table4[[Tegevusala kood]:[Tegevusala alanimetus]],4,FALSE)</f>
        <v>Sport</v>
      </c>
      <c r="E308" s="3" t="str">
        <f>VLOOKUP(Table2[[#This Row],[Tegevusala nimetus2]],Table4[[Tegevusala nimetus]:[Tegevusala koondnimetus]],2,FALSE)</f>
        <v>Vabaaeg, kultuur ja religioon</v>
      </c>
      <c r="F308" t="s">
        <v>487</v>
      </c>
      <c r="G308" t="s">
        <v>486</v>
      </c>
      <c r="H308" s="40">
        <v>400</v>
      </c>
      <c r="J308">
        <v>5500</v>
      </c>
      <c r="K308" s="3" t="str">
        <f>VLOOKUP(Table2[[#This Row],[Konto]],Table5[[Konto]:[Konto nimetus]],2,FALSE)</f>
        <v>Administreerimiskulud</v>
      </c>
      <c r="L308">
        <v>55</v>
      </c>
      <c r="M308" t="str">
        <f t="shared" si="9"/>
        <v>55</v>
      </c>
      <c r="N308" t="str">
        <f>VLOOKUP(Table2[[#This Row],[Tulu/kulu liik2]],Table5[[Tulu/kulu liik]:[Kontode koondnimetus]],4,FALSE)</f>
        <v>Muud tegevuskulud</v>
      </c>
      <c r="O308" t="str">
        <f>VLOOKUP(Table2[[#This Row],[Tulu/kulu liik2]],Table5[],6,FALSE)</f>
        <v>Majandamiskulud</v>
      </c>
      <c r="P308" s="3" t="str">
        <f>VLOOKUP(Table2[[#This Row],[Tulu/kulu liik2]],Table5[],5,FALSE)</f>
        <v>Põhitegevuse kulu</v>
      </c>
    </row>
    <row r="309" spans="1:16" hidden="1" x14ac:dyDescent="0.25">
      <c r="A309" t="str">
        <f t="shared" si="8"/>
        <v>08</v>
      </c>
      <c r="B309" t="s">
        <v>268</v>
      </c>
      <c r="C309" s="3" t="str">
        <f>VLOOKUP(Table2[[#This Row],[Tegevusala]],Table4[],2,FALSE)</f>
        <v xml:space="preserve"> Muuga Spordihoone</v>
      </c>
      <c r="D309" s="3" t="str">
        <f>VLOOKUP(Table2[[#This Row],[Tegevusala]],Table4[[Tegevusala kood]:[Tegevusala alanimetus]],4,FALSE)</f>
        <v>Sport</v>
      </c>
      <c r="E309" s="3" t="str">
        <f>VLOOKUP(Table2[[#This Row],[Tegevusala nimetus2]],Table4[[Tegevusala nimetus]:[Tegevusala koondnimetus]],2,FALSE)</f>
        <v>Vabaaeg, kultuur ja religioon</v>
      </c>
      <c r="F309" t="s">
        <v>487</v>
      </c>
      <c r="G309" t="s">
        <v>497</v>
      </c>
      <c r="H309" s="40">
        <v>720</v>
      </c>
      <c r="J309">
        <v>5513</v>
      </c>
      <c r="K309" s="3" t="str">
        <f>VLOOKUP(Table2[[#This Row],[Konto]],Table5[[Konto]:[Konto nimetus]],2,FALSE)</f>
        <v>Sõidukite ülalpidamise kulud</v>
      </c>
      <c r="L309">
        <v>55</v>
      </c>
      <c r="M309" t="str">
        <f t="shared" si="9"/>
        <v>55</v>
      </c>
      <c r="N309" t="str">
        <f>VLOOKUP(Table2[[#This Row],[Tulu/kulu liik2]],Table5[[Tulu/kulu liik]:[Kontode koondnimetus]],4,FALSE)</f>
        <v>Muud tegevuskulud</v>
      </c>
      <c r="O309" t="str">
        <f>VLOOKUP(Table2[[#This Row],[Tulu/kulu liik2]],Table5[],6,FALSE)</f>
        <v>Majandamiskulud</v>
      </c>
      <c r="P309" s="3" t="str">
        <f>VLOOKUP(Table2[[#This Row],[Tulu/kulu liik2]],Table5[],5,FALSE)</f>
        <v>Põhitegevuse kulu</v>
      </c>
    </row>
    <row r="310" spans="1:16" hidden="1" x14ac:dyDescent="0.25">
      <c r="A310" t="str">
        <f t="shared" si="8"/>
        <v>08</v>
      </c>
      <c r="B310" t="s">
        <v>268</v>
      </c>
      <c r="C310" s="3" t="str">
        <f>VLOOKUP(Table2[[#This Row],[Tegevusala]],Table4[],2,FALSE)</f>
        <v xml:space="preserve"> Muuga Spordihoone</v>
      </c>
      <c r="D310" s="3" t="str">
        <f>VLOOKUP(Table2[[#This Row],[Tegevusala]],Table4[[Tegevusala kood]:[Tegevusala alanimetus]],4,FALSE)</f>
        <v>Sport</v>
      </c>
      <c r="E310" s="3" t="str">
        <f>VLOOKUP(Table2[[#This Row],[Tegevusala nimetus2]],Table4[[Tegevusala nimetus]:[Tegevusala koondnimetus]],2,FALSE)</f>
        <v>Vabaaeg, kultuur ja religioon</v>
      </c>
      <c r="F310" t="s">
        <v>487</v>
      </c>
      <c r="G310" t="s">
        <v>498</v>
      </c>
      <c r="H310" s="40">
        <v>920</v>
      </c>
      <c r="J310">
        <v>5500</v>
      </c>
      <c r="K310" s="3" t="str">
        <f>VLOOKUP(Table2[[#This Row],[Konto]],Table5[[Konto]:[Konto nimetus]],2,FALSE)</f>
        <v>Administreerimiskulud</v>
      </c>
      <c r="L310">
        <v>55</v>
      </c>
      <c r="M310" t="str">
        <f t="shared" si="9"/>
        <v>55</v>
      </c>
      <c r="N310" t="str">
        <f>VLOOKUP(Table2[[#This Row],[Tulu/kulu liik2]],Table5[[Tulu/kulu liik]:[Kontode koondnimetus]],4,FALSE)</f>
        <v>Muud tegevuskulud</v>
      </c>
      <c r="O310" t="str">
        <f>VLOOKUP(Table2[[#This Row],[Tulu/kulu liik2]],Table5[],6,FALSE)</f>
        <v>Majandamiskulud</v>
      </c>
      <c r="P310" s="3" t="str">
        <f>VLOOKUP(Table2[[#This Row],[Tulu/kulu liik2]],Table5[],5,FALSE)</f>
        <v>Põhitegevuse kulu</v>
      </c>
    </row>
    <row r="311" spans="1:16" hidden="1" x14ac:dyDescent="0.25">
      <c r="A311" t="str">
        <f t="shared" si="8"/>
        <v>08</v>
      </c>
      <c r="B311" t="s">
        <v>268</v>
      </c>
      <c r="C311" s="3" t="str">
        <f>VLOOKUP(Table2[[#This Row],[Tegevusala]],Table4[],2,FALSE)</f>
        <v xml:space="preserve"> Muuga Spordihoone</v>
      </c>
      <c r="D311" s="3" t="str">
        <f>VLOOKUP(Table2[[#This Row],[Tegevusala]],Table4[[Tegevusala kood]:[Tegevusala alanimetus]],4,FALSE)</f>
        <v>Sport</v>
      </c>
      <c r="E311" s="3" t="str">
        <f>VLOOKUP(Table2[[#This Row],[Tegevusala nimetus2]],Table4[[Tegevusala nimetus]:[Tegevusala koondnimetus]],2,FALSE)</f>
        <v>Vabaaeg, kultuur ja religioon</v>
      </c>
      <c r="F311" t="s">
        <v>487</v>
      </c>
      <c r="G311" t="s">
        <v>500</v>
      </c>
      <c r="H311" s="40">
        <v>50</v>
      </c>
      <c r="J311">
        <v>5522</v>
      </c>
      <c r="K311" s="3" t="str">
        <f>VLOOKUP(Table2[[#This Row],[Konto]],Table5[[Konto]:[Konto nimetus]],2,FALSE)</f>
        <v>Meditsiinikulud ja hügieenitarbed</v>
      </c>
      <c r="L311">
        <v>55</v>
      </c>
      <c r="M311" t="str">
        <f t="shared" si="9"/>
        <v>55</v>
      </c>
      <c r="N311" t="str">
        <f>VLOOKUP(Table2[[#This Row],[Tulu/kulu liik2]],Table5[[Tulu/kulu liik]:[Kontode koondnimetus]],4,FALSE)</f>
        <v>Muud tegevuskulud</v>
      </c>
      <c r="O311" t="str">
        <f>VLOOKUP(Table2[[#This Row],[Tulu/kulu liik2]],Table5[],6,FALSE)</f>
        <v>Majandamiskulud</v>
      </c>
      <c r="P311" s="3" t="str">
        <f>VLOOKUP(Table2[[#This Row],[Tulu/kulu liik2]],Table5[],5,FALSE)</f>
        <v>Põhitegevuse kulu</v>
      </c>
    </row>
    <row r="312" spans="1:16" hidden="1" x14ac:dyDescent="0.25">
      <c r="A312" t="str">
        <f t="shared" si="8"/>
        <v>08</v>
      </c>
      <c r="B312" t="s">
        <v>268</v>
      </c>
      <c r="C312" s="3" t="str">
        <f>VLOOKUP(Table2[[#This Row],[Tegevusala]],Table4[],2,FALSE)</f>
        <v xml:space="preserve"> Muuga Spordihoone</v>
      </c>
      <c r="D312" s="3" t="str">
        <f>VLOOKUP(Table2[[#This Row],[Tegevusala]],Table4[[Tegevusala kood]:[Tegevusala alanimetus]],4,FALSE)</f>
        <v>Sport</v>
      </c>
      <c r="E312" s="3" t="str">
        <f>VLOOKUP(Table2[[#This Row],[Tegevusala nimetus2]],Table4[[Tegevusala nimetus]:[Tegevusala koondnimetus]],2,FALSE)</f>
        <v>Vabaaeg, kultuur ja religioon</v>
      </c>
      <c r="F312" t="s">
        <v>487</v>
      </c>
      <c r="G312" t="s">
        <v>501</v>
      </c>
      <c r="H312" s="40">
        <v>400</v>
      </c>
      <c r="J312">
        <v>5525</v>
      </c>
      <c r="K312" s="3" t="str">
        <f>VLOOKUP(Table2[[#This Row],[Konto]],Table5[[Konto]:[Konto nimetus]],2,FALSE)</f>
        <v>Kommunikatsiooni-, kultuuri- ja vaba aja sisustamise kulud</v>
      </c>
      <c r="L312">
        <v>55</v>
      </c>
      <c r="M312" t="str">
        <f t="shared" si="9"/>
        <v>55</v>
      </c>
      <c r="N312" t="str">
        <f>VLOOKUP(Table2[[#This Row],[Tulu/kulu liik2]],Table5[[Tulu/kulu liik]:[Kontode koondnimetus]],4,FALSE)</f>
        <v>Muud tegevuskulud</v>
      </c>
      <c r="O312" t="str">
        <f>VLOOKUP(Table2[[#This Row],[Tulu/kulu liik2]],Table5[],6,FALSE)</f>
        <v>Majandamiskulud</v>
      </c>
      <c r="P312" s="3" t="str">
        <f>VLOOKUP(Table2[[#This Row],[Tulu/kulu liik2]],Table5[],5,FALSE)</f>
        <v>Põhitegevuse kulu</v>
      </c>
    </row>
    <row r="313" spans="1:16" hidden="1" x14ac:dyDescent="0.25">
      <c r="A313" t="str">
        <f t="shared" si="8"/>
        <v>08</v>
      </c>
      <c r="B313" t="s">
        <v>268</v>
      </c>
      <c r="C313" s="3" t="str">
        <f>VLOOKUP(Table2[[#This Row],[Tegevusala]],Table4[],2,FALSE)</f>
        <v xml:space="preserve"> Muuga Spordihoone</v>
      </c>
      <c r="D313" s="3" t="str">
        <f>VLOOKUP(Table2[[#This Row],[Tegevusala]],Table4[[Tegevusala kood]:[Tegevusala alanimetus]],4,FALSE)</f>
        <v>Sport</v>
      </c>
      <c r="E313" s="3" t="str">
        <f>VLOOKUP(Table2[[#This Row],[Tegevusala nimetus2]],Table4[[Tegevusala nimetus]:[Tegevusala koondnimetus]],2,FALSE)</f>
        <v>Vabaaeg, kultuur ja religioon</v>
      </c>
      <c r="F313" t="s">
        <v>487</v>
      </c>
      <c r="G313" t="s">
        <v>502</v>
      </c>
      <c r="H313" s="40">
        <v>200</v>
      </c>
      <c r="J313">
        <v>5525</v>
      </c>
      <c r="K313" s="3" t="str">
        <f>VLOOKUP(Table2[[#This Row],[Konto]],Table5[[Konto]:[Konto nimetus]],2,FALSE)</f>
        <v>Kommunikatsiooni-, kultuuri- ja vaba aja sisustamise kulud</v>
      </c>
      <c r="L313">
        <v>55</v>
      </c>
      <c r="M313" t="str">
        <f t="shared" si="9"/>
        <v>55</v>
      </c>
      <c r="N313" t="str">
        <f>VLOOKUP(Table2[[#This Row],[Tulu/kulu liik2]],Table5[[Tulu/kulu liik]:[Kontode koondnimetus]],4,FALSE)</f>
        <v>Muud tegevuskulud</v>
      </c>
      <c r="O313" t="str">
        <f>VLOOKUP(Table2[[#This Row],[Tulu/kulu liik2]],Table5[],6,FALSE)</f>
        <v>Majandamiskulud</v>
      </c>
      <c r="P313" s="3" t="str">
        <f>VLOOKUP(Table2[[#This Row],[Tulu/kulu liik2]],Table5[],5,FALSE)</f>
        <v>Põhitegevuse kulu</v>
      </c>
    </row>
    <row r="314" spans="1:16" hidden="1" x14ac:dyDescent="0.25">
      <c r="A314" t="str">
        <f t="shared" si="8"/>
        <v>08</v>
      </c>
      <c r="B314" t="s">
        <v>268</v>
      </c>
      <c r="C314" s="3" t="str">
        <f>VLOOKUP(Table2[[#This Row],[Tegevusala]],Table4[],2,FALSE)</f>
        <v xml:space="preserve"> Muuga Spordihoone</v>
      </c>
      <c r="D314" s="3" t="str">
        <f>VLOOKUP(Table2[[#This Row],[Tegevusala]],Table4[[Tegevusala kood]:[Tegevusala alanimetus]],4,FALSE)</f>
        <v>Sport</v>
      </c>
      <c r="E314" s="3" t="str">
        <f>VLOOKUP(Table2[[#This Row],[Tegevusala nimetus2]],Table4[[Tegevusala nimetus]:[Tegevusala koondnimetus]],2,FALSE)</f>
        <v>Vabaaeg, kultuur ja religioon</v>
      </c>
      <c r="F314" t="s">
        <v>487</v>
      </c>
      <c r="G314" t="s">
        <v>503</v>
      </c>
      <c r="H314" s="40">
        <v>900</v>
      </c>
      <c r="J314">
        <v>5525</v>
      </c>
      <c r="K314" s="3" t="str">
        <f>VLOOKUP(Table2[[#This Row],[Konto]],Table5[[Konto]:[Konto nimetus]],2,FALSE)</f>
        <v>Kommunikatsiooni-, kultuuri- ja vaba aja sisustamise kulud</v>
      </c>
      <c r="L314">
        <v>55</v>
      </c>
      <c r="M314" t="str">
        <f t="shared" si="9"/>
        <v>55</v>
      </c>
      <c r="N314" t="str">
        <f>VLOOKUP(Table2[[#This Row],[Tulu/kulu liik2]],Table5[[Tulu/kulu liik]:[Kontode koondnimetus]],4,FALSE)</f>
        <v>Muud tegevuskulud</v>
      </c>
      <c r="O314" t="str">
        <f>VLOOKUP(Table2[[#This Row],[Tulu/kulu liik2]],Table5[],6,FALSE)</f>
        <v>Majandamiskulud</v>
      </c>
      <c r="P314" s="3" t="str">
        <f>VLOOKUP(Table2[[#This Row],[Tulu/kulu liik2]],Table5[],5,FALSE)</f>
        <v>Põhitegevuse kulu</v>
      </c>
    </row>
    <row r="315" spans="1:16" hidden="1" x14ac:dyDescent="0.25">
      <c r="A315" t="str">
        <f t="shared" si="8"/>
        <v>08</v>
      </c>
      <c r="B315" t="s">
        <v>268</v>
      </c>
      <c r="C315" s="3" t="str">
        <f>VLOOKUP(Table2[[#This Row],[Tegevusala]],Table4[],2,FALSE)</f>
        <v xml:space="preserve"> Muuga Spordihoone</v>
      </c>
      <c r="D315" s="3" t="str">
        <f>VLOOKUP(Table2[[#This Row],[Tegevusala]],Table4[[Tegevusala kood]:[Tegevusala alanimetus]],4,FALSE)</f>
        <v>Sport</v>
      </c>
      <c r="E315" s="3" t="str">
        <f>VLOOKUP(Table2[[#This Row],[Tegevusala nimetus2]],Table4[[Tegevusala nimetus]:[Tegevusala koondnimetus]],2,FALSE)</f>
        <v>Vabaaeg, kultuur ja religioon</v>
      </c>
      <c r="F315" t="s">
        <v>487</v>
      </c>
      <c r="G315" t="s">
        <v>504</v>
      </c>
      <c r="H315" s="40">
        <v>400</v>
      </c>
      <c r="J315">
        <v>5525</v>
      </c>
      <c r="K315" s="3" t="str">
        <f>VLOOKUP(Table2[[#This Row],[Konto]],Table5[[Konto]:[Konto nimetus]],2,FALSE)</f>
        <v>Kommunikatsiooni-, kultuuri- ja vaba aja sisustamise kulud</v>
      </c>
      <c r="L315">
        <v>55</v>
      </c>
      <c r="M315" t="str">
        <f t="shared" si="9"/>
        <v>55</v>
      </c>
      <c r="N315" t="str">
        <f>VLOOKUP(Table2[[#This Row],[Tulu/kulu liik2]],Table5[[Tulu/kulu liik]:[Kontode koondnimetus]],4,FALSE)</f>
        <v>Muud tegevuskulud</v>
      </c>
      <c r="O315" t="str">
        <f>VLOOKUP(Table2[[#This Row],[Tulu/kulu liik2]],Table5[],6,FALSE)</f>
        <v>Majandamiskulud</v>
      </c>
      <c r="P315" s="3" t="str">
        <f>VLOOKUP(Table2[[#This Row],[Tulu/kulu liik2]],Table5[],5,FALSE)</f>
        <v>Põhitegevuse kulu</v>
      </c>
    </row>
    <row r="316" spans="1:16" hidden="1" x14ac:dyDescent="0.25">
      <c r="A316" t="str">
        <f t="shared" si="8"/>
        <v>08</v>
      </c>
      <c r="B316" t="s">
        <v>268</v>
      </c>
      <c r="C316" s="3" t="str">
        <f>VLOOKUP(Table2[[#This Row],[Tegevusala]],Table4[],2,FALSE)</f>
        <v xml:space="preserve"> Muuga Spordihoone</v>
      </c>
      <c r="D316" s="3" t="str">
        <f>VLOOKUP(Table2[[#This Row],[Tegevusala]],Table4[[Tegevusala kood]:[Tegevusala alanimetus]],4,FALSE)</f>
        <v>Sport</v>
      </c>
      <c r="E316" s="3" t="str">
        <f>VLOOKUP(Table2[[#This Row],[Tegevusala nimetus2]],Table4[[Tegevusala nimetus]:[Tegevusala koondnimetus]],2,FALSE)</f>
        <v>Vabaaeg, kultuur ja religioon</v>
      </c>
      <c r="F316" t="s">
        <v>487</v>
      </c>
      <c r="G316" t="s">
        <v>488</v>
      </c>
      <c r="H316" s="40">
        <v>10000</v>
      </c>
      <c r="J316">
        <v>5511</v>
      </c>
      <c r="K316" s="3" t="str">
        <f>VLOOKUP(Table2[[#This Row],[Konto]],Table5[[Konto]:[Konto nimetus]],2,FALSE)</f>
        <v>Kinnistute, hoonete ja ruumide majandamiskulud</v>
      </c>
      <c r="L316">
        <v>55</v>
      </c>
      <c r="M316" t="str">
        <f t="shared" si="9"/>
        <v>55</v>
      </c>
      <c r="N316" t="str">
        <f>VLOOKUP(Table2[[#This Row],[Tulu/kulu liik2]],Table5[[Tulu/kulu liik]:[Kontode koondnimetus]],4,FALSE)</f>
        <v>Muud tegevuskulud</v>
      </c>
      <c r="O316" t="str">
        <f>VLOOKUP(Table2[[#This Row],[Tulu/kulu liik2]],Table5[],6,FALSE)</f>
        <v>Majandamiskulud</v>
      </c>
      <c r="P316" s="3" t="str">
        <f>VLOOKUP(Table2[[#This Row],[Tulu/kulu liik2]],Table5[],5,FALSE)</f>
        <v>Põhitegevuse kulu</v>
      </c>
    </row>
    <row r="317" spans="1:16" hidden="1" x14ac:dyDescent="0.25">
      <c r="A317" t="str">
        <f t="shared" si="8"/>
        <v>08</v>
      </c>
      <c r="B317" t="s">
        <v>268</v>
      </c>
      <c r="C317" s="3" t="str">
        <f>VLOOKUP(Table2[[#This Row],[Tegevusala]],Table4[],2,FALSE)</f>
        <v xml:space="preserve"> Muuga Spordihoone</v>
      </c>
      <c r="D317" s="3" t="str">
        <f>VLOOKUP(Table2[[#This Row],[Tegevusala]],Table4[[Tegevusala kood]:[Tegevusala alanimetus]],4,FALSE)</f>
        <v>Sport</v>
      </c>
      <c r="E317" s="3" t="str">
        <f>VLOOKUP(Table2[[#This Row],[Tegevusala nimetus2]],Table4[[Tegevusala nimetus]:[Tegevusala koondnimetus]],2,FALSE)</f>
        <v>Vabaaeg, kultuur ja religioon</v>
      </c>
      <c r="F317" t="s">
        <v>487</v>
      </c>
      <c r="G317" t="s">
        <v>489</v>
      </c>
      <c r="H317" s="40">
        <v>460</v>
      </c>
      <c r="J317">
        <v>5511</v>
      </c>
      <c r="K317" s="3" t="str">
        <f>VLOOKUP(Table2[[#This Row],[Konto]],Table5[[Konto]:[Konto nimetus]],2,FALSE)</f>
        <v>Kinnistute, hoonete ja ruumide majandamiskulud</v>
      </c>
      <c r="L317">
        <v>55</v>
      </c>
      <c r="M317" t="str">
        <f t="shared" si="9"/>
        <v>55</v>
      </c>
      <c r="N317" t="str">
        <f>VLOOKUP(Table2[[#This Row],[Tulu/kulu liik2]],Table5[[Tulu/kulu liik]:[Kontode koondnimetus]],4,FALSE)</f>
        <v>Muud tegevuskulud</v>
      </c>
      <c r="O317" t="str">
        <f>VLOOKUP(Table2[[#This Row],[Tulu/kulu liik2]],Table5[],6,FALSE)</f>
        <v>Majandamiskulud</v>
      </c>
      <c r="P317" s="3" t="str">
        <f>VLOOKUP(Table2[[#This Row],[Tulu/kulu liik2]],Table5[],5,FALSE)</f>
        <v>Põhitegevuse kulu</v>
      </c>
    </row>
    <row r="318" spans="1:16" hidden="1" x14ac:dyDescent="0.25">
      <c r="A318" t="str">
        <f t="shared" si="8"/>
        <v>08</v>
      </c>
      <c r="B318" t="s">
        <v>268</v>
      </c>
      <c r="C318" s="3" t="str">
        <f>VLOOKUP(Table2[[#This Row],[Tegevusala]],Table4[],2,FALSE)</f>
        <v xml:space="preserve"> Muuga Spordihoone</v>
      </c>
      <c r="D318" s="3" t="str">
        <f>VLOOKUP(Table2[[#This Row],[Tegevusala]],Table4[[Tegevusala kood]:[Tegevusala alanimetus]],4,FALSE)</f>
        <v>Sport</v>
      </c>
      <c r="E318" s="3" t="str">
        <f>VLOOKUP(Table2[[#This Row],[Tegevusala nimetus2]],Table4[[Tegevusala nimetus]:[Tegevusala koondnimetus]],2,FALSE)</f>
        <v>Vabaaeg, kultuur ja religioon</v>
      </c>
      <c r="F318" t="s">
        <v>487</v>
      </c>
      <c r="G318" t="s">
        <v>490</v>
      </c>
      <c r="H318" s="40">
        <v>700</v>
      </c>
      <c r="J318">
        <v>5511</v>
      </c>
      <c r="K318" s="3" t="str">
        <f>VLOOKUP(Table2[[#This Row],[Konto]],Table5[[Konto]:[Konto nimetus]],2,FALSE)</f>
        <v>Kinnistute, hoonete ja ruumide majandamiskulud</v>
      </c>
      <c r="L318">
        <v>55</v>
      </c>
      <c r="M318" t="str">
        <f t="shared" si="9"/>
        <v>55</v>
      </c>
      <c r="N318" t="str">
        <f>VLOOKUP(Table2[[#This Row],[Tulu/kulu liik2]],Table5[[Tulu/kulu liik]:[Kontode koondnimetus]],4,FALSE)</f>
        <v>Muud tegevuskulud</v>
      </c>
      <c r="O318" t="str">
        <f>VLOOKUP(Table2[[#This Row],[Tulu/kulu liik2]],Table5[],6,FALSE)</f>
        <v>Majandamiskulud</v>
      </c>
      <c r="P318" s="3" t="str">
        <f>VLOOKUP(Table2[[#This Row],[Tulu/kulu liik2]],Table5[],5,FALSE)</f>
        <v>Põhitegevuse kulu</v>
      </c>
    </row>
    <row r="319" spans="1:16" hidden="1" x14ac:dyDescent="0.25">
      <c r="A319" t="str">
        <f t="shared" si="8"/>
        <v>08</v>
      </c>
      <c r="B319" t="s">
        <v>268</v>
      </c>
      <c r="C319" s="3" t="str">
        <f>VLOOKUP(Table2[[#This Row],[Tegevusala]],Table4[],2,FALSE)</f>
        <v xml:space="preserve"> Muuga Spordihoone</v>
      </c>
      <c r="D319" s="3" t="str">
        <f>VLOOKUP(Table2[[#This Row],[Tegevusala]],Table4[[Tegevusala kood]:[Tegevusala alanimetus]],4,FALSE)</f>
        <v>Sport</v>
      </c>
      <c r="E319" s="3" t="str">
        <f>VLOOKUP(Table2[[#This Row],[Tegevusala nimetus2]],Table4[[Tegevusala nimetus]:[Tegevusala koondnimetus]],2,FALSE)</f>
        <v>Vabaaeg, kultuur ja religioon</v>
      </c>
      <c r="F319" t="s">
        <v>487</v>
      </c>
      <c r="G319" t="s">
        <v>491</v>
      </c>
      <c r="H319" s="40">
        <v>210</v>
      </c>
      <c r="J319">
        <v>5511</v>
      </c>
      <c r="K319" s="3" t="str">
        <f>VLOOKUP(Table2[[#This Row],[Konto]],Table5[[Konto]:[Konto nimetus]],2,FALSE)</f>
        <v>Kinnistute, hoonete ja ruumide majandamiskulud</v>
      </c>
      <c r="L319">
        <v>55</v>
      </c>
      <c r="M319" t="str">
        <f t="shared" si="9"/>
        <v>55</v>
      </c>
      <c r="N319" t="str">
        <f>VLOOKUP(Table2[[#This Row],[Tulu/kulu liik2]],Table5[[Tulu/kulu liik]:[Kontode koondnimetus]],4,FALSE)</f>
        <v>Muud tegevuskulud</v>
      </c>
      <c r="O319" t="str">
        <f>VLOOKUP(Table2[[#This Row],[Tulu/kulu liik2]],Table5[],6,FALSE)</f>
        <v>Majandamiskulud</v>
      </c>
      <c r="P319" s="3" t="str">
        <f>VLOOKUP(Table2[[#This Row],[Tulu/kulu liik2]],Table5[],5,FALSE)</f>
        <v>Põhitegevuse kulu</v>
      </c>
    </row>
    <row r="320" spans="1:16" hidden="1" x14ac:dyDescent="0.25">
      <c r="A320" t="str">
        <f t="shared" ref="A320:A382" si="10">LEFT(B320,2)</f>
        <v>08</v>
      </c>
      <c r="B320" t="s">
        <v>268</v>
      </c>
      <c r="C320" s="3" t="str">
        <f>VLOOKUP(Table2[[#This Row],[Tegevusala]],Table4[],2,FALSE)</f>
        <v xml:space="preserve"> Muuga Spordihoone</v>
      </c>
      <c r="D320" s="3" t="str">
        <f>VLOOKUP(Table2[[#This Row],[Tegevusala]],Table4[[Tegevusala kood]:[Tegevusala alanimetus]],4,FALSE)</f>
        <v>Sport</v>
      </c>
      <c r="E320" s="3" t="str">
        <f>VLOOKUP(Table2[[#This Row],[Tegevusala nimetus2]],Table4[[Tegevusala nimetus]:[Tegevusala koondnimetus]],2,FALSE)</f>
        <v>Vabaaeg, kultuur ja religioon</v>
      </c>
      <c r="F320" t="s">
        <v>487</v>
      </c>
      <c r="G320" t="s">
        <v>492</v>
      </c>
      <c r="H320" s="40">
        <v>520</v>
      </c>
      <c r="J320">
        <v>5511</v>
      </c>
      <c r="K320" s="3" t="str">
        <f>VLOOKUP(Table2[[#This Row],[Konto]],Table5[[Konto]:[Konto nimetus]],2,FALSE)</f>
        <v>Kinnistute, hoonete ja ruumide majandamiskulud</v>
      </c>
      <c r="L320">
        <v>55</v>
      </c>
      <c r="M320" t="str">
        <f t="shared" ref="M320:M382" si="11">LEFT(J320,2)</f>
        <v>55</v>
      </c>
      <c r="N320" t="str">
        <f>VLOOKUP(Table2[[#This Row],[Tulu/kulu liik2]],Table5[[Tulu/kulu liik]:[Kontode koondnimetus]],4,FALSE)</f>
        <v>Muud tegevuskulud</v>
      </c>
      <c r="O320" t="str">
        <f>VLOOKUP(Table2[[#This Row],[Tulu/kulu liik2]],Table5[],6,FALSE)</f>
        <v>Majandamiskulud</v>
      </c>
      <c r="P320" s="3" t="str">
        <f>VLOOKUP(Table2[[#This Row],[Tulu/kulu liik2]],Table5[],5,FALSE)</f>
        <v>Põhitegevuse kulu</v>
      </c>
    </row>
    <row r="321" spans="1:16" hidden="1" x14ac:dyDescent="0.25">
      <c r="A321" t="str">
        <f t="shared" si="10"/>
        <v>08</v>
      </c>
      <c r="B321" t="s">
        <v>268</v>
      </c>
      <c r="C321" s="3" t="str">
        <f>VLOOKUP(Table2[[#This Row],[Tegevusala]],Table4[],2,FALSE)</f>
        <v xml:space="preserve"> Muuga Spordihoone</v>
      </c>
      <c r="D321" s="3" t="str">
        <f>VLOOKUP(Table2[[#This Row],[Tegevusala]],Table4[[Tegevusala kood]:[Tegevusala alanimetus]],4,FALSE)</f>
        <v>Sport</v>
      </c>
      <c r="E321" s="3" t="str">
        <f>VLOOKUP(Table2[[#This Row],[Tegevusala nimetus2]],Table4[[Tegevusala nimetus]:[Tegevusala koondnimetus]],2,FALSE)</f>
        <v>Vabaaeg, kultuur ja religioon</v>
      </c>
      <c r="F321" t="s">
        <v>487</v>
      </c>
      <c r="G321" t="s">
        <v>493</v>
      </c>
      <c r="H321" s="40">
        <v>738</v>
      </c>
      <c r="J321">
        <v>5511</v>
      </c>
      <c r="K321" s="3" t="str">
        <f>VLOOKUP(Table2[[#This Row],[Konto]],Table5[[Konto]:[Konto nimetus]],2,FALSE)</f>
        <v>Kinnistute, hoonete ja ruumide majandamiskulud</v>
      </c>
      <c r="L321">
        <v>55</v>
      </c>
      <c r="M321" t="str">
        <f t="shared" si="11"/>
        <v>55</v>
      </c>
      <c r="N321" t="str">
        <f>VLOOKUP(Table2[[#This Row],[Tulu/kulu liik2]],Table5[[Tulu/kulu liik]:[Kontode koondnimetus]],4,FALSE)</f>
        <v>Muud tegevuskulud</v>
      </c>
      <c r="O321" t="str">
        <f>VLOOKUP(Table2[[#This Row],[Tulu/kulu liik2]],Table5[],6,FALSE)</f>
        <v>Majandamiskulud</v>
      </c>
      <c r="P321" s="3" t="str">
        <f>VLOOKUP(Table2[[#This Row],[Tulu/kulu liik2]],Table5[],5,FALSE)</f>
        <v>Põhitegevuse kulu</v>
      </c>
    </row>
    <row r="322" spans="1:16" hidden="1" x14ac:dyDescent="0.25">
      <c r="A322" t="str">
        <f t="shared" si="10"/>
        <v>08</v>
      </c>
      <c r="B322" t="s">
        <v>268</v>
      </c>
      <c r="C322" s="3" t="str">
        <f>VLOOKUP(Table2[[#This Row],[Tegevusala]],Table4[],2,FALSE)</f>
        <v xml:space="preserve"> Muuga Spordihoone</v>
      </c>
      <c r="D322" s="3" t="str">
        <f>VLOOKUP(Table2[[#This Row],[Tegevusala]],Table4[[Tegevusala kood]:[Tegevusala alanimetus]],4,FALSE)</f>
        <v>Sport</v>
      </c>
      <c r="E322" s="3" t="str">
        <f>VLOOKUP(Table2[[#This Row],[Tegevusala nimetus2]],Table4[[Tegevusala nimetus]:[Tegevusala koondnimetus]],2,FALSE)</f>
        <v>Vabaaeg, kultuur ja religioon</v>
      </c>
      <c r="F322" t="s">
        <v>487</v>
      </c>
      <c r="G322" t="s">
        <v>494</v>
      </c>
      <c r="H322" s="40">
        <v>317</v>
      </c>
      <c r="J322">
        <v>5511</v>
      </c>
      <c r="K322" s="3" t="str">
        <f>VLOOKUP(Table2[[#This Row],[Konto]],Table5[[Konto]:[Konto nimetus]],2,FALSE)</f>
        <v>Kinnistute, hoonete ja ruumide majandamiskulud</v>
      </c>
      <c r="L322">
        <v>55</v>
      </c>
      <c r="M322" t="str">
        <f t="shared" si="11"/>
        <v>55</v>
      </c>
      <c r="N322" t="str">
        <f>VLOOKUP(Table2[[#This Row],[Tulu/kulu liik2]],Table5[[Tulu/kulu liik]:[Kontode koondnimetus]],4,FALSE)</f>
        <v>Muud tegevuskulud</v>
      </c>
      <c r="O322" t="str">
        <f>VLOOKUP(Table2[[#This Row],[Tulu/kulu liik2]],Table5[],6,FALSE)</f>
        <v>Majandamiskulud</v>
      </c>
      <c r="P322" s="3" t="str">
        <f>VLOOKUP(Table2[[#This Row],[Tulu/kulu liik2]],Table5[],5,FALSE)</f>
        <v>Põhitegevuse kulu</v>
      </c>
    </row>
    <row r="323" spans="1:16" hidden="1" x14ac:dyDescent="0.25">
      <c r="A323" t="str">
        <f t="shared" si="10"/>
        <v>08</v>
      </c>
      <c r="B323" t="s">
        <v>268</v>
      </c>
      <c r="C323" s="3" t="str">
        <f>VLOOKUP(Table2[[#This Row],[Tegevusala]],Table4[],2,FALSE)</f>
        <v xml:space="preserve"> Muuga Spordihoone</v>
      </c>
      <c r="D323" s="3" t="str">
        <f>VLOOKUP(Table2[[#This Row],[Tegevusala]],Table4[[Tegevusala kood]:[Tegevusala alanimetus]],4,FALSE)</f>
        <v>Sport</v>
      </c>
      <c r="E323" s="3" t="str">
        <f>VLOOKUP(Table2[[#This Row],[Tegevusala nimetus2]],Table4[[Tegevusala nimetus]:[Tegevusala koondnimetus]],2,FALSE)</f>
        <v>Vabaaeg, kultuur ja religioon</v>
      </c>
      <c r="F323" t="s">
        <v>487</v>
      </c>
      <c r="G323" t="s">
        <v>495</v>
      </c>
      <c r="H323" s="40">
        <v>26.4</v>
      </c>
      <c r="J323">
        <v>5511</v>
      </c>
      <c r="K323" s="3" t="str">
        <f>VLOOKUP(Table2[[#This Row],[Konto]],Table5[[Konto]:[Konto nimetus]],2,FALSE)</f>
        <v>Kinnistute, hoonete ja ruumide majandamiskulud</v>
      </c>
      <c r="L323">
        <v>55</v>
      </c>
      <c r="M323" t="str">
        <f t="shared" si="11"/>
        <v>55</v>
      </c>
      <c r="N323" t="str">
        <f>VLOOKUP(Table2[[#This Row],[Tulu/kulu liik2]],Table5[[Tulu/kulu liik]:[Kontode koondnimetus]],4,FALSE)</f>
        <v>Muud tegevuskulud</v>
      </c>
      <c r="O323" t="str">
        <f>VLOOKUP(Table2[[#This Row],[Tulu/kulu liik2]],Table5[],6,FALSE)</f>
        <v>Majandamiskulud</v>
      </c>
      <c r="P323" s="3" t="str">
        <f>VLOOKUP(Table2[[#This Row],[Tulu/kulu liik2]],Table5[],5,FALSE)</f>
        <v>Põhitegevuse kulu</v>
      </c>
    </row>
    <row r="324" spans="1:16" hidden="1" x14ac:dyDescent="0.25">
      <c r="A324" t="str">
        <f t="shared" si="10"/>
        <v>08</v>
      </c>
      <c r="B324" t="s">
        <v>268</v>
      </c>
      <c r="C324" s="3" t="str">
        <f>VLOOKUP(Table2[[#This Row],[Tegevusala]],Table4[],2,FALSE)</f>
        <v xml:space="preserve"> Muuga Spordihoone</v>
      </c>
      <c r="D324" s="3" t="str">
        <f>VLOOKUP(Table2[[#This Row],[Tegevusala]],Table4[[Tegevusala kood]:[Tegevusala alanimetus]],4,FALSE)</f>
        <v>Sport</v>
      </c>
      <c r="E324" s="3" t="str">
        <f>VLOOKUP(Table2[[#This Row],[Tegevusala nimetus2]],Table4[[Tegevusala nimetus]:[Tegevusala koondnimetus]],2,FALSE)</f>
        <v>Vabaaeg, kultuur ja religioon</v>
      </c>
      <c r="F324" t="s">
        <v>487</v>
      </c>
      <c r="G324" t="s">
        <v>496</v>
      </c>
      <c r="H324" s="40">
        <v>150</v>
      </c>
      <c r="J324">
        <v>5511</v>
      </c>
      <c r="K324" s="3" t="str">
        <f>VLOOKUP(Table2[[#This Row],[Konto]],Table5[[Konto]:[Konto nimetus]],2,FALSE)</f>
        <v>Kinnistute, hoonete ja ruumide majandamiskulud</v>
      </c>
      <c r="L324">
        <v>55</v>
      </c>
      <c r="M324" t="str">
        <f t="shared" si="11"/>
        <v>55</v>
      </c>
      <c r="N324" t="str">
        <f>VLOOKUP(Table2[[#This Row],[Tulu/kulu liik2]],Table5[[Tulu/kulu liik]:[Kontode koondnimetus]],4,FALSE)</f>
        <v>Muud tegevuskulud</v>
      </c>
      <c r="O324" t="str">
        <f>VLOOKUP(Table2[[#This Row],[Tulu/kulu liik2]],Table5[],6,FALSE)</f>
        <v>Majandamiskulud</v>
      </c>
      <c r="P324" s="3" t="str">
        <f>VLOOKUP(Table2[[#This Row],[Tulu/kulu liik2]],Table5[],5,FALSE)</f>
        <v>Põhitegevuse kulu</v>
      </c>
    </row>
    <row r="325" spans="1:16" hidden="1" x14ac:dyDescent="0.25">
      <c r="A325" t="str">
        <f t="shared" si="10"/>
        <v>08</v>
      </c>
      <c r="B325" t="s">
        <v>268</v>
      </c>
      <c r="C325" s="3" t="str">
        <f>VLOOKUP(Table2[[#This Row],[Tegevusala]],Table4[],2,FALSE)</f>
        <v xml:space="preserve"> Muuga Spordihoone</v>
      </c>
      <c r="D325" s="3" t="str">
        <f>VLOOKUP(Table2[[#This Row],[Tegevusala]],Table4[[Tegevusala kood]:[Tegevusala alanimetus]],4,FALSE)</f>
        <v>Sport</v>
      </c>
      <c r="E325" s="3" t="str">
        <f>VLOOKUP(Table2[[#This Row],[Tegevusala nimetus2]],Table4[[Tegevusala nimetus]:[Tegevusala koondnimetus]],2,FALSE)</f>
        <v>Vabaaeg, kultuur ja religioon</v>
      </c>
      <c r="F325" t="s">
        <v>487</v>
      </c>
      <c r="G325" t="s">
        <v>499</v>
      </c>
      <c r="H325" s="40">
        <v>300</v>
      </c>
      <c r="J325">
        <v>5514</v>
      </c>
      <c r="K325" s="3" t="str">
        <f>VLOOKUP(Table2[[#This Row],[Konto]],Table5[[Konto]:[Konto nimetus]],2,FALSE)</f>
        <v>Info- ja kommunikatsioonitehnoliigised kulud</v>
      </c>
      <c r="L325">
        <v>55</v>
      </c>
      <c r="M325" t="str">
        <f t="shared" si="11"/>
        <v>55</v>
      </c>
      <c r="N325" t="str">
        <f>VLOOKUP(Table2[[#This Row],[Tulu/kulu liik2]],Table5[[Tulu/kulu liik]:[Kontode koondnimetus]],4,FALSE)</f>
        <v>Muud tegevuskulud</v>
      </c>
      <c r="O325" t="str">
        <f>VLOOKUP(Table2[[#This Row],[Tulu/kulu liik2]],Table5[],6,FALSE)</f>
        <v>Majandamiskulud</v>
      </c>
      <c r="P325" s="3" t="str">
        <f>VLOOKUP(Table2[[#This Row],[Tulu/kulu liik2]],Table5[],5,FALSE)</f>
        <v>Põhitegevuse kulu</v>
      </c>
    </row>
    <row r="326" spans="1:16" hidden="1" x14ac:dyDescent="0.25">
      <c r="A326" t="str">
        <f t="shared" si="10"/>
        <v>08</v>
      </c>
      <c r="B326" t="s">
        <v>270</v>
      </c>
      <c r="C326" s="3" t="str">
        <f>VLOOKUP(Table2[[#This Row],[Tegevusala]],Table4[],2,FALSE)</f>
        <v xml:space="preserve"> Staadion</v>
      </c>
      <c r="D326" s="3" t="str">
        <f>VLOOKUP(Table2[[#This Row],[Tegevusala]],Table4[[Tegevusala kood]:[Tegevusala alanimetus]],4,FALSE)</f>
        <v>Sport</v>
      </c>
      <c r="E326" s="3" t="str">
        <f>VLOOKUP(Table2[[#This Row],[Tegevusala nimetus2]],Table4[[Tegevusala nimetus]:[Tegevusala koondnimetus]],2,FALSE)</f>
        <v>Vabaaeg, kultuur ja religioon</v>
      </c>
      <c r="F326" t="s">
        <v>630</v>
      </c>
      <c r="G326" t="s">
        <v>631</v>
      </c>
      <c r="H326" s="40">
        <v>3000</v>
      </c>
      <c r="J326">
        <v>5511</v>
      </c>
      <c r="K326" s="3" t="str">
        <f>VLOOKUP(Table2[[#This Row],[Konto]],Table5[[Konto]:[Konto nimetus]],2,FALSE)</f>
        <v>Kinnistute, hoonete ja ruumide majandamiskulud</v>
      </c>
      <c r="L326">
        <v>55</v>
      </c>
      <c r="M326" t="str">
        <f t="shared" si="11"/>
        <v>55</v>
      </c>
      <c r="N326" s="3" t="str">
        <f>VLOOKUP(Table2[[#This Row],[Tulu/kulu liik2]],Table5[[Tulu/kulu liik]:[Kontode koondnimetus]],4,FALSE)</f>
        <v>Muud tegevuskulud</v>
      </c>
      <c r="O326" s="3" t="str">
        <f>VLOOKUP(Table2[[#This Row],[Tulu/kulu liik2]],Table5[],6,FALSE)</f>
        <v>Majandamiskulud</v>
      </c>
      <c r="P326" s="3" t="str">
        <f>VLOOKUP(Table2[[#This Row],[Tulu/kulu liik2]],Table5[],5,FALSE)</f>
        <v>Põhitegevuse kulu</v>
      </c>
    </row>
    <row r="327" spans="1:16" hidden="1" x14ac:dyDescent="0.25">
      <c r="A327" t="str">
        <f t="shared" si="10"/>
        <v>08</v>
      </c>
      <c r="B327" t="s">
        <v>270</v>
      </c>
      <c r="C327" s="3" t="str">
        <f>VLOOKUP(Table2[[#This Row],[Tegevusala]],Table4[],2,FALSE)</f>
        <v xml:space="preserve"> Staadion</v>
      </c>
      <c r="D327" s="3" t="str">
        <f>VLOOKUP(Table2[[#This Row],[Tegevusala]],Table4[[Tegevusala kood]:[Tegevusala alanimetus]],4,FALSE)</f>
        <v>Sport</v>
      </c>
      <c r="E327" s="3" t="str">
        <f>VLOOKUP(Table2[[#This Row],[Tegevusala nimetus2]],Table4[[Tegevusala nimetus]:[Tegevusala koondnimetus]],2,FALSE)</f>
        <v>Vabaaeg, kultuur ja religioon</v>
      </c>
      <c r="F327" t="s">
        <v>630</v>
      </c>
      <c r="G327" t="s">
        <v>632</v>
      </c>
      <c r="H327" s="40">
        <v>1500</v>
      </c>
      <c r="J327">
        <v>5511</v>
      </c>
      <c r="K327" s="3" t="str">
        <f>VLOOKUP(Table2[[#This Row],[Konto]],Table5[[Konto]:[Konto nimetus]],2,FALSE)</f>
        <v>Kinnistute, hoonete ja ruumide majandamiskulud</v>
      </c>
      <c r="L327">
        <v>55</v>
      </c>
      <c r="M327" t="str">
        <f t="shared" si="11"/>
        <v>55</v>
      </c>
      <c r="N327" s="3" t="str">
        <f>VLOOKUP(Table2[[#This Row],[Tulu/kulu liik2]],Table5[[Tulu/kulu liik]:[Kontode koondnimetus]],4,FALSE)</f>
        <v>Muud tegevuskulud</v>
      </c>
      <c r="O327" s="3" t="str">
        <f>VLOOKUP(Table2[[#This Row],[Tulu/kulu liik2]],Table5[],6,FALSE)</f>
        <v>Majandamiskulud</v>
      </c>
      <c r="P327" s="3" t="str">
        <f>VLOOKUP(Table2[[#This Row],[Tulu/kulu liik2]],Table5[],5,FALSE)</f>
        <v>Põhitegevuse kulu</v>
      </c>
    </row>
    <row r="328" spans="1:16" hidden="1" x14ac:dyDescent="0.25">
      <c r="A328" t="str">
        <f t="shared" si="10"/>
        <v>08</v>
      </c>
      <c r="B328" t="s">
        <v>270</v>
      </c>
      <c r="C328" s="3" t="str">
        <f>VLOOKUP(Table2[[#This Row],[Tegevusala]],Table4[],2,FALSE)</f>
        <v xml:space="preserve"> Staadion</v>
      </c>
      <c r="D328" s="3" t="str">
        <f>VLOOKUP(Table2[[#This Row],[Tegevusala]],Table4[[Tegevusala kood]:[Tegevusala alanimetus]],4,FALSE)</f>
        <v>Sport</v>
      </c>
      <c r="E328" s="3" t="str">
        <f>VLOOKUP(Table2[[#This Row],[Tegevusala nimetus2]],Table4[[Tegevusala nimetus]:[Tegevusala koondnimetus]],2,FALSE)</f>
        <v>Vabaaeg, kultuur ja religioon</v>
      </c>
      <c r="F328" t="s">
        <v>630</v>
      </c>
      <c r="G328" t="s">
        <v>198</v>
      </c>
      <c r="H328" s="40">
        <v>300</v>
      </c>
      <c r="J328">
        <v>5511</v>
      </c>
      <c r="K328" s="3" t="str">
        <f>VLOOKUP(Table2[[#This Row],[Konto]],Table5[[Konto]:[Konto nimetus]],2,FALSE)</f>
        <v>Kinnistute, hoonete ja ruumide majandamiskulud</v>
      </c>
      <c r="L328">
        <v>55</v>
      </c>
      <c r="M328" t="str">
        <f t="shared" si="11"/>
        <v>55</v>
      </c>
      <c r="N328" s="3" t="str">
        <f>VLOOKUP(Table2[[#This Row],[Tulu/kulu liik2]],Table5[[Tulu/kulu liik]:[Kontode koondnimetus]],4,FALSE)</f>
        <v>Muud tegevuskulud</v>
      </c>
      <c r="O328" s="3" t="str">
        <f>VLOOKUP(Table2[[#This Row],[Tulu/kulu liik2]],Table5[],6,FALSE)</f>
        <v>Majandamiskulud</v>
      </c>
      <c r="P328" s="3" t="str">
        <f>VLOOKUP(Table2[[#This Row],[Tulu/kulu liik2]],Table5[],5,FALSE)</f>
        <v>Põhitegevuse kulu</v>
      </c>
    </row>
    <row r="329" spans="1:16" hidden="1" x14ac:dyDescent="0.25">
      <c r="A329" t="str">
        <f t="shared" si="10"/>
        <v>08</v>
      </c>
      <c r="B329" t="s">
        <v>270</v>
      </c>
      <c r="C329" s="3" t="str">
        <f>VLOOKUP(Table2[[#This Row],[Tegevusala]],Table4[],2,FALSE)</f>
        <v xml:space="preserve"> Staadion</v>
      </c>
      <c r="D329" s="3" t="str">
        <f>VLOOKUP(Table2[[#This Row],[Tegevusala]],Table4[[Tegevusala kood]:[Tegevusala alanimetus]],4,FALSE)</f>
        <v>Sport</v>
      </c>
      <c r="E329" s="3" t="str">
        <f>VLOOKUP(Table2[[#This Row],[Tegevusala nimetus2]],Table4[[Tegevusala nimetus]:[Tegevusala koondnimetus]],2,FALSE)</f>
        <v>Vabaaeg, kultuur ja religioon</v>
      </c>
      <c r="F329" t="s">
        <v>630</v>
      </c>
      <c r="G329" t="s">
        <v>633</v>
      </c>
      <c r="H329" s="40">
        <v>785</v>
      </c>
      <c r="J329">
        <v>5511</v>
      </c>
      <c r="K329" s="3" t="str">
        <f>VLOOKUP(Table2[[#This Row],[Konto]],Table5[[Konto]:[Konto nimetus]],2,FALSE)</f>
        <v>Kinnistute, hoonete ja ruumide majandamiskulud</v>
      </c>
      <c r="L329">
        <v>55</v>
      </c>
      <c r="M329" t="str">
        <f t="shared" si="11"/>
        <v>55</v>
      </c>
      <c r="N329" s="3" t="str">
        <f>VLOOKUP(Table2[[#This Row],[Tulu/kulu liik2]],Table5[[Tulu/kulu liik]:[Kontode koondnimetus]],4,FALSE)</f>
        <v>Muud tegevuskulud</v>
      </c>
      <c r="O329" s="3" t="str">
        <f>VLOOKUP(Table2[[#This Row],[Tulu/kulu liik2]],Table5[],6,FALSE)</f>
        <v>Majandamiskulud</v>
      </c>
      <c r="P329" s="3" t="str">
        <f>VLOOKUP(Table2[[#This Row],[Tulu/kulu liik2]],Table5[],5,FALSE)</f>
        <v>Põhitegevuse kulu</v>
      </c>
    </row>
    <row r="330" spans="1:16" hidden="1" x14ac:dyDescent="0.25">
      <c r="A330" t="str">
        <f t="shared" si="10"/>
        <v>08</v>
      </c>
      <c r="B330" t="s">
        <v>270</v>
      </c>
      <c r="C330" s="3" t="str">
        <f>VLOOKUP(Table2[[#This Row],[Tegevusala]],Table4[],2,FALSE)</f>
        <v xml:space="preserve"> Staadion</v>
      </c>
      <c r="D330" s="3" t="str">
        <f>VLOOKUP(Table2[[#This Row],[Tegevusala]],Table4[[Tegevusala kood]:[Tegevusala alanimetus]],4,FALSE)</f>
        <v>Sport</v>
      </c>
      <c r="E330" s="3" t="str">
        <f>VLOOKUP(Table2[[#This Row],[Tegevusala nimetus2]],Table4[[Tegevusala nimetus]:[Tegevusala koondnimetus]],2,FALSE)</f>
        <v>Vabaaeg, kultuur ja religioon</v>
      </c>
      <c r="F330" t="s">
        <v>630</v>
      </c>
      <c r="G330" t="s">
        <v>634</v>
      </c>
      <c r="H330" s="40">
        <v>15</v>
      </c>
      <c r="J330">
        <v>5511</v>
      </c>
      <c r="K330" s="3" t="str">
        <f>VLOOKUP(Table2[[#This Row],[Konto]],Table5[[Konto]:[Konto nimetus]],2,FALSE)</f>
        <v>Kinnistute, hoonete ja ruumide majandamiskulud</v>
      </c>
      <c r="L330">
        <v>55</v>
      </c>
      <c r="M330" t="str">
        <f t="shared" si="11"/>
        <v>55</v>
      </c>
      <c r="N330" s="3" t="str">
        <f>VLOOKUP(Table2[[#This Row],[Tulu/kulu liik2]],Table5[[Tulu/kulu liik]:[Kontode koondnimetus]],4,FALSE)</f>
        <v>Muud tegevuskulud</v>
      </c>
      <c r="O330" s="3" t="str">
        <f>VLOOKUP(Table2[[#This Row],[Tulu/kulu liik2]],Table5[],6,FALSE)</f>
        <v>Majandamiskulud</v>
      </c>
      <c r="P330" s="3" t="str">
        <f>VLOOKUP(Table2[[#This Row],[Tulu/kulu liik2]],Table5[],5,FALSE)</f>
        <v>Põhitegevuse kulu</v>
      </c>
    </row>
    <row r="331" spans="1:16" hidden="1" x14ac:dyDescent="0.25">
      <c r="A331" t="str">
        <f t="shared" si="10"/>
        <v>08</v>
      </c>
      <c r="B331" t="s">
        <v>272</v>
      </c>
      <c r="C331" s="3" t="str">
        <f>VLOOKUP(Table2[[#This Row],[Tegevusala]],Table4[],2,FALSE)</f>
        <v xml:space="preserve"> Toetused sportlastele</v>
      </c>
      <c r="D331" s="3" t="str">
        <f>VLOOKUP(Table2[[#This Row],[Tegevusala]],Table4[[Tegevusala kood]:[Tegevusala alanimetus]],4,FALSE)</f>
        <v>Sport</v>
      </c>
      <c r="E331" s="3" t="str">
        <f>VLOOKUP(Table2[[#This Row],[Tegevusala nimetus2]],Table4[[Tegevusala nimetus]:[Tegevusala koondnimetus]],2,FALSE)</f>
        <v>Vabaaeg, kultuur ja religioon</v>
      </c>
      <c r="F331" t="s">
        <v>752</v>
      </c>
      <c r="G331" t="s">
        <v>2011</v>
      </c>
      <c r="H331" s="40">
        <v>8000</v>
      </c>
      <c r="J331">
        <v>4500</v>
      </c>
      <c r="K331" s="3" t="str">
        <f>VLOOKUP(Table2[[#This Row],[Konto]],Table5[[Konto]:[Konto nimetus]],2,FALSE)</f>
        <v>Sihtotstarbelised eraldised jooksvateks kuludeks</v>
      </c>
      <c r="L331">
        <v>4500</v>
      </c>
      <c r="M331" t="str">
        <f t="shared" si="11"/>
        <v>45</v>
      </c>
      <c r="N331" s="3" t="str">
        <f>VLOOKUP(Table2[[#This Row],[Tulu/kulu liik2]],Table5[[Tulu/kulu liik]:[Kontode koondnimetus]],4,FALSE)</f>
        <v>Antavad toetused tegevuskuludeks</v>
      </c>
      <c r="O331" s="3" t="str">
        <f>VLOOKUP(Table2[[#This Row],[Tulu/kulu liik2]],Table5[],6,FALSE)</f>
        <v>Sihtotstarbelised toetused tegevuskuludeks</v>
      </c>
      <c r="P331" s="3" t="str">
        <f>VLOOKUP(Table2[[#This Row],[Tulu/kulu liik2]],Table5[],5,FALSE)</f>
        <v>Põhitegevuse kulu</v>
      </c>
    </row>
    <row r="332" spans="1:16" hidden="1" x14ac:dyDescent="0.25">
      <c r="A332" t="str">
        <f t="shared" si="10"/>
        <v>08</v>
      </c>
      <c r="B332" t="s">
        <v>273</v>
      </c>
      <c r="C332" s="3" t="str">
        <f>VLOOKUP(Table2[[#This Row],[Tegevusala]],Table4[],2,FALSE)</f>
        <v xml:space="preserve"> Üritused</v>
      </c>
      <c r="D332" s="3" t="str">
        <f>VLOOKUP(Table2[[#This Row],[Tegevusala]],Table4[[Tegevusala kood]:[Tegevusala alanimetus]],4,FALSE)</f>
        <v>Sport</v>
      </c>
      <c r="E332" s="3" t="str">
        <f>VLOOKUP(Table2[[#This Row],[Tegevusala nimetus2]],Table4[[Tegevusala nimetus]:[Tegevusala koondnimetus]],2,FALSE)</f>
        <v>Vabaaeg, kultuur ja religioon</v>
      </c>
      <c r="F332" t="s">
        <v>752</v>
      </c>
      <c r="G332" t="s">
        <v>766</v>
      </c>
      <c r="H332" s="40">
        <v>800</v>
      </c>
      <c r="J332">
        <v>5540</v>
      </c>
      <c r="K332" s="3" t="str">
        <f>VLOOKUP(Table2[[#This Row],[Konto]],Table5[[Konto]:[Konto nimetus]],2,FALSE)</f>
        <v>Mitmesugused majanduskulud</v>
      </c>
      <c r="L332">
        <v>55</v>
      </c>
      <c r="M332" t="str">
        <f t="shared" si="11"/>
        <v>55</v>
      </c>
      <c r="N332" s="3" t="str">
        <f>VLOOKUP(Table2[[#This Row],[Tulu/kulu liik2]],Table5[[Tulu/kulu liik]:[Kontode koondnimetus]],4,FALSE)</f>
        <v>Muud tegevuskulud</v>
      </c>
      <c r="O332" s="3" t="str">
        <f>VLOOKUP(Table2[[#This Row],[Tulu/kulu liik2]],Table5[],6,FALSE)</f>
        <v>Majandamiskulud</v>
      </c>
      <c r="P332" s="3" t="str">
        <f>VLOOKUP(Table2[[#This Row],[Tulu/kulu liik2]],Table5[],5,FALSE)</f>
        <v>Põhitegevuse kulu</v>
      </c>
    </row>
    <row r="333" spans="1:16" hidden="1" x14ac:dyDescent="0.25">
      <c r="A333" t="str">
        <f t="shared" si="10"/>
        <v>08</v>
      </c>
      <c r="B333" t="s">
        <v>273</v>
      </c>
      <c r="C333" s="3" t="str">
        <f>VLOOKUP(Table2[[#This Row],[Tegevusala]],Table4[],2,FALSE)</f>
        <v xml:space="preserve"> Üritused</v>
      </c>
      <c r="D333" s="3" t="str">
        <f>VLOOKUP(Table2[[#This Row],[Tegevusala]],Table4[[Tegevusala kood]:[Tegevusala alanimetus]],4,FALSE)</f>
        <v>Sport</v>
      </c>
      <c r="E333" s="3" t="str">
        <f>VLOOKUP(Table2[[#This Row],[Tegevusala nimetus2]],Table4[[Tegevusala nimetus]:[Tegevusala koondnimetus]],2,FALSE)</f>
        <v>Vabaaeg, kultuur ja religioon</v>
      </c>
      <c r="F333" t="s">
        <v>752</v>
      </c>
      <c r="G333" t="s">
        <v>767</v>
      </c>
      <c r="H333" s="40">
        <v>1000</v>
      </c>
      <c r="J333">
        <v>5540</v>
      </c>
      <c r="K333" s="3" t="str">
        <f>VLOOKUP(Table2[[#This Row],[Konto]],Table5[[Konto]:[Konto nimetus]],2,FALSE)</f>
        <v>Mitmesugused majanduskulud</v>
      </c>
      <c r="L333">
        <v>55</v>
      </c>
      <c r="M333" t="str">
        <f t="shared" si="11"/>
        <v>55</v>
      </c>
      <c r="N333" s="3" t="str">
        <f>VLOOKUP(Table2[[#This Row],[Tulu/kulu liik2]],Table5[[Tulu/kulu liik]:[Kontode koondnimetus]],4,FALSE)</f>
        <v>Muud tegevuskulud</v>
      </c>
      <c r="O333" s="3" t="str">
        <f>VLOOKUP(Table2[[#This Row],[Tulu/kulu liik2]],Table5[],6,FALSE)</f>
        <v>Majandamiskulud</v>
      </c>
      <c r="P333" s="3" t="str">
        <f>VLOOKUP(Table2[[#This Row],[Tulu/kulu liik2]],Table5[],5,FALSE)</f>
        <v>Põhitegevuse kulu</v>
      </c>
    </row>
    <row r="334" spans="1:16" hidden="1" x14ac:dyDescent="0.25">
      <c r="A334" t="str">
        <f t="shared" si="10"/>
        <v>08</v>
      </c>
      <c r="B334" t="s">
        <v>273</v>
      </c>
      <c r="C334" s="3" t="str">
        <f>VLOOKUP(Table2[[#This Row],[Tegevusala]],Table4[],2,FALSE)</f>
        <v xml:space="preserve"> Üritused</v>
      </c>
      <c r="D334" s="3" t="str">
        <f>VLOOKUP(Table2[[#This Row],[Tegevusala]],Table4[[Tegevusala kood]:[Tegevusala alanimetus]],4,FALSE)</f>
        <v>Sport</v>
      </c>
      <c r="E334" s="3" t="str">
        <f>VLOOKUP(Table2[[#This Row],[Tegevusala nimetus2]],Table4[[Tegevusala nimetus]:[Tegevusala koondnimetus]],2,FALSE)</f>
        <v>Vabaaeg, kultuur ja religioon</v>
      </c>
      <c r="F334" t="s">
        <v>752</v>
      </c>
      <c r="G334" t="s">
        <v>769</v>
      </c>
      <c r="H334" s="40">
        <v>4000</v>
      </c>
      <c r="J334">
        <v>5540</v>
      </c>
      <c r="K334" s="3" t="str">
        <f>VLOOKUP(Table2[[#This Row],[Konto]],Table5[[Konto]:[Konto nimetus]],2,FALSE)</f>
        <v>Mitmesugused majanduskulud</v>
      </c>
      <c r="L334">
        <v>55</v>
      </c>
      <c r="M334" t="str">
        <f t="shared" si="11"/>
        <v>55</v>
      </c>
      <c r="N334" s="3" t="str">
        <f>VLOOKUP(Table2[[#This Row],[Tulu/kulu liik2]],Table5[[Tulu/kulu liik]:[Kontode koondnimetus]],4,FALSE)</f>
        <v>Muud tegevuskulud</v>
      </c>
      <c r="O334" s="3" t="str">
        <f>VLOOKUP(Table2[[#This Row],[Tulu/kulu liik2]],Table5[],6,FALSE)</f>
        <v>Majandamiskulud</v>
      </c>
      <c r="P334" s="3" t="str">
        <f>VLOOKUP(Table2[[#This Row],[Tulu/kulu liik2]],Table5[],5,FALSE)</f>
        <v>Põhitegevuse kulu</v>
      </c>
    </row>
    <row r="335" spans="1:16" hidden="1" x14ac:dyDescent="0.25">
      <c r="A335" t="str">
        <f t="shared" si="10"/>
        <v>08</v>
      </c>
      <c r="B335" t="s">
        <v>274</v>
      </c>
      <c r="C335" s="3" t="str">
        <f>VLOOKUP(Table2[[#This Row],[Tegevusala]],Table4[],2,FALSE)</f>
        <v xml:space="preserve"> Tervise edendamine</v>
      </c>
      <c r="D335" s="3" t="str">
        <f>VLOOKUP(Table2[[#This Row],[Tegevusala]],Table4[[Tegevusala kood]:[Tegevusala alanimetus]],4,FALSE)</f>
        <v>Sport</v>
      </c>
      <c r="E335" s="3" t="str">
        <f>VLOOKUP(Table2[[#This Row],[Tegevusala nimetus2]],Table4[[Tegevusala nimetus]:[Tegevusala koondnimetus]],2,FALSE)</f>
        <v>Vabaaeg, kultuur ja religioon</v>
      </c>
      <c r="F335" t="s">
        <v>752</v>
      </c>
      <c r="G335" t="s">
        <v>764</v>
      </c>
      <c r="H335" s="40">
        <v>20000</v>
      </c>
      <c r="J335">
        <v>5540</v>
      </c>
      <c r="K335" s="3" t="str">
        <f>VLOOKUP(Table2[[#This Row],[Konto]],Table5[[Konto]:[Konto nimetus]],2,FALSE)</f>
        <v>Mitmesugused majanduskulud</v>
      </c>
      <c r="L335">
        <v>55</v>
      </c>
      <c r="M335" t="str">
        <f t="shared" si="11"/>
        <v>55</v>
      </c>
      <c r="N335" s="3" t="str">
        <f>VLOOKUP(Table2[[#This Row],[Tulu/kulu liik2]],Table5[[Tulu/kulu liik]:[Kontode koondnimetus]],4,FALSE)</f>
        <v>Muud tegevuskulud</v>
      </c>
      <c r="O335" s="3" t="str">
        <f>VLOOKUP(Table2[[#This Row],[Tulu/kulu liik2]],Table5[],6,FALSE)</f>
        <v>Majandamiskulud</v>
      </c>
      <c r="P335" s="3" t="str">
        <f>VLOOKUP(Table2[[#This Row],[Tulu/kulu liik2]],Table5[],5,FALSE)</f>
        <v>Põhitegevuse kulu</v>
      </c>
    </row>
    <row r="336" spans="1:16" hidden="1" x14ac:dyDescent="0.25">
      <c r="A336" t="str">
        <f t="shared" si="10"/>
        <v>08</v>
      </c>
      <c r="B336" t="s">
        <v>274</v>
      </c>
      <c r="C336" s="3" t="str">
        <f>VLOOKUP(Table2[[#This Row],[Tegevusala]],Table4[],2,FALSE)</f>
        <v xml:space="preserve"> Tervise edendamine</v>
      </c>
      <c r="D336" s="3" t="str">
        <f>VLOOKUP(Table2[[#This Row],[Tegevusala]],Table4[[Tegevusala kood]:[Tegevusala alanimetus]],4,FALSE)</f>
        <v>Sport</v>
      </c>
      <c r="E336" s="3" t="str">
        <f>VLOOKUP(Table2[[#This Row],[Tegevusala nimetus2]],Table4[[Tegevusala nimetus]:[Tegevusala koondnimetus]],2,FALSE)</f>
        <v>Vabaaeg, kultuur ja religioon</v>
      </c>
      <c r="F336" t="s">
        <v>752</v>
      </c>
      <c r="G336" t="s">
        <v>765</v>
      </c>
      <c r="H336" s="40">
        <v>29000</v>
      </c>
      <c r="J336">
        <v>5540</v>
      </c>
      <c r="K336" s="3" t="str">
        <f>VLOOKUP(Table2[[#This Row],[Konto]],Table5[[Konto]:[Konto nimetus]],2,FALSE)</f>
        <v>Mitmesugused majanduskulud</v>
      </c>
      <c r="L336">
        <v>55</v>
      </c>
      <c r="M336" t="str">
        <f t="shared" si="11"/>
        <v>55</v>
      </c>
      <c r="N336" s="3" t="str">
        <f>VLOOKUP(Table2[[#This Row],[Tulu/kulu liik2]],Table5[[Tulu/kulu liik]:[Kontode koondnimetus]],4,FALSE)</f>
        <v>Muud tegevuskulud</v>
      </c>
      <c r="O336" s="3" t="str">
        <f>VLOOKUP(Table2[[#This Row],[Tulu/kulu liik2]],Table5[],6,FALSE)</f>
        <v>Majandamiskulud</v>
      </c>
      <c r="P336" s="3" t="str">
        <f>VLOOKUP(Table2[[#This Row],[Tulu/kulu liik2]],Table5[],5,FALSE)</f>
        <v>Põhitegevuse kulu</v>
      </c>
    </row>
    <row r="337" spans="1:16" hidden="1" x14ac:dyDescent="0.25">
      <c r="A337" t="str">
        <f t="shared" si="10"/>
        <v>08</v>
      </c>
      <c r="B337" s="1" t="s">
        <v>758</v>
      </c>
      <c r="C337" s="3" t="str">
        <f>VLOOKUP(Table2[[#This Row],[Tegevusala]],Table4[],2,FALSE)</f>
        <v xml:space="preserve"> Spordiseltside- ja klubide toetused MTÜ</v>
      </c>
      <c r="D337" s="3" t="str">
        <f>VLOOKUP(Table2[[#This Row],[Tegevusala]],Table4[[Tegevusala kood]:[Tegevusala alanimetus]],4,FALSE)</f>
        <v>Sport</v>
      </c>
      <c r="E337" s="3" t="str">
        <f>VLOOKUP(Table2[[#This Row],[Tegevusala nimetus2]],Table4[[Tegevusala nimetus]:[Tegevusala koondnimetus]],2,FALSE)</f>
        <v>Vabaaeg, kultuur ja religioon</v>
      </c>
      <c r="F337" t="s">
        <v>752</v>
      </c>
      <c r="G337" t="s">
        <v>2010</v>
      </c>
      <c r="H337" s="40">
        <v>26350</v>
      </c>
      <c r="J337">
        <v>4500</v>
      </c>
      <c r="K337" s="3" t="str">
        <f>VLOOKUP(Table2[[#This Row],[Konto]],Table5[[Konto]:[Konto nimetus]],2,FALSE)</f>
        <v>Sihtotstarbelised eraldised jooksvateks kuludeks</v>
      </c>
      <c r="L337">
        <v>4500</v>
      </c>
      <c r="M337" t="str">
        <f t="shared" si="11"/>
        <v>45</v>
      </c>
      <c r="N337" s="3" t="str">
        <f>VLOOKUP(Table2[[#This Row],[Tulu/kulu liik2]],Table5[[Tulu/kulu liik]:[Kontode koondnimetus]],4,FALSE)</f>
        <v>Antavad toetused tegevuskuludeks</v>
      </c>
      <c r="O337" s="3" t="str">
        <f>VLOOKUP(Table2[[#This Row],[Tulu/kulu liik2]],Table5[],6,FALSE)</f>
        <v>Sihtotstarbelised toetused tegevuskuludeks</v>
      </c>
      <c r="P337" s="3" t="str">
        <f>VLOOKUP(Table2[[#This Row],[Tulu/kulu liik2]],Table5[],5,FALSE)</f>
        <v>Põhitegevuse kulu</v>
      </c>
    </row>
    <row r="338" spans="1:16" hidden="1" x14ac:dyDescent="0.25">
      <c r="A338" t="str">
        <f t="shared" si="10"/>
        <v>08</v>
      </c>
      <c r="B338" t="s">
        <v>276</v>
      </c>
      <c r="C338" s="3" t="str">
        <f>VLOOKUP(Table2[[#This Row],[Tegevusala]],Table4[],2,FALSE)</f>
        <v xml:space="preserve"> Noorsootöö haldus</v>
      </c>
      <c r="D338" s="3" t="str">
        <f>VLOOKUP(Table2[[#This Row],[Tegevusala]],Table4[[Tegevusala kood]:[Tegevusala alanimetus]],4,FALSE)</f>
        <v>Noorsootöö ja noortekeskused</v>
      </c>
      <c r="E338" s="3" t="str">
        <f>VLOOKUP(Table2[[#This Row],[Tegevusala nimetus2]],Table4[[Tegevusala nimetus]:[Tegevusala koondnimetus]],2,FALSE)</f>
        <v>Vabaaeg, kultuur ja religioon</v>
      </c>
      <c r="F338" t="s">
        <v>752</v>
      </c>
      <c r="G338" t="s">
        <v>770</v>
      </c>
      <c r="H338" s="47">
        <v>2000</v>
      </c>
      <c r="I338" s="35"/>
      <c r="J338" s="33">
        <v>5540</v>
      </c>
      <c r="K338" s="3" t="str">
        <f>VLOOKUP(Table2[[#This Row],[Konto]],Table5[[Konto]:[Konto nimetus]],2,FALSE)</f>
        <v>Mitmesugused majanduskulud</v>
      </c>
      <c r="L338">
        <v>55</v>
      </c>
      <c r="M338" t="str">
        <f t="shared" si="11"/>
        <v>55</v>
      </c>
      <c r="N338" s="3" t="str">
        <f>VLOOKUP(Table2[[#This Row],[Tulu/kulu liik2]],Table5[[Tulu/kulu liik]:[Kontode koondnimetus]],4,FALSE)</f>
        <v>Muud tegevuskulud</v>
      </c>
      <c r="O338" s="3" t="str">
        <f>VLOOKUP(Table2[[#This Row],[Tulu/kulu liik2]],Table5[],6,FALSE)</f>
        <v>Majandamiskulud</v>
      </c>
      <c r="P338" s="3" t="str">
        <f>VLOOKUP(Table2[[#This Row],[Tulu/kulu liik2]],Table5[],5,FALSE)</f>
        <v>Põhitegevuse kulu</v>
      </c>
    </row>
    <row r="339" spans="1:16" hidden="1" x14ac:dyDescent="0.25">
      <c r="A339" t="str">
        <f t="shared" si="10"/>
        <v>08</v>
      </c>
      <c r="B339" t="s">
        <v>276</v>
      </c>
      <c r="C339" s="3" t="str">
        <f>VLOOKUP(Table2[[#This Row],[Tegevusala]],Table4[],2,FALSE)</f>
        <v xml:space="preserve"> Noorsootöö haldus</v>
      </c>
      <c r="D339" s="3" t="str">
        <f>VLOOKUP(Table2[[#This Row],[Tegevusala]],Table4[[Tegevusala kood]:[Tegevusala alanimetus]],4,FALSE)</f>
        <v>Noorsootöö ja noortekeskused</v>
      </c>
      <c r="E339" s="3" t="str">
        <f>VLOOKUP(Table2[[#This Row],[Tegevusala nimetus2]],Table4[[Tegevusala nimetus]:[Tegevusala koondnimetus]],2,FALSE)</f>
        <v>Vabaaeg, kultuur ja religioon</v>
      </c>
      <c r="F339" t="s">
        <v>752</v>
      </c>
      <c r="G339" t="s">
        <v>424</v>
      </c>
      <c r="H339" s="40">
        <f>11*335</f>
        <v>3685</v>
      </c>
      <c r="J339">
        <v>5513</v>
      </c>
      <c r="K339" s="3" t="str">
        <f>VLOOKUP(Table2[[#This Row],[Konto]],Table5[[Konto]:[Konto nimetus]],2,FALSE)</f>
        <v>Sõidukite ülalpidamise kulud</v>
      </c>
      <c r="L339">
        <v>55</v>
      </c>
      <c r="M339" t="str">
        <f t="shared" si="11"/>
        <v>55</v>
      </c>
      <c r="N339" s="3" t="str">
        <f>VLOOKUP(Table2[[#This Row],[Tulu/kulu liik2]],Table5[[Tulu/kulu liik]:[Kontode koondnimetus]],4,FALSE)</f>
        <v>Muud tegevuskulud</v>
      </c>
      <c r="O339" s="3" t="str">
        <f>VLOOKUP(Table2[[#This Row],[Tulu/kulu liik2]],Table5[],6,FALSE)</f>
        <v>Majandamiskulud</v>
      </c>
      <c r="P339" s="3" t="str">
        <f>VLOOKUP(Table2[[#This Row],[Tulu/kulu liik2]],Table5[],5,FALSE)</f>
        <v>Põhitegevuse kulu</v>
      </c>
    </row>
    <row r="340" spans="1:16" hidden="1" x14ac:dyDescent="0.25">
      <c r="A340" t="str">
        <f t="shared" si="10"/>
        <v>08</v>
      </c>
      <c r="B340" t="s">
        <v>276</v>
      </c>
      <c r="C340" s="3" t="str">
        <f>VLOOKUP(Table2[[#This Row],[Tegevusala]],Table4[],2,FALSE)</f>
        <v xml:space="preserve"> Noorsootöö haldus</v>
      </c>
      <c r="D340" s="3" t="str">
        <f>VLOOKUP(Table2[[#This Row],[Tegevusala]],Table4[[Tegevusala kood]:[Tegevusala alanimetus]],4,FALSE)</f>
        <v>Noorsootöö ja noortekeskused</v>
      </c>
      <c r="E340" s="3" t="str">
        <f>VLOOKUP(Table2[[#This Row],[Tegevusala nimetus2]],Table4[[Tegevusala nimetus]:[Tegevusala koondnimetus]],2,FALSE)</f>
        <v>Vabaaeg, kultuur ja religioon</v>
      </c>
      <c r="F340" t="s">
        <v>752</v>
      </c>
      <c r="G340" t="s">
        <v>775</v>
      </c>
      <c r="H340" s="40">
        <v>135</v>
      </c>
      <c r="J340">
        <v>5500</v>
      </c>
      <c r="K340" s="3" t="str">
        <f>VLOOKUP(Table2[[#This Row],[Konto]],Table5[[Konto]:[Konto nimetus]],2,FALSE)</f>
        <v>Administreerimiskulud</v>
      </c>
      <c r="L340">
        <v>55</v>
      </c>
      <c r="M340" t="str">
        <f t="shared" si="11"/>
        <v>55</v>
      </c>
      <c r="N340" s="3" t="str">
        <f>VLOOKUP(Table2[[#This Row],[Tulu/kulu liik2]],Table5[[Tulu/kulu liik]:[Kontode koondnimetus]],4,FALSE)</f>
        <v>Muud tegevuskulud</v>
      </c>
      <c r="O340" s="3" t="str">
        <f>VLOOKUP(Table2[[#This Row],[Tulu/kulu liik2]],Table5[],6,FALSE)</f>
        <v>Majandamiskulud</v>
      </c>
      <c r="P340" s="3" t="str">
        <f>VLOOKUP(Table2[[#This Row],[Tulu/kulu liik2]],Table5[],5,FALSE)</f>
        <v>Põhitegevuse kulu</v>
      </c>
    </row>
    <row r="341" spans="1:16" hidden="1" x14ac:dyDescent="0.25">
      <c r="A341" t="str">
        <f t="shared" si="10"/>
        <v>08</v>
      </c>
      <c r="B341" t="s">
        <v>276</v>
      </c>
      <c r="C341" s="3" t="str">
        <f>VLOOKUP(Table2[[#This Row],[Tegevusala]],Table4[],2,FALSE)</f>
        <v xml:space="preserve"> Noorsootöö haldus</v>
      </c>
      <c r="D341" s="3" t="str">
        <f>VLOOKUP(Table2[[#This Row],[Tegevusala]],Table4[[Tegevusala kood]:[Tegevusala alanimetus]],4,FALSE)</f>
        <v>Noorsootöö ja noortekeskused</v>
      </c>
      <c r="E341" s="3" t="str">
        <f>VLOOKUP(Table2[[#This Row],[Tegevusala nimetus2]],Table4[[Tegevusala nimetus]:[Tegevusala koondnimetus]],2,FALSE)</f>
        <v>Vabaaeg, kultuur ja religioon</v>
      </c>
      <c r="F341" t="s">
        <v>752</v>
      </c>
      <c r="G341" t="s">
        <v>776</v>
      </c>
      <c r="H341" s="40">
        <v>150</v>
      </c>
      <c r="J341">
        <v>5504</v>
      </c>
      <c r="K341" s="3" t="str">
        <f>VLOOKUP(Table2[[#This Row],[Konto]],Table5[[Konto]:[Konto nimetus]],2,FALSE)</f>
        <v>Koolituskulud</v>
      </c>
      <c r="L341">
        <v>55</v>
      </c>
      <c r="M341" t="str">
        <f t="shared" si="11"/>
        <v>55</v>
      </c>
      <c r="N341" s="3" t="str">
        <f>VLOOKUP(Table2[[#This Row],[Tulu/kulu liik2]],Table5[[Tulu/kulu liik]:[Kontode koondnimetus]],4,FALSE)</f>
        <v>Muud tegevuskulud</v>
      </c>
      <c r="O341" s="3" t="str">
        <f>VLOOKUP(Table2[[#This Row],[Tulu/kulu liik2]],Table5[],6,FALSE)</f>
        <v>Majandamiskulud</v>
      </c>
      <c r="P341" s="3" t="str">
        <f>VLOOKUP(Table2[[#This Row],[Tulu/kulu liik2]],Table5[],5,FALSE)</f>
        <v>Põhitegevuse kulu</v>
      </c>
    </row>
    <row r="342" spans="1:16" hidden="1" x14ac:dyDescent="0.25">
      <c r="A342" t="str">
        <f t="shared" si="10"/>
        <v>08</v>
      </c>
      <c r="B342" t="s">
        <v>276</v>
      </c>
      <c r="C342" s="3" t="str">
        <f>VLOOKUP(Table2[[#This Row],[Tegevusala]],Table4[],2,FALSE)</f>
        <v xml:space="preserve"> Noorsootöö haldus</v>
      </c>
      <c r="D342" s="3" t="str">
        <f>VLOOKUP(Table2[[#This Row],[Tegevusala]],Table4[[Tegevusala kood]:[Tegevusala alanimetus]],4,FALSE)</f>
        <v>Noorsootöö ja noortekeskused</v>
      </c>
      <c r="E342" s="3" t="str">
        <f>VLOOKUP(Table2[[#This Row],[Tegevusala nimetus2]],Table4[[Tegevusala nimetus]:[Tegevusala koondnimetus]],2,FALSE)</f>
        <v>Vabaaeg, kultuur ja religioon</v>
      </c>
      <c r="F342" t="s">
        <v>752</v>
      </c>
      <c r="G342" t="s">
        <v>2080</v>
      </c>
      <c r="H342" s="40">
        <v>700</v>
      </c>
      <c r="I342" s="2" t="s">
        <v>2081</v>
      </c>
      <c r="J342">
        <v>5515</v>
      </c>
      <c r="K342" s="3" t="str">
        <f>VLOOKUP(Table2[[#This Row],[Konto]],Table5[[Konto]:[Konto nimetus]],2,FALSE)</f>
        <v>Inventari kulud, v.a infotehnoloogia ja kaitseotstarbelised kulud</v>
      </c>
      <c r="L342">
        <v>55</v>
      </c>
      <c r="M342" t="str">
        <f t="shared" si="11"/>
        <v>55</v>
      </c>
      <c r="N342" s="3" t="str">
        <f>VLOOKUP(Table2[[#This Row],[Tulu/kulu liik2]],Table5[[Tulu/kulu liik]:[Kontode koondnimetus]],4,FALSE)</f>
        <v>Muud tegevuskulud</v>
      </c>
      <c r="O342" s="34" t="str">
        <f>VLOOKUP(Table2[[#This Row],[Tulu/kulu liik2]],Table5[],6,FALSE)</f>
        <v>Majandamiskulud</v>
      </c>
      <c r="P342" s="3" t="str">
        <f>VLOOKUP(Table2[[#This Row],[Tulu/kulu liik2]],Table5[],5,FALSE)</f>
        <v>Põhitegevuse kulu</v>
      </c>
    </row>
    <row r="343" spans="1:16" hidden="1" x14ac:dyDescent="0.25">
      <c r="A343" t="str">
        <f t="shared" si="10"/>
        <v>08</v>
      </c>
      <c r="B343" t="s">
        <v>279</v>
      </c>
      <c r="C343" s="3" t="str">
        <f>VLOOKUP(Table2[[#This Row],[Tegevusala]],Table4[],2,FALSE)</f>
        <v xml:space="preserve"> Projektide kaasfinantseerimine</v>
      </c>
      <c r="D343" s="3" t="str">
        <f>VLOOKUP(Table2[[#This Row],[Tegevusala]],Table4[[Tegevusala kood]:[Tegevusala alanimetus]],4,FALSE)</f>
        <v>Noorsootöö ja noortekeskused</v>
      </c>
      <c r="E343" s="3" t="str">
        <f>VLOOKUP(Table2[[#This Row],[Tegevusala nimetus2]],Table4[[Tegevusala nimetus]:[Tegevusala koondnimetus]],2,FALSE)</f>
        <v>Vabaaeg, kultuur ja religioon</v>
      </c>
      <c r="F343" t="s">
        <v>752</v>
      </c>
      <c r="G343" t="s">
        <v>757</v>
      </c>
      <c r="H343" s="40">
        <v>4000</v>
      </c>
      <c r="J343">
        <v>4500</v>
      </c>
      <c r="K343" s="3" t="str">
        <f>VLOOKUP(Table2[[#This Row],[Konto]],Table5[[Konto]:[Konto nimetus]],2,FALSE)</f>
        <v>Sihtotstarbelised eraldised jooksvateks kuludeks</v>
      </c>
      <c r="L343">
        <v>4500</v>
      </c>
      <c r="M343" t="str">
        <f t="shared" si="11"/>
        <v>45</v>
      </c>
      <c r="N343" s="3" t="str">
        <f>VLOOKUP(Table2[[#This Row],[Tulu/kulu liik2]],Table5[[Tulu/kulu liik]:[Kontode koondnimetus]],4,FALSE)</f>
        <v>Antavad toetused tegevuskuludeks</v>
      </c>
      <c r="O343" s="3" t="str">
        <f>VLOOKUP(Table2[[#This Row],[Tulu/kulu liik2]],Table5[],6,FALSE)</f>
        <v>Sihtotstarbelised toetused tegevuskuludeks</v>
      </c>
      <c r="P343" s="3" t="str">
        <f>VLOOKUP(Table2[[#This Row],[Tulu/kulu liik2]],Table5[],5,FALSE)</f>
        <v>Põhitegevuse kulu</v>
      </c>
    </row>
    <row r="344" spans="1:16" hidden="1" x14ac:dyDescent="0.25">
      <c r="A344" t="str">
        <f t="shared" si="10"/>
        <v>08</v>
      </c>
      <c r="B344" t="s">
        <v>624</v>
      </c>
      <c r="C344" s="3" t="str">
        <f>VLOOKUP(Table2[[#This Row],[Tegevusala]],Table4[],2,FALSE)</f>
        <v xml:space="preserve"> Lastelaagrid</v>
      </c>
      <c r="D344" s="3" t="str">
        <f>VLOOKUP(Table2[[#This Row],[Tegevusala]],Table4[[Tegevusala kood]:[Tegevusala alanimetus]],4,FALSE)</f>
        <v>Noorsootöö ja noortekeskused</v>
      </c>
      <c r="E344" s="3" t="str">
        <f>VLOOKUP(Table2[[#This Row],[Tegevusala nimetus2]],Table4[[Tegevusala nimetus]:[Tegevusala koondnimetus]],2,FALSE)</f>
        <v>Vabaaeg, kultuur ja religioon</v>
      </c>
      <c r="F344" t="s">
        <v>752</v>
      </c>
      <c r="G344" t="s">
        <v>756</v>
      </c>
      <c r="H344" s="47">
        <v>1500</v>
      </c>
      <c r="I344" s="35"/>
      <c r="J344" s="33">
        <v>5521</v>
      </c>
      <c r="K344" s="3" t="str">
        <f>VLOOKUP(Table2[[#This Row],[Konto]],Table5[[Konto]:[Konto nimetus]],2,FALSE)</f>
        <v>Toiduained ja toitlustusteenused</v>
      </c>
      <c r="L344">
        <v>55</v>
      </c>
      <c r="M344" t="str">
        <f t="shared" si="11"/>
        <v>55</v>
      </c>
      <c r="N344" s="3" t="str">
        <f>VLOOKUP(Table2[[#This Row],[Tulu/kulu liik2]],Table5[[Tulu/kulu liik]:[Kontode koondnimetus]],4,FALSE)</f>
        <v>Muud tegevuskulud</v>
      </c>
      <c r="O344" s="3" t="str">
        <f>VLOOKUP(Table2[[#This Row],[Tulu/kulu liik2]],Table5[],6,FALSE)</f>
        <v>Majandamiskulud</v>
      </c>
      <c r="P344" s="3" t="str">
        <f>VLOOKUP(Table2[[#This Row],[Tulu/kulu liik2]],Table5[],5,FALSE)</f>
        <v>Põhitegevuse kulu</v>
      </c>
    </row>
    <row r="345" spans="1:16" hidden="1" x14ac:dyDescent="0.25">
      <c r="A345" t="str">
        <f t="shared" si="10"/>
        <v>08</v>
      </c>
      <c r="B345" t="s">
        <v>624</v>
      </c>
      <c r="C345" s="3" t="str">
        <f>VLOOKUP(Table2[[#This Row],[Tegevusala]],Table4[],2,FALSE)</f>
        <v xml:space="preserve"> Lastelaagrid</v>
      </c>
      <c r="D345" s="3" t="str">
        <f>VLOOKUP(Table2[[#This Row],[Tegevusala]],Table4[[Tegevusala kood]:[Tegevusala alanimetus]],4,FALSE)</f>
        <v>Noorsootöö ja noortekeskused</v>
      </c>
      <c r="E345" s="3" t="str">
        <f>VLOOKUP(Table2[[#This Row],[Tegevusala nimetus2]],Table4[[Tegevusala nimetus]:[Tegevusala koondnimetus]],2,FALSE)</f>
        <v>Vabaaeg, kultuur ja religioon</v>
      </c>
      <c r="F345" t="s">
        <v>752</v>
      </c>
      <c r="G345" t="s">
        <v>754</v>
      </c>
      <c r="H345" s="47">
        <v>700</v>
      </c>
      <c r="I345" s="35"/>
      <c r="J345" s="33">
        <v>5511</v>
      </c>
      <c r="K345" s="3" t="str">
        <f>VLOOKUP(Table2[[#This Row],[Konto]],Table5[[Konto]:[Konto nimetus]],2,FALSE)</f>
        <v>Kinnistute, hoonete ja ruumide majandamiskulud</v>
      </c>
      <c r="L345">
        <v>55</v>
      </c>
      <c r="M345" t="str">
        <f t="shared" si="11"/>
        <v>55</v>
      </c>
      <c r="N345" s="3" t="str">
        <f>VLOOKUP(Table2[[#This Row],[Tulu/kulu liik2]],Table5[[Tulu/kulu liik]:[Kontode koondnimetus]],4,FALSE)</f>
        <v>Muud tegevuskulud</v>
      </c>
      <c r="O345" s="3" t="str">
        <f>VLOOKUP(Table2[[#This Row],[Tulu/kulu liik2]],Table5[],6,FALSE)</f>
        <v>Majandamiskulud</v>
      </c>
      <c r="P345" s="3" t="str">
        <f>VLOOKUP(Table2[[#This Row],[Tulu/kulu liik2]],Table5[],5,FALSE)</f>
        <v>Põhitegevuse kulu</v>
      </c>
    </row>
    <row r="346" spans="1:16" hidden="1" x14ac:dyDescent="0.25">
      <c r="A346" t="str">
        <f t="shared" si="10"/>
        <v>08</v>
      </c>
      <c r="B346" s="1" t="s">
        <v>755</v>
      </c>
      <c r="C346" s="3" t="str">
        <f>VLOOKUP(Table2[[#This Row],[Tegevusala]],Table4[],2,FALSE)</f>
        <v xml:space="preserve"> Vinni Valla Noored MTÜ</v>
      </c>
      <c r="D346" s="3" t="str">
        <f>VLOOKUP(Table2[[#This Row],[Tegevusala]],Table4[[Tegevusala kood]:[Tegevusala alanimetus]],4,FALSE)</f>
        <v>Noorsootöö ja noortekeskused</v>
      </c>
      <c r="E346" s="3" t="str">
        <f>VLOOKUP(Table2[[#This Row],[Tegevusala nimetus2]],Table4[[Tegevusala nimetus]:[Tegevusala koondnimetus]],2,FALSE)</f>
        <v>Vabaaeg, kultuur ja religioon</v>
      </c>
      <c r="F346" t="s">
        <v>752</v>
      </c>
      <c r="G346" t="s">
        <v>750</v>
      </c>
      <c r="H346" s="40">
        <v>87252</v>
      </c>
      <c r="J346">
        <v>4500</v>
      </c>
      <c r="K346" s="3" t="str">
        <f>VLOOKUP(Table2[[#This Row],[Konto]],Table5[[Konto]:[Konto nimetus]],2,FALSE)</f>
        <v>Sihtotstarbelised eraldised jooksvateks kuludeks</v>
      </c>
      <c r="L346">
        <v>4500</v>
      </c>
      <c r="M346" t="str">
        <f t="shared" si="11"/>
        <v>45</v>
      </c>
      <c r="N346" s="3" t="str">
        <f>VLOOKUP(Table2[[#This Row],[Tulu/kulu liik2]],Table5[[Tulu/kulu liik]:[Kontode koondnimetus]],4,FALSE)</f>
        <v>Antavad toetused tegevuskuludeks</v>
      </c>
      <c r="O346" s="3" t="str">
        <f>VLOOKUP(Table2[[#This Row],[Tulu/kulu liik2]],Table5[],6,FALSE)</f>
        <v>Sihtotstarbelised toetused tegevuskuludeks</v>
      </c>
      <c r="P346" s="3" t="str">
        <f>VLOOKUP(Table2[[#This Row],[Tulu/kulu liik2]],Table5[],5,FALSE)</f>
        <v>Põhitegevuse kulu</v>
      </c>
    </row>
    <row r="347" spans="1:16" hidden="1" x14ac:dyDescent="0.25">
      <c r="A347" t="str">
        <f t="shared" si="10"/>
        <v>08</v>
      </c>
      <c r="B347" t="s">
        <v>281</v>
      </c>
      <c r="C347" s="3" t="str">
        <f>VLOOKUP(Table2[[#This Row],[Tegevusala]],Table4[],2,FALSE)</f>
        <v xml:space="preserve"> Valla üritused</v>
      </c>
      <c r="D347" s="3" t="str">
        <f>VLOOKUP(Table2[[#This Row],[Tegevusala]],Table4[[Tegevusala kood]:[Tegevusala alanimetus]],4,FALSE)</f>
        <v>Vaba aja üritused</v>
      </c>
      <c r="E347" s="3" t="str">
        <f>VLOOKUP(Table2[[#This Row],[Tegevusala nimetus2]],Table4[[Tegevusala nimetus]:[Tegevusala koondnimetus]],2,FALSE)</f>
        <v>Vabaaeg, kultuur ja religioon</v>
      </c>
      <c r="F347" t="s">
        <v>799</v>
      </c>
      <c r="G347" t="s">
        <v>1980</v>
      </c>
      <c r="H347" s="40">
        <v>21000</v>
      </c>
      <c r="J347">
        <v>5525</v>
      </c>
      <c r="K347" s="3" t="str">
        <f>VLOOKUP(Table2[[#This Row],[Konto]],Table5[[Konto]:[Konto nimetus]],2,FALSE)</f>
        <v>Kommunikatsiooni-, kultuuri- ja vaba aja sisustamise kulud</v>
      </c>
      <c r="L347">
        <v>55</v>
      </c>
      <c r="M347" t="str">
        <f t="shared" si="11"/>
        <v>55</v>
      </c>
      <c r="N347" s="3" t="str">
        <f>VLOOKUP(Table2[[#This Row],[Tulu/kulu liik2]],Table5[[Tulu/kulu liik]:[Kontode koondnimetus]],4,FALSE)</f>
        <v>Muud tegevuskulud</v>
      </c>
      <c r="O347" s="3" t="str">
        <f>VLOOKUP(Table2[[#This Row],[Tulu/kulu liik2]],Table5[],6,FALSE)</f>
        <v>Majandamiskulud</v>
      </c>
      <c r="P347" s="3" t="str">
        <f>VLOOKUP(Table2[[#This Row],[Tulu/kulu liik2]],Table5[],5,FALSE)</f>
        <v>Põhitegevuse kulu</v>
      </c>
    </row>
    <row r="348" spans="1:16" hidden="1" x14ac:dyDescent="0.25">
      <c r="A348" s="33" t="str">
        <f t="shared" si="10"/>
        <v>08</v>
      </c>
      <c r="B348" s="33" t="s">
        <v>281</v>
      </c>
      <c r="C348" s="34" t="str">
        <f>VLOOKUP(Table2[[#This Row],[Tegevusala]],Table4[],2,FALSE)</f>
        <v xml:space="preserve"> Valla üritused</v>
      </c>
      <c r="D348" s="34" t="str">
        <f>VLOOKUP(Table2[[#This Row],[Tegevusala]],Table4[[Tegevusala kood]:[Tegevusala alanimetus]],4,FALSE)</f>
        <v>Vaba aja üritused</v>
      </c>
      <c r="E348" s="34" t="str">
        <f>VLOOKUP(Table2[[#This Row],[Tegevusala nimetus2]],Table4[[Tegevusala nimetus]:[Tegevusala koondnimetus]],2,FALSE)</f>
        <v>Vabaaeg, kultuur ja religioon</v>
      </c>
      <c r="F348" s="33" t="s">
        <v>799</v>
      </c>
      <c r="G348" s="33" t="s">
        <v>1981</v>
      </c>
      <c r="H348" s="47">
        <v>5000</v>
      </c>
      <c r="I348" s="35"/>
      <c r="J348" s="33">
        <v>5525</v>
      </c>
      <c r="K348" s="34" t="str">
        <f>VLOOKUP(Table2[[#This Row],[Konto]],Table5[[Konto]:[Konto nimetus]],2,FALSE)</f>
        <v>Kommunikatsiooni-, kultuuri- ja vaba aja sisustamise kulud</v>
      </c>
      <c r="L348" s="33">
        <v>55</v>
      </c>
      <c r="M348" s="33" t="str">
        <f t="shared" si="11"/>
        <v>55</v>
      </c>
      <c r="N348" s="34" t="str">
        <f>VLOOKUP(Table2[[#This Row],[Tulu/kulu liik2]],Table5[[Tulu/kulu liik]:[Kontode koondnimetus]],4,FALSE)</f>
        <v>Muud tegevuskulud</v>
      </c>
      <c r="O348" s="34" t="str">
        <f>VLOOKUP(Table2[[#This Row],[Tulu/kulu liik2]],Table5[],6,FALSE)</f>
        <v>Majandamiskulud</v>
      </c>
      <c r="P348" s="34" t="str">
        <f>VLOOKUP(Table2[[#This Row],[Tulu/kulu liik2]],Table5[],5,FALSE)</f>
        <v>Põhitegevuse kulu</v>
      </c>
    </row>
    <row r="349" spans="1:16" hidden="1" x14ac:dyDescent="0.25">
      <c r="A349" t="str">
        <f t="shared" si="10"/>
        <v>08</v>
      </c>
      <c r="B349" t="s">
        <v>281</v>
      </c>
      <c r="C349" s="3" t="str">
        <f>VLOOKUP(Table2[[#This Row],[Tegevusala]],Table4[],2,FALSE)</f>
        <v xml:space="preserve"> Valla üritused</v>
      </c>
      <c r="D349" s="3" t="str">
        <f>VLOOKUP(Table2[[#This Row],[Tegevusala]],Table4[[Tegevusala kood]:[Tegevusala alanimetus]],4,FALSE)</f>
        <v>Vaba aja üritused</v>
      </c>
      <c r="E349" s="3" t="str">
        <f>VLOOKUP(Table2[[#This Row],[Tegevusala nimetus2]],Table4[[Tegevusala nimetus]:[Tegevusala koondnimetus]],2,FALSE)</f>
        <v>Vabaaeg, kultuur ja religioon</v>
      </c>
      <c r="F349" t="s">
        <v>1823</v>
      </c>
      <c r="G349" t="s">
        <v>2167</v>
      </c>
      <c r="H349" s="40">
        <v>4500</v>
      </c>
      <c r="J349">
        <v>5525</v>
      </c>
      <c r="K349" s="3" t="str">
        <f>VLOOKUP(Table2[[#This Row],[Konto]],Table5[[Konto]:[Konto nimetus]],2,FALSE)</f>
        <v>Kommunikatsiooni-, kultuuri- ja vaba aja sisustamise kulud</v>
      </c>
      <c r="L349">
        <v>55</v>
      </c>
      <c r="M349" t="str">
        <f t="shared" si="11"/>
        <v>55</v>
      </c>
      <c r="N349" s="3" t="str">
        <f>VLOOKUP(Table2[[#This Row],[Tulu/kulu liik2]],Table5[[Tulu/kulu liik]:[Kontode koondnimetus]],4,FALSE)</f>
        <v>Muud tegevuskulud</v>
      </c>
      <c r="O349" s="34" t="str">
        <f>VLOOKUP(Table2[[#This Row],[Tulu/kulu liik2]],Table5[],6,FALSE)</f>
        <v>Majandamiskulud</v>
      </c>
      <c r="P349" s="3" t="str">
        <f>VLOOKUP(Table2[[#This Row],[Tulu/kulu liik2]],Table5[],5,FALSE)</f>
        <v>Põhitegevuse kulu</v>
      </c>
    </row>
    <row r="350" spans="1:16" hidden="1" x14ac:dyDescent="0.25">
      <c r="A350" t="str">
        <f t="shared" si="10"/>
        <v>08</v>
      </c>
      <c r="B350" t="s">
        <v>281</v>
      </c>
      <c r="C350" s="3" t="str">
        <f>VLOOKUP(Table2[[#This Row],[Tegevusala]],Table4[],2,FALSE)</f>
        <v xml:space="preserve"> Valla üritused</v>
      </c>
      <c r="D350" s="3" t="str">
        <f>VLOOKUP(Table2[[#This Row],[Tegevusala]],Table4[[Tegevusala kood]:[Tegevusala alanimetus]],4,FALSE)</f>
        <v>Vaba aja üritused</v>
      </c>
      <c r="E350" s="3" t="str">
        <f>VLOOKUP(Table2[[#This Row],[Tegevusala nimetus2]],Table4[[Tegevusala nimetus]:[Tegevusala koondnimetus]],2,FALSE)</f>
        <v>Vabaaeg, kultuur ja religioon</v>
      </c>
      <c r="F350" t="s">
        <v>799</v>
      </c>
      <c r="G350" t="s">
        <v>2168</v>
      </c>
      <c r="H350" s="40">
        <f>10*150</f>
        <v>1500</v>
      </c>
      <c r="J350">
        <v>5525</v>
      </c>
      <c r="K350" s="3" t="str">
        <f>VLOOKUP(Table2[[#This Row],[Konto]],Table5[[Konto]:[Konto nimetus]],2,FALSE)</f>
        <v>Kommunikatsiooni-, kultuuri- ja vaba aja sisustamise kulud</v>
      </c>
      <c r="L350">
        <v>55</v>
      </c>
      <c r="M350" t="str">
        <f t="shared" si="11"/>
        <v>55</v>
      </c>
      <c r="N350" s="3" t="str">
        <f>VLOOKUP(Table2[[#This Row],[Tulu/kulu liik2]],Table5[[Tulu/kulu liik]:[Kontode koondnimetus]],4,FALSE)</f>
        <v>Muud tegevuskulud</v>
      </c>
      <c r="O350" s="34" t="str">
        <f>VLOOKUP(Table2[[#This Row],[Tulu/kulu liik2]],Table5[],6,FALSE)</f>
        <v>Majandamiskulud</v>
      </c>
      <c r="P350" s="3" t="str">
        <f>VLOOKUP(Table2[[#This Row],[Tulu/kulu liik2]],Table5[],5,FALSE)</f>
        <v>Põhitegevuse kulu</v>
      </c>
    </row>
    <row r="351" spans="1:16" hidden="1" x14ac:dyDescent="0.25">
      <c r="A351" t="str">
        <f t="shared" si="10"/>
        <v>08</v>
      </c>
      <c r="B351" t="s">
        <v>283</v>
      </c>
      <c r="C351" s="3" t="str">
        <f>VLOOKUP(Table2[[#This Row],[Tegevusala]],Table4[],2,FALSE)</f>
        <v xml:space="preserve"> Toetused MTÜ-le</v>
      </c>
      <c r="D351" s="3" t="str">
        <f>VLOOKUP(Table2[[#This Row],[Tegevusala]],Table4[[Tegevusala kood]:[Tegevusala alanimetus]],4,FALSE)</f>
        <v>Vaba aja üritused</v>
      </c>
      <c r="E351" s="3" t="str">
        <f>VLOOKUP(Table2[[#This Row],[Tegevusala nimetus2]],Table4[[Tegevusala nimetus]:[Tegevusala koondnimetus]],2,FALSE)</f>
        <v>Vabaaeg, kultuur ja religioon</v>
      </c>
      <c r="F351" t="s">
        <v>2071</v>
      </c>
      <c r="G351" t="s">
        <v>2072</v>
      </c>
      <c r="H351" s="40">
        <v>12360</v>
      </c>
      <c r="J351">
        <v>45008</v>
      </c>
      <c r="K351" s="3" t="str">
        <f>VLOOKUP(Table2[[#This Row],[Konto]],Table5[[Konto]:[Konto nimetus]],2,FALSE)</f>
        <v>Sihtotstarbelised eraldised muudele residentidele</v>
      </c>
      <c r="L351">
        <v>4500</v>
      </c>
      <c r="M351" t="str">
        <f t="shared" si="11"/>
        <v>45</v>
      </c>
      <c r="N351" s="3" t="str">
        <f>VLOOKUP(Table2[[#This Row],[Tulu/kulu liik2]],Table5[[Tulu/kulu liik]:[Kontode koondnimetus]],4,FALSE)</f>
        <v>Antavad toetused tegevuskuludeks</v>
      </c>
      <c r="O351" s="34" t="str">
        <f>VLOOKUP(Table2[[#This Row],[Tulu/kulu liik2]],Table5[],6,FALSE)</f>
        <v>Sihtotstarbelised toetused tegevuskuludeks</v>
      </c>
      <c r="P351" s="3" t="str">
        <f>VLOOKUP(Table2[[#This Row],[Tulu/kulu liik2]],Table5[],5,FALSE)</f>
        <v>Põhitegevuse kulu</v>
      </c>
    </row>
    <row r="352" spans="1:16" hidden="1" x14ac:dyDescent="0.25">
      <c r="A352" t="str">
        <f t="shared" si="10"/>
        <v>08</v>
      </c>
      <c r="B352" t="s">
        <v>283</v>
      </c>
      <c r="C352" s="3" t="str">
        <f>VLOOKUP(Table2[[#This Row],[Tegevusala]],Table4[],2,FALSE)</f>
        <v xml:space="preserve"> Toetused MTÜ-le</v>
      </c>
      <c r="D352" s="3" t="str">
        <f>VLOOKUP(Table2[[#This Row],[Tegevusala]],Table4[[Tegevusala kood]:[Tegevusala alanimetus]],4,FALSE)</f>
        <v>Vaba aja üritused</v>
      </c>
      <c r="E352" s="3" t="str">
        <f>VLOOKUP(Table2[[#This Row],[Tegevusala nimetus2]],Table4[[Tegevusala nimetus]:[Tegevusala koondnimetus]],2,FALSE)</f>
        <v>Vabaaeg, kultuur ja religioon</v>
      </c>
      <c r="F352" t="s">
        <v>2071</v>
      </c>
      <c r="G352" t="s">
        <v>2073</v>
      </c>
      <c r="H352" s="40">
        <v>1250</v>
      </c>
      <c r="I352" s="2" t="s">
        <v>2074</v>
      </c>
      <c r="J352">
        <v>45008</v>
      </c>
      <c r="K352" s="3" t="str">
        <f>VLOOKUP(Table2[[#This Row],[Konto]],Table5[[Konto]:[Konto nimetus]],2,FALSE)</f>
        <v>Sihtotstarbelised eraldised muudele residentidele</v>
      </c>
      <c r="L352">
        <v>4500</v>
      </c>
      <c r="M352" t="str">
        <f t="shared" si="11"/>
        <v>45</v>
      </c>
      <c r="N352" s="3" t="str">
        <f>VLOOKUP(Table2[[#This Row],[Tulu/kulu liik2]],Table5[[Tulu/kulu liik]:[Kontode koondnimetus]],4,FALSE)</f>
        <v>Antavad toetused tegevuskuludeks</v>
      </c>
      <c r="O352" s="34" t="str">
        <f>VLOOKUP(Table2[[#This Row],[Tulu/kulu liik2]],Table5[],6,FALSE)</f>
        <v>Sihtotstarbelised toetused tegevuskuludeks</v>
      </c>
      <c r="P352" s="3" t="str">
        <f>VLOOKUP(Table2[[#This Row],[Tulu/kulu liik2]],Table5[],5,FALSE)</f>
        <v>Põhitegevuse kulu</v>
      </c>
    </row>
    <row r="353" spans="1:16" hidden="1" x14ac:dyDescent="0.25">
      <c r="A353" t="str">
        <f t="shared" si="10"/>
        <v>08</v>
      </c>
      <c r="B353" t="s">
        <v>285</v>
      </c>
      <c r="C353" s="3" t="str">
        <f>VLOOKUP(Table2[[#This Row],[Tegevusala]],Table4[],2,FALSE)</f>
        <v xml:space="preserve"> Kergliiklusteed</v>
      </c>
      <c r="D353" s="3" t="str">
        <f>VLOOKUP(Table2[[#This Row],[Tegevusala]],Table4[[Tegevusala kood]:[Tegevusala alanimetus]],4,FALSE)</f>
        <v>Vaba aja üritused</v>
      </c>
      <c r="E353" s="3" t="str">
        <f>VLOOKUP(Table2[[#This Row],[Tegevusala nimetus2]],Table4[[Tegevusala nimetus]:[Tegevusala koondnimetus]],2,FALSE)</f>
        <v>Vabaaeg, kultuur ja religioon</v>
      </c>
      <c r="F353" t="s">
        <v>822</v>
      </c>
      <c r="G353" t="s">
        <v>532</v>
      </c>
      <c r="H353" s="40">
        <v>1500</v>
      </c>
      <c r="J353">
        <v>5512</v>
      </c>
      <c r="K353" s="3" t="str">
        <f>VLOOKUP(Table2[[#This Row],[Konto]],Table5[[Konto]:[Konto nimetus]],2,FALSE)</f>
        <v>Rajatiste majandamiskulud</v>
      </c>
      <c r="L353">
        <v>55</v>
      </c>
      <c r="M353" t="str">
        <f t="shared" si="11"/>
        <v>55</v>
      </c>
      <c r="N353" s="3" t="str">
        <f>VLOOKUP(Table2[[#This Row],[Tulu/kulu liik2]],Table5[[Tulu/kulu liik]:[Kontode koondnimetus]],4,FALSE)</f>
        <v>Muud tegevuskulud</v>
      </c>
      <c r="O353" s="3" t="str">
        <f>VLOOKUP(Table2[[#This Row],[Tulu/kulu liik2]],Table5[],6,FALSE)</f>
        <v>Majandamiskulud</v>
      </c>
      <c r="P353" s="3" t="str">
        <f>VLOOKUP(Table2[[#This Row],[Tulu/kulu liik2]],Table5[],5,FALSE)</f>
        <v>Põhitegevuse kulu</v>
      </c>
    </row>
    <row r="354" spans="1:16" hidden="1" x14ac:dyDescent="0.25">
      <c r="A354" t="str">
        <f t="shared" si="10"/>
        <v>08</v>
      </c>
      <c r="B354" t="s">
        <v>285</v>
      </c>
      <c r="C354" s="3" t="str">
        <f>VLOOKUP(Table2[[#This Row],[Tegevusala]],Table4[],2,FALSE)</f>
        <v xml:space="preserve"> Kergliiklusteed</v>
      </c>
      <c r="D354" s="3" t="str">
        <f>VLOOKUP(Table2[[#This Row],[Tegevusala]],Table4[[Tegevusala kood]:[Tegevusala alanimetus]],4,FALSE)</f>
        <v>Vaba aja üritused</v>
      </c>
      <c r="E354" s="3" t="str">
        <f>VLOOKUP(Table2[[#This Row],[Tegevusala nimetus2]],Table4[[Tegevusala nimetus]:[Tegevusala koondnimetus]],2,FALSE)</f>
        <v>Vabaaeg, kultuur ja religioon</v>
      </c>
      <c r="F354" t="s">
        <v>822</v>
      </c>
      <c r="G354" t="s">
        <v>924</v>
      </c>
      <c r="H354" s="40">
        <v>3000</v>
      </c>
      <c r="J354">
        <v>5512</v>
      </c>
      <c r="K354" s="3" t="str">
        <f>VLOOKUP(Table2[[#This Row],[Konto]],Table5[[Konto]:[Konto nimetus]],2,FALSE)</f>
        <v>Rajatiste majandamiskulud</v>
      </c>
      <c r="L354">
        <v>55</v>
      </c>
      <c r="M354" t="str">
        <f t="shared" si="11"/>
        <v>55</v>
      </c>
      <c r="N354" s="3" t="str">
        <f>VLOOKUP(Table2[[#This Row],[Tulu/kulu liik2]],Table5[[Tulu/kulu liik]:[Kontode koondnimetus]],4,FALSE)</f>
        <v>Muud tegevuskulud</v>
      </c>
      <c r="O354" s="3" t="str">
        <f>VLOOKUP(Table2[[#This Row],[Tulu/kulu liik2]],Table5[],6,FALSE)</f>
        <v>Majandamiskulud</v>
      </c>
      <c r="P354" s="3" t="str">
        <f>VLOOKUP(Table2[[#This Row],[Tulu/kulu liik2]],Table5[],5,FALSE)</f>
        <v>Põhitegevuse kulu</v>
      </c>
    </row>
    <row r="355" spans="1:16" hidden="1" x14ac:dyDescent="0.25">
      <c r="A355" t="str">
        <f t="shared" si="10"/>
        <v>08</v>
      </c>
      <c r="B355" t="s">
        <v>285</v>
      </c>
      <c r="C355" s="3" t="str">
        <f>VLOOKUP(Table2[[#This Row],[Tegevusala]],Table4[],2,FALSE)</f>
        <v xml:space="preserve"> Kergliiklusteed</v>
      </c>
      <c r="D355" s="3" t="str">
        <f>VLOOKUP(Table2[[#This Row],[Tegevusala]],Table4[[Tegevusala kood]:[Tegevusala alanimetus]],4,FALSE)</f>
        <v>Vaba aja üritused</v>
      </c>
      <c r="E355" s="3" t="str">
        <f>VLOOKUP(Table2[[#This Row],[Tegevusala nimetus2]],Table4[[Tegevusala nimetus]:[Tegevusala koondnimetus]],2,FALSE)</f>
        <v>Vabaaeg, kultuur ja religioon</v>
      </c>
      <c r="F355" t="s">
        <v>822</v>
      </c>
      <c r="G355" t="s">
        <v>2032</v>
      </c>
      <c r="H355" s="40">
        <v>25000</v>
      </c>
      <c r="J355">
        <v>1551</v>
      </c>
      <c r="K355" s="3" t="str">
        <f>VLOOKUP(Table2[[#This Row],[Konto]],Table5[[Konto]:[Konto nimetus]],2,FALSE)</f>
        <v>Rajatiste ja hoonete soetamine ja renoveerimine</v>
      </c>
      <c r="L355">
        <v>15</v>
      </c>
      <c r="M355" t="str">
        <f t="shared" si="11"/>
        <v>15</v>
      </c>
      <c r="N355" s="3" t="str">
        <f>VLOOKUP(Table2[[#This Row],[Tulu/kulu liik2]],Table5[[Tulu/kulu liik]:[Kontode koondnimetus]],4,FALSE)</f>
        <v>Põhivara soetus (-)</v>
      </c>
      <c r="O355" s="34" t="str">
        <f>VLOOKUP(Table2[[#This Row],[Tulu/kulu liik2]],Table5[],6,FALSE)</f>
        <v>Põhivara soetus (-)</v>
      </c>
      <c r="P355" s="3" t="str">
        <f>VLOOKUP(Table2[[#This Row],[Tulu/kulu liik2]],Table5[],5,FALSE)</f>
        <v>Investeerimistegevus</v>
      </c>
    </row>
    <row r="356" spans="1:16" hidden="1" x14ac:dyDescent="0.25">
      <c r="A356" t="str">
        <f t="shared" si="10"/>
        <v>08</v>
      </c>
      <c r="B356" t="s">
        <v>285</v>
      </c>
      <c r="C356" s="3" t="str">
        <f>VLOOKUP(Table2[[#This Row],[Tegevusala]],Table4[],2,FALSE)</f>
        <v xml:space="preserve"> Kergliiklusteed</v>
      </c>
      <c r="D356" s="3" t="str">
        <f>VLOOKUP(Table2[[#This Row],[Tegevusala]],Table4[[Tegevusala kood]:[Tegevusala alanimetus]],4,FALSE)</f>
        <v>Vaba aja üritused</v>
      </c>
      <c r="E356" s="3" t="str">
        <f>VLOOKUP(Table2[[#This Row],[Tegevusala nimetus2]],Table4[[Tegevusala nimetus]:[Tegevusala koondnimetus]],2,FALSE)</f>
        <v>Vabaaeg, kultuur ja religioon</v>
      </c>
      <c r="F356" t="s">
        <v>822</v>
      </c>
      <c r="G356" t="s">
        <v>2033</v>
      </c>
      <c r="H356" s="40">
        <v>250000</v>
      </c>
      <c r="J356">
        <v>1551</v>
      </c>
      <c r="K356" s="3" t="str">
        <f>VLOOKUP(Table2[[#This Row],[Konto]],Table5[[Konto]:[Konto nimetus]],2,FALSE)</f>
        <v>Rajatiste ja hoonete soetamine ja renoveerimine</v>
      </c>
      <c r="L356">
        <v>15</v>
      </c>
      <c r="M356" t="str">
        <f t="shared" si="11"/>
        <v>15</v>
      </c>
      <c r="N356" s="3" t="str">
        <f>VLOOKUP(Table2[[#This Row],[Tulu/kulu liik2]],Table5[[Tulu/kulu liik]:[Kontode koondnimetus]],4,FALSE)</f>
        <v>Põhivara soetus (-)</v>
      </c>
      <c r="O356" s="34" t="str">
        <f>VLOOKUP(Table2[[#This Row],[Tulu/kulu liik2]],Table5[],6,FALSE)</f>
        <v>Põhivara soetus (-)</v>
      </c>
      <c r="P356" s="3" t="str">
        <f>VLOOKUP(Table2[[#This Row],[Tulu/kulu liik2]],Table5[],5,FALSE)</f>
        <v>Investeerimistegevus</v>
      </c>
    </row>
    <row r="357" spans="1:16" hidden="1" x14ac:dyDescent="0.25">
      <c r="A357" t="str">
        <f t="shared" si="10"/>
        <v>08</v>
      </c>
      <c r="B357" t="s">
        <v>289</v>
      </c>
      <c r="C357" s="3" t="str">
        <f>VLOOKUP(Table2[[#This Row],[Tegevusala]],Table4[],2,FALSE)</f>
        <v xml:space="preserve"> Vilde kirjanduspreemia</v>
      </c>
      <c r="D357" s="3" t="str">
        <f>VLOOKUP(Table2[[#This Row],[Tegevusala]],Table4[[Tegevusala kood]:[Tegevusala alanimetus]],4,FALSE)</f>
        <v>Vaba aja üritused</v>
      </c>
      <c r="E357" s="3" t="str">
        <f>VLOOKUP(Table2[[#This Row],[Tegevusala nimetus2]],Table4[[Tegevusala nimetus]:[Tegevusala koondnimetus]],2,FALSE)</f>
        <v>Vabaaeg, kultuur ja religioon</v>
      </c>
      <c r="F357" t="s">
        <v>1823</v>
      </c>
      <c r="G357" t="s">
        <v>1930</v>
      </c>
      <c r="H357" s="40">
        <v>1000</v>
      </c>
      <c r="J357">
        <v>5500</v>
      </c>
      <c r="K357" s="3" t="str">
        <f>VLOOKUP(Table2[[#This Row],[Konto]],Table5[[Konto]:[Konto nimetus]],2,FALSE)</f>
        <v>Administreerimiskulud</v>
      </c>
      <c r="L357">
        <v>55</v>
      </c>
      <c r="M357" t="str">
        <f t="shared" si="11"/>
        <v>55</v>
      </c>
      <c r="N357" s="3" t="str">
        <f>VLOOKUP(Table2[[#This Row],[Tulu/kulu liik2]],Table5[[Tulu/kulu liik]:[Kontode koondnimetus]],4,FALSE)</f>
        <v>Muud tegevuskulud</v>
      </c>
      <c r="O357" s="3" t="str">
        <f>VLOOKUP(Table2[[#This Row],[Tulu/kulu liik2]],Table5[],6,FALSE)</f>
        <v>Majandamiskulud</v>
      </c>
      <c r="P357" s="3" t="str">
        <f>VLOOKUP(Table2[[#This Row],[Tulu/kulu liik2]],Table5[],5,FALSE)</f>
        <v>Põhitegevuse kulu</v>
      </c>
    </row>
    <row r="358" spans="1:16" hidden="1" x14ac:dyDescent="0.25">
      <c r="A358" t="str">
        <f t="shared" si="10"/>
        <v>08</v>
      </c>
      <c r="B358" s="1" t="s">
        <v>2082</v>
      </c>
      <c r="C358" s="3" t="str">
        <f>VLOOKUP(Table2[[#This Row],[Tegevusala]],Table4[],2,FALSE)</f>
        <v>Kultuuri projektide kaasfinantseerimised</v>
      </c>
      <c r="D358" s="3" t="str">
        <f>VLOOKUP(Table2[[#This Row],[Tegevusala]],Table4[[Tegevusala kood]:[Tegevusala alanimetus]],4,FALSE)</f>
        <v>Vaba aja üritused</v>
      </c>
      <c r="E358" s="3" t="str">
        <f>VLOOKUP(Table2[[#This Row],[Tegevusala nimetus2]],Table4[[Tegevusala nimetus]:[Tegevusala koondnimetus]],2,FALSE)</f>
        <v>Vabaaeg, kultuur ja religioon</v>
      </c>
      <c r="F358" t="s">
        <v>2071</v>
      </c>
      <c r="G358" t="s">
        <v>2084</v>
      </c>
      <c r="H358" s="40">
        <v>8000</v>
      </c>
      <c r="J358">
        <v>45008</v>
      </c>
      <c r="K358" s="3" t="str">
        <f>VLOOKUP(Table2[[#This Row],[Konto]],Table5[[Konto]:[Konto nimetus]],2,FALSE)</f>
        <v>Sihtotstarbelised eraldised muudele residentidele</v>
      </c>
      <c r="L358">
        <v>4500</v>
      </c>
      <c r="M358" t="str">
        <f t="shared" si="11"/>
        <v>45</v>
      </c>
      <c r="N358" s="3" t="str">
        <f>VLOOKUP(Table2[[#This Row],[Tulu/kulu liik2]],Table5[[Tulu/kulu liik]:[Kontode koondnimetus]],4,FALSE)</f>
        <v>Antavad toetused tegevuskuludeks</v>
      </c>
      <c r="O358" s="34" t="str">
        <f>VLOOKUP(Table2[[#This Row],[Tulu/kulu liik2]],Table5[],6,FALSE)</f>
        <v>Sihtotstarbelised toetused tegevuskuludeks</v>
      </c>
      <c r="P358" s="3" t="str">
        <f>VLOOKUP(Table2[[#This Row],[Tulu/kulu liik2]],Table5[],5,FALSE)</f>
        <v>Põhitegevuse kulu</v>
      </c>
    </row>
    <row r="359" spans="1:16" hidden="1" x14ac:dyDescent="0.25">
      <c r="A359" t="str">
        <f t="shared" si="10"/>
        <v>08</v>
      </c>
      <c r="B359" t="s">
        <v>291</v>
      </c>
      <c r="C359" s="3" t="str">
        <f>VLOOKUP(Table2[[#This Row],[Tegevusala]],Table4[],2,FALSE)</f>
        <v>Vinni-Pajusti Rahvaraamatukogu</v>
      </c>
      <c r="D359" s="3" t="str">
        <f>VLOOKUP(Table2[[#This Row],[Tegevusala]],Table4[[Tegevusala kood]:[Tegevusala alanimetus]],4,FALSE)</f>
        <v>Raamatukogud</v>
      </c>
      <c r="E359" s="3" t="str">
        <f>VLOOKUP(Table2[[#This Row],[Tegevusala nimetus2]],Table4[[Tegevusala nimetus]:[Tegevusala koondnimetus]],2,FALSE)</f>
        <v>Vabaaeg, kultuur ja religioon</v>
      </c>
      <c r="F359" t="s">
        <v>1035</v>
      </c>
      <c r="G359" t="s">
        <v>1036</v>
      </c>
      <c r="H359" s="40">
        <v>9000</v>
      </c>
      <c r="J359">
        <v>5511</v>
      </c>
      <c r="K359" s="3" t="str">
        <f>VLOOKUP(Table2[[#This Row],[Konto]],Table5[[Konto]:[Konto nimetus]],2,FALSE)</f>
        <v>Kinnistute, hoonete ja ruumide majandamiskulud</v>
      </c>
      <c r="L359">
        <v>55</v>
      </c>
      <c r="M359" t="str">
        <f t="shared" si="11"/>
        <v>55</v>
      </c>
      <c r="N359" s="3" t="str">
        <f>VLOOKUP(Table2[[#This Row],[Tulu/kulu liik2]],Table5[[Tulu/kulu liik]:[Kontode koondnimetus]],4,FALSE)</f>
        <v>Muud tegevuskulud</v>
      </c>
      <c r="O359" s="3" t="str">
        <f>VLOOKUP(Table2[[#This Row],[Tulu/kulu liik2]],Table5[],6,FALSE)</f>
        <v>Majandamiskulud</v>
      </c>
      <c r="P359" s="3" t="str">
        <f>VLOOKUP(Table2[[#This Row],[Tulu/kulu liik2]],Table5[],5,FALSE)</f>
        <v>Põhitegevuse kulu</v>
      </c>
    </row>
    <row r="360" spans="1:16" hidden="1" x14ac:dyDescent="0.25">
      <c r="A360" t="str">
        <f t="shared" si="10"/>
        <v>08</v>
      </c>
      <c r="B360" t="s">
        <v>291</v>
      </c>
      <c r="C360" s="3" t="str">
        <f>VLOOKUP(Table2[[#This Row],[Tegevusala]],Table4[],2,FALSE)</f>
        <v>Vinni-Pajusti Rahvaraamatukogu</v>
      </c>
      <c r="D360" s="3" t="str">
        <f>VLOOKUP(Table2[[#This Row],[Tegevusala]],Table4[[Tegevusala kood]:[Tegevusala alanimetus]],4,FALSE)</f>
        <v>Raamatukogud</v>
      </c>
      <c r="E360" s="3" t="str">
        <f>VLOOKUP(Table2[[#This Row],[Tegevusala nimetus2]],Table4[[Tegevusala nimetus]:[Tegevusala koondnimetus]],2,FALSE)</f>
        <v>Vabaaeg, kultuur ja religioon</v>
      </c>
      <c r="F360" t="s">
        <v>1035</v>
      </c>
      <c r="G360" t="s">
        <v>924</v>
      </c>
      <c r="H360" s="40">
        <v>2000</v>
      </c>
      <c r="J360">
        <v>5511</v>
      </c>
      <c r="K360" s="3" t="str">
        <f>VLOOKUP(Table2[[#This Row],[Konto]],Table5[[Konto]:[Konto nimetus]],2,FALSE)</f>
        <v>Kinnistute, hoonete ja ruumide majandamiskulud</v>
      </c>
      <c r="L360">
        <v>55</v>
      </c>
      <c r="M360" t="str">
        <f t="shared" si="11"/>
        <v>55</v>
      </c>
      <c r="N360" s="3" t="str">
        <f>VLOOKUP(Table2[[#This Row],[Tulu/kulu liik2]],Table5[[Tulu/kulu liik]:[Kontode koondnimetus]],4,FALSE)</f>
        <v>Muud tegevuskulud</v>
      </c>
      <c r="O360" s="3" t="str">
        <f>VLOOKUP(Table2[[#This Row],[Tulu/kulu liik2]],Table5[],6,FALSE)</f>
        <v>Majandamiskulud</v>
      </c>
      <c r="P360" s="3" t="str">
        <f>VLOOKUP(Table2[[#This Row],[Tulu/kulu liik2]],Table5[],5,FALSE)</f>
        <v>Põhitegevuse kulu</v>
      </c>
    </row>
    <row r="361" spans="1:16" hidden="1" x14ac:dyDescent="0.25">
      <c r="A361" t="str">
        <f t="shared" si="10"/>
        <v>08</v>
      </c>
      <c r="B361" t="s">
        <v>291</v>
      </c>
      <c r="C361" s="3" t="str">
        <f>VLOOKUP(Table2[[#This Row],[Tegevusala]],Table4[],2,FALSE)</f>
        <v>Vinni-Pajusti Rahvaraamatukogu</v>
      </c>
      <c r="D361" s="3" t="str">
        <f>VLOOKUP(Table2[[#This Row],[Tegevusala]],Table4[[Tegevusala kood]:[Tegevusala alanimetus]],4,FALSE)</f>
        <v>Raamatukogud</v>
      </c>
      <c r="E361" s="3" t="str">
        <f>VLOOKUP(Table2[[#This Row],[Tegevusala nimetus2]],Table4[[Tegevusala nimetus]:[Tegevusala koondnimetus]],2,FALSE)</f>
        <v>Vabaaeg, kultuur ja religioon</v>
      </c>
      <c r="F361" t="s">
        <v>1035</v>
      </c>
      <c r="G361" t="s">
        <v>1037</v>
      </c>
      <c r="H361" s="40">
        <v>120</v>
      </c>
      <c r="J361">
        <v>5511</v>
      </c>
      <c r="K361" s="3" t="str">
        <f>VLOOKUP(Table2[[#This Row],[Konto]],Table5[[Konto]:[Konto nimetus]],2,FALSE)</f>
        <v>Kinnistute, hoonete ja ruumide majandamiskulud</v>
      </c>
      <c r="L361">
        <v>55</v>
      </c>
      <c r="M361" t="str">
        <f t="shared" si="11"/>
        <v>55</v>
      </c>
      <c r="N361" s="3" t="str">
        <f>VLOOKUP(Table2[[#This Row],[Tulu/kulu liik2]],Table5[[Tulu/kulu liik]:[Kontode koondnimetus]],4,FALSE)</f>
        <v>Muud tegevuskulud</v>
      </c>
      <c r="O361" s="3" t="str">
        <f>VLOOKUP(Table2[[#This Row],[Tulu/kulu liik2]],Table5[],6,FALSE)</f>
        <v>Majandamiskulud</v>
      </c>
      <c r="P361" s="3" t="str">
        <f>VLOOKUP(Table2[[#This Row],[Tulu/kulu liik2]],Table5[],5,FALSE)</f>
        <v>Põhitegevuse kulu</v>
      </c>
    </row>
    <row r="362" spans="1:16" hidden="1" x14ac:dyDescent="0.25">
      <c r="A362" t="str">
        <f t="shared" si="10"/>
        <v>08</v>
      </c>
      <c r="B362" t="s">
        <v>291</v>
      </c>
      <c r="C362" s="3" t="str">
        <f>VLOOKUP(Table2[[#This Row],[Tegevusala]],Table4[],2,FALSE)</f>
        <v>Vinni-Pajusti Rahvaraamatukogu</v>
      </c>
      <c r="D362" s="3" t="str">
        <f>VLOOKUP(Table2[[#This Row],[Tegevusala]],Table4[[Tegevusala kood]:[Tegevusala alanimetus]],4,FALSE)</f>
        <v>Raamatukogud</v>
      </c>
      <c r="E362" s="3" t="str">
        <f>VLOOKUP(Table2[[#This Row],[Tegevusala nimetus2]],Table4[[Tegevusala nimetus]:[Tegevusala koondnimetus]],2,FALSE)</f>
        <v>Vabaaeg, kultuur ja religioon</v>
      </c>
      <c r="F362" t="s">
        <v>1035</v>
      </c>
      <c r="G362" t="s">
        <v>1038</v>
      </c>
      <c r="H362" s="40">
        <v>200</v>
      </c>
      <c r="J362">
        <v>5511</v>
      </c>
      <c r="K362" s="3" t="str">
        <f>VLOOKUP(Table2[[#This Row],[Konto]],Table5[[Konto]:[Konto nimetus]],2,FALSE)</f>
        <v>Kinnistute, hoonete ja ruumide majandamiskulud</v>
      </c>
      <c r="L362">
        <v>55</v>
      </c>
      <c r="M362" t="str">
        <f t="shared" si="11"/>
        <v>55</v>
      </c>
      <c r="N362" s="3" t="str">
        <f>VLOOKUP(Table2[[#This Row],[Tulu/kulu liik2]],Table5[[Tulu/kulu liik]:[Kontode koondnimetus]],4,FALSE)</f>
        <v>Muud tegevuskulud</v>
      </c>
      <c r="O362" s="3" t="str">
        <f>VLOOKUP(Table2[[#This Row],[Tulu/kulu liik2]],Table5[],6,FALSE)</f>
        <v>Majandamiskulud</v>
      </c>
      <c r="P362" s="3" t="str">
        <f>VLOOKUP(Table2[[#This Row],[Tulu/kulu liik2]],Table5[],5,FALSE)</f>
        <v>Põhitegevuse kulu</v>
      </c>
    </row>
    <row r="363" spans="1:16" hidden="1" x14ac:dyDescent="0.25">
      <c r="A363" t="str">
        <f t="shared" si="10"/>
        <v>08</v>
      </c>
      <c r="B363" t="s">
        <v>291</v>
      </c>
      <c r="C363" s="3" t="str">
        <f>VLOOKUP(Table2[[#This Row],[Tegevusala]],Table4[],2,FALSE)</f>
        <v>Vinni-Pajusti Rahvaraamatukogu</v>
      </c>
      <c r="D363" s="3" t="str">
        <f>VLOOKUP(Table2[[#This Row],[Tegevusala]],Table4[[Tegevusala kood]:[Tegevusala alanimetus]],4,FALSE)</f>
        <v>Raamatukogud</v>
      </c>
      <c r="E363" s="3" t="str">
        <f>VLOOKUP(Table2[[#This Row],[Tegevusala nimetus2]],Table4[[Tegevusala nimetus]:[Tegevusala koondnimetus]],2,FALSE)</f>
        <v>Vabaaeg, kultuur ja religioon</v>
      </c>
      <c r="F363" t="s">
        <v>1035</v>
      </c>
      <c r="G363" t="s">
        <v>1039</v>
      </c>
      <c r="H363" s="40">
        <v>100</v>
      </c>
      <c r="I363" s="2" t="s">
        <v>1044</v>
      </c>
      <c r="J363">
        <v>5511</v>
      </c>
      <c r="K363" s="3" t="str">
        <f>VLOOKUP(Table2[[#This Row],[Konto]],Table5[[Konto]:[Konto nimetus]],2,FALSE)</f>
        <v>Kinnistute, hoonete ja ruumide majandamiskulud</v>
      </c>
      <c r="L363">
        <v>55</v>
      </c>
      <c r="M363" t="str">
        <f t="shared" si="11"/>
        <v>55</v>
      </c>
      <c r="N363" s="3" t="str">
        <f>VLOOKUP(Table2[[#This Row],[Tulu/kulu liik2]],Table5[[Tulu/kulu liik]:[Kontode koondnimetus]],4,FALSE)</f>
        <v>Muud tegevuskulud</v>
      </c>
      <c r="O363" s="3" t="str">
        <f>VLOOKUP(Table2[[#This Row],[Tulu/kulu liik2]],Table5[],6,FALSE)</f>
        <v>Majandamiskulud</v>
      </c>
      <c r="P363" s="3" t="str">
        <f>VLOOKUP(Table2[[#This Row],[Tulu/kulu liik2]],Table5[],5,FALSE)</f>
        <v>Põhitegevuse kulu</v>
      </c>
    </row>
    <row r="364" spans="1:16" hidden="1" x14ac:dyDescent="0.25">
      <c r="A364" t="str">
        <f t="shared" si="10"/>
        <v>08</v>
      </c>
      <c r="B364" t="s">
        <v>291</v>
      </c>
      <c r="C364" s="3" t="str">
        <f>VLOOKUP(Table2[[#This Row],[Tegevusala]],Table4[],2,FALSE)</f>
        <v>Vinni-Pajusti Rahvaraamatukogu</v>
      </c>
      <c r="D364" s="3" t="str">
        <f>VLOOKUP(Table2[[#This Row],[Tegevusala]],Table4[[Tegevusala kood]:[Tegevusala alanimetus]],4,FALSE)</f>
        <v>Raamatukogud</v>
      </c>
      <c r="E364" s="3" t="str">
        <f>VLOOKUP(Table2[[#This Row],[Tegevusala nimetus2]],Table4[[Tegevusala nimetus]:[Tegevusala koondnimetus]],2,FALSE)</f>
        <v>Vabaaeg, kultuur ja religioon</v>
      </c>
      <c r="F364" t="s">
        <v>1035</v>
      </c>
      <c r="G364" t="s">
        <v>1040</v>
      </c>
      <c r="H364" s="40">
        <v>100</v>
      </c>
      <c r="J364">
        <v>5511</v>
      </c>
      <c r="K364" s="3" t="str">
        <f>VLOOKUP(Table2[[#This Row],[Konto]],Table5[[Konto]:[Konto nimetus]],2,FALSE)</f>
        <v>Kinnistute, hoonete ja ruumide majandamiskulud</v>
      </c>
      <c r="L364">
        <v>55</v>
      </c>
      <c r="M364" t="str">
        <f t="shared" si="11"/>
        <v>55</v>
      </c>
      <c r="N364" s="3" t="str">
        <f>VLOOKUP(Table2[[#This Row],[Tulu/kulu liik2]],Table5[[Tulu/kulu liik]:[Kontode koondnimetus]],4,FALSE)</f>
        <v>Muud tegevuskulud</v>
      </c>
      <c r="O364" s="3" t="str">
        <f>VLOOKUP(Table2[[#This Row],[Tulu/kulu liik2]],Table5[],6,FALSE)</f>
        <v>Majandamiskulud</v>
      </c>
      <c r="P364" s="3" t="str">
        <f>VLOOKUP(Table2[[#This Row],[Tulu/kulu liik2]],Table5[],5,FALSE)</f>
        <v>Põhitegevuse kulu</v>
      </c>
    </row>
    <row r="365" spans="1:16" hidden="1" x14ac:dyDescent="0.25">
      <c r="A365" t="str">
        <f t="shared" si="10"/>
        <v>08</v>
      </c>
      <c r="B365" t="s">
        <v>291</v>
      </c>
      <c r="C365" s="3" t="str">
        <f>VLOOKUP(Table2[[#This Row],[Tegevusala]],Table4[],2,FALSE)</f>
        <v>Vinni-Pajusti Rahvaraamatukogu</v>
      </c>
      <c r="D365" s="3" t="str">
        <f>VLOOKUP(Table2[[#This Row],[Tegevusala]],Table4[[Tegevusala kood]:[Tegevusala alanimetus]],4,FALSE)</f>
        <v>Raamatukogud</v>
      </c>
      <c r="E365" s="3" t="str">
        <f>VLOOKUP(Table2[[#This Row],[Tegevusala nimetus2]],Table4[[Tegevusala nimetus]:[Tegevusala koondnimetus]],2,FALSE)</f>
        <v>Vabaaeg, kultuur ja religioon</v>
      </c>
      <c r="F365" t="s">
        <v>1035</v>
      </c>
      <c r="G365" t="s">
        <v>1026</v>
      </c>
      <c r="H365" s="40">
        <v>100</v>
      </c>
      <c r="J365">
        <v>5500</v>
      </c>
      <c r="K365" s="3" t="str">
        <f>VLOOKUP(Table2[[#This Row],[Konto]],Table5[[Konto]:[Konto nimetus]],2,FALSE)</f>
        <v>Administreerimiskulud</v>
      </c>
      <c r="L365">
        <v>55</v>
      </c>
      <c r="M365" t="str">
        <f t="shared" si="11"/>
        <v>55</v>
      </c>
      <c r="N365" s="3" t="str">
        <f>VLOOKUP(Table2[[#This Row],[Tulu/kulu liik2]],Table5[[Tulu/kulu liik]:[Kontode koondnimetus]],4,FALSE)</f>
        <v>Muud tegevuskulud</v>
      </c>
      <c r="O365" s="3" t="str">
        <f>VLOOKUP(Table2[[#This Row],[Tulu/kulu liik2]],Table5[],6,FALSE)</f>
        <v>Majandamiskulud</v>
      </c>
      <c r="P365" s="3" t="str">
        <f>VLOOKUP(Table2[[#This Row],[Tulu/kulu liik2]],Table5[],5,FALSE)</f>
        <v>Põhitegevuse kulu</v>
      </c>
    </row>
    <row r="366" spans="1:16" hidden="1" x14ac:dyDescent="0.25">
      <c r="A366" t="str">
        <f t="shared" si="10"/>
        <v>08</v>
      </c>
      <c r="B366" t="s">
        <v>291</v>
      </c>
      <c r="C366" s="3" t="str">
        <f>VLOOKUP(Table2[[#This Row],[Tegevusala]],Table4[],2,FALSE)</f>
        <v>Vinni-Pajusti Rahvaraamatukogu</v>
      </c>
      <c r="D366" s="3" t="str">
        <f>VLOOKUP(Table2[[#This Row],[Tegevusala]],Table4[[Tegevusala kood]:[Tegevusala alanimetus]],4,FALSE)</f>
        <v>Raamatukogud</v>
      </c>
      <c r="E366" s="3" t="str">
        <f>VLOOKUP(Table2[[#This Row],[Tegevusala nimetus2]],Table4[[Tegevusala nimetus]:[Tegevusala koondnimetus]],2,FALSE)</f>
        <v>Vabaaeg, kultuur ja religioon</v>
      </c>
      <c r="F366" t="s">
        <v>1035</v>
      </c>
      <c r="G366" t="s">
        <v>1027</v>
      </c>
      <c r="H366" s="40">
        <v>190</v>
      </c>
      <c r="J366">
        <v>5500</v>
      </c>
      <c r="K366" s="3" t="str">
        <f>VLOOKUP(Table2[[#This Row],[Konto]],Table5[[Konto]:[Konto nimetus]],2,FALSE)</f>
        <v>Administreerimiskulud</v>
      </c>
      <c r="L366">
        <v>55</v>
      </c>
      <c r="M366" t="str">
        <f t="shared" si="11"/>
        <v>55</v>
      </c>
      <c r="N366" s="3" t="str">
        <f>VLOOKUP(Table2[[#This Row],[Tulu/kulu liik2]],Table5[[Tulu/kulu liik]:[Kontode koondnimetus]],4,FALSE)</f>
        <v>Muud tegevuskulud</v>
      </c>
      <c r="O366" s="3" t="str">
        <f>VLOOKUP(Table2[[#This Row],[Tulu/kulu liik2]],Table5[],6,FALSE)</f>
        <v>Majandamiskulud</v>
      </c>
      <c r="P366" s="3" t="str">
        <f>VLOOKUP(Table2[[#This Row],[Tulu/kulu liik2]],Table5[],5,FALSE)</f>
        <v>Põhitegevuse kulu</v>
      </c>
    </row>
    <row r="367" spans="1:16" hidden="1" x14ac:dyDescent="0.25">
      <c r="A367" t="str">
        <f t="shared" si="10"/>
        <v>08</v>
      </c>
      <c r="B367" t="s">
        <v>291</v>
      </c>
      <c r="C367" s="3" t="str">
        <f>VLOOKUP(Table2[[#This Row],[Tegevusala]],Table4[],2,FALSE)</f>
        <v>Vinni-Pajusti Rahvaraamatukogu</v>
      </c>
      <c r="D367" s="3" t="str">
        <f>VLOOKUP(Table2[[#This Row],[Tegevusala]],Table4[[Tegevusala kood]:[Tegevusala alanimetus]],4,FALSE)</f>
        <v>Raamatukogud</v>
      </c>
      <c r="E367" s="3" t="str">
        <f>VLOOKUP(Table2[[#This Row],[Tegevusala nimetus2]],Table4[[Tegevusala nimetus]:[Tegevusala koondnimetus]],2,FALSE)</f>
        <v>Vabaaeg, kultuur ja religioon</v>
      </c>
      <c r="F367" t="s">
        <v>1035</v>
      </c>
      <c r="G367" t="s">
        <v>1028</v>
      </c>
      <c r="H367" s="40">
        <v>120</v>
      </c>
      <c r="J367">
        <v>5500</v>
      </c>
      <c r="K367" s="3" t="str">
        <f>VLOOKUP(Table2[[#This Row],[Konto]],Table5[[Konto]:[Konto nimetus]],2,FALSE)</f>
        <v>Administreerimiskulud</v>
      </c>
      <c r="L367">
        <v>55</v>
      </c>
      <c r="M367" t="str">
        <f t="shared" si="11"/>
        <v>55</v>
      </c>
      <c r="N367" s="3" t="str">
        <f>VLOOKUP(Table2[[#This Row],[Tulu/kulu liik2]],Table5[[Tulu/kulu liik]:[Kontode koondnimetus]],4,FALSE)</f>
        <v>Muud tegevuskulud</v>
      </c>
      <c r="O367" s="3" t="str">
        <f>VLOOKUP(Table2[[#This Row],[Tulu/kulu liik2]],Table5[],6,FALSE)</f>
        <v>Majandamiskulud</v>
      </c>
      <c r="P367" s="3" t="str">
        <f>VLOOKUP(Table2[[#This Row],[Tulu/kulu liik2]],Table5[],5,FALSE)</f>
        <v>Põhitegevuse kulu</v>
      </c>
    </row>
    <row r="368" spans="1:16" hidden="1" x14ac:dyDescent="0.25">
      <c r="A368" t="str">
        <f t="shared" si="10"/>
        <v>08</v>
      </c>
      <c r="B368" t="s">
        <v>291</v>
      </c>
      <c r="C368" s="3" t="str">
        <f>VLOOKUP(Table2[[#This Row],[Tegevusala]],Table4[],2,FALSE)</f>
        <v>Vinni-Pajusti Rahvaraamatukogu</v>
      </c>
      <c r="D368" s="3" t="str">
        <f>VLOOKUP(Table2[[#This Row],[Tegevusala]],Table4[[Tegevusala kood]:[Tegevusala alanimetus]],4,FALSE)</f>
        <v>Raamatukogud</v>
      </c>
      <c r="E368" s="3" t="str">
        <f>VLOOKUP(Table2[[#This Row],[Tegevusala nimetus2]],Table4[[Tegevusala nimetus]:[Tegevusala koondnimetus]],2,FALSE)</f>
        <v>Vabaaeg, kultuur ja religioon</v>
      </c>
      <c r="F368" t="s">
        <v>1035</v>
      </c>
      <c r="G368" t="s">
        <v>1029</v>
      </c>
      <c r="H368" s="40">
        <v>2000</v>
      </c>
      <c r="J368">
        <v>5500</v>
      </c>
      <c r="K368" s="3" t="str">
        <f>VLOOKUP(Table2[[#This Row],[Konto]],Table5[[Konto]:[Konto nimetus]],2,FALSE)</f>
        <v>Administreerimiskulud</v>
      </c>
      <c r="L368">
        <v>55</v>
      </c>
      <c r="M368" t="str">
        <f t="shared" si="11"/>
        <v>55</v>
      </c>
      <c r="N368" s="3" t="str">
        <f>VLOOKUP(Table2[[#This Row],[Tulu/kulu liik2]],Table5[[Tulu/kulu liik]:[Kontode koondnimetus]],4,FALSE)</f>
        <v>Muud tegevuskulud</v>
      </c>
      <c r="O368" s="3" t="str">
        <f>VLOOKUP(Table2[[#This Row],[Tulu/kulu liik2]],Table5[],6,FALSE)</f>
        <v>Majandamiskulud</v>
      </c>
      <c r="P368" s="3" t="str">
        <f>VLOOKUP(Table2[[#This Row],[Tulu/kulu liik2]],Table5[],5,FALSE)</f>
        <v>Põhitegevuse kulu</v>
      </c>
    </row>
    <row r="369" spans="1:16" hidden="1" x14ac:dyDescent="0.25">
      <c r="A369" t="str">
        <f t="shared" si="10"/>
        <v>08</v>
      </c>
      <c r="B369" t="s">
        <v>291</v>
      </c>
      <c r="C369" s="3" t="str">
        <f>VLOOKUP(Table2[[#This Row],[Tegevusala]],Table4[],2,FALSE)</f>
        <v>Vinni-Pajusti Rahvaraamatukogu</v>
      </c>
      <c r="D369" s="3" t="str">
        <f>VLOOKUP(Table2[[#This Row],[Tegevusala]],Table4[[Tegevusala kood]:[Tegevusala alanimetus]],4,FALSE)</f>
        <v>Raamatukogud</v>
      </c>
      <c r="E369" s="3" t="str">
        <f>VLOOKUP(Table2[[#This Row],[Tegevusala nimetus2]],Table4[[Tegevusala nimetus]:[Tegevusala koondnimetus]],2,FALSE)</f>
        <v>Vabaaeg, kultuur ja religioon</v>
      </c>
      <c r="F369" t="s">
        <v>1035</v>
      </c>
      <c r="G369" t="s">
        <v>1030</v>
      </c>
      <c r="H369" s="40">
        <v>150</v>
      </c>
      <c r="J369">
        <v>5500</v>
      </c>
      <c r="K369" s="3" t="str">
        <f>VLOOKUP(Table2[[#This Row],[Konto]],Table5[[Konto]:[Konto nimetus]],2,FALSE)</f>
        <v>Administreerimiskulud</v>
      </c>
      <c r="L369">
        <v>55</v>
      </c>
      <c r="M369" t="str">
        <f t="shared" si="11"/>
        <v>55</v>
      </c>
      <c r="N369" s="3" t="str">
        <f>VLOOKUP(Table2[[#This Row],[Tulu/kulu liik2]],Table5[[Tulu/kulu liik]:[Kontode koondnimetus]],4,FALSE)</f>
        <v>Muud tegevuskulud</v>
      </c>
      <c r="O369" s="3" t="str">
        <f>VLOOKUP(Table2[[#This Row],[Tulu/kulu liik2]],Table5[],6,FALSE)</f>
        <v>Majandamiskulud</v>
      </c>
      <c r="P369" s="3" t="str">
        <f>VLOOKUP(Table2[[#This Row],[Tulu/kulu liik2]],Table5[],5,FALSE)</f>
        <v>Põhitegevuse kulu</v>
      </c>
    </row>
    <row r="370" spans="1:16" hidden="1" x14ac:dyDescent="0.25">
      <c r="A370" t="str">
        <f t="shared" si="10"/>
        <v>08</v>
      </c>
      <c r="B370" t="s">
        <v>291</v>
      </c>
      <c r="C370" s="3" t="str">
        <f>VLOOKUP(Table2[[#This Row],[Tegevusala]],Table4[],2,FALSE)</f>
        <v>Vinni-Pajusti Rahvaraamatukogu</v>
      </c>
      <c r="D370" s="3" t="str">
        <f>VLOOKUP(Table2[[#This Row],[Tegevusala]],Table4[[Tegevusala kood]:[Tegevusala alanimetus]],4,FALSE)</f>
        <v>Raamatukogud</v>
      </c>
      <c r="E370" s="3" t="str">
        <f>VLOOKUP(Table2[[#This Row],[Tegevusala nimetus2]],Table4[[Tegevusala nimetus]:[Tegevusala koondnimetus]],2,FALSE)</f>
        <v>Vabaaeg, kultuur ja religioon</v>
      </c>
      <c r="F370" t="s">
        <v>1035</v>
      </c>
      <c r="G370" t="s">
        <v>1031</v>
      </c>
      <c r="H370" s="40">
        <v>800</v>
      </c>
      <c r="J370">
        <v>5500</v>
      </c>
      <c r="K370" s="3" t="str">
        <f>VLOOKUP(Table2[[#This Row],[Konto]],Table5[[Konto]:[Konto nimetus]],2,FALSE)</f>
        <v>Administreerimiskulud</v>
      </c>
      <c r="L370">
        <v>55</v>
      </c>
      <c r="M370" t="str">
        <f t="shared" si="11"/>
        <v>55</v>
      </c>
      <c r="N370" s="3" t="str">
        <f>VLOOKUP(Table2[[#This Row],[Tulu/kulu liik2]],Table5[[Tulu/kulu liik]:[Kontode koondnimetus]],4,FALSE)</f>
        <v>Muud tegevuskulud</v>
      </c>
      <c r="O370" s="3" t="str">
        <f>VLOOKUP(Table2[[#This Row],[Tulu/kulu liik2]],Table5[],6,FALSE)</f>
        <v>Majandamiskulud</v>
      </c>
      <c r="P370" s="3" t="str">
        <f>VLOOKUP(Table2[[#This Row],[Tulu/kulu liik2]],Table5[],5,FALSE)</f>
        <v>Põhitegevuse kulu</v>
      </c>
    </row>
    <row r="371" spans="1:16" hidden="1" x14ac:dyDescent="0.25">
      <c r="A371" t="str">
        <f t="shared" si="10"/>
        <v>08</v>
      </c>
      <c r="B371" t="s">
        <v>291</v>
      </c>
      <c r="C371" s="3" t="str">
        <f>VLOOKUP(Table2[[#This Row],[Tegevusala]],Table4[],2,FALSE)</f>
        <v>Vinni-Pajusti Rahvaraamatukogu</v>
      </c>
      <c r="D371" s="3" t="str">
        <f>VLOOKUP(Table2[[#This Row],[Tegevusala]],Table4[[Tegevusala kood]:[Tegevusala alanimetus]],4,FALSE)</f>
        <v>Raamatukogud</v>
      </c>
      <c r="E371" s="3" t="str">
        <f>VLOOKUP(Table2[[#This Row],[Tegevusala nimetus2]],Table4[[Tegevusala nimetus]:[Tegevusala koondnimetus]],2,FALSE)</f>
        <v>Vabaaeg, kultuur ja religioon</v>
      </c>
      <c r="F371" t="s">
        <v>1035</v>
      </c>
      <c r="G371" t="s">
        <v>1032</v>
      </c>
      <c r="H371" s="40">
        <v>100</v>
      </c>
      <c r="J371">
        <v>5500</v>
      </c>
      <c r="K371" s="3" t="str">
        <f>VLOOKUP(Table2[[#This Row],[Konto]],Table5[[Konto]:[Konto nimetus]],2,FALSE)</f>
        <v>Administreerimiskulud</v>
      </c>
      <c r="L371">
        <v>55</v>
      </c>
      <c r="M371" t="str">
        <f t="shared" si="11"/>
        <v>55</v>
      </c>
      <c r="N371" s="3" t="str">
        <f>VLOOKUP(Table2[[#This Row],[Tulu/kulu liik2]],Table5[[Tulu/kulu liik]:[Kontode koondnimetus]],4,FALSE)</f>
        <v>Muud tegevuskulud</v>
      </c>
      <c r="O371" s="3" t="str">
        <f>VLOOKUP(Table2[[#This Row],[Tulu/kulu liik2]],Table5[],6,FALSE)</f>
        <v>Majandamiskulud</v>
      </c>
      <c r="P371" s="3" t="str">
        <f>VLOOKUP(Table2[[#This Row],[Tulu/kulu liik2]],Table5[],5,FALSE)</f>
        <v>Põhitegevuse kulu</v>
      </c>
    </row>
    <row r="372" spans="1:16" hidden="1" x14ac:dyDescent="0.25">
      <c r="A372" t="str">
        <f t="shared" si="10"/>
        <v>08</v>
      </c>
      <c r="B372" t="s">
        <v>291</v>
      </c>
      <c r="C372" s="3" t="str">
        <f>VLOOKUP(Table2[[#This Row],[Tegevusala]],Table4[],2,FALSE)</f>
        <v>Vinni-Pajusti Rahvaraamatukogu</v>
      </c>
      <c r="D372" s="3" t="str">
        <f>VLOOKUP(Table2[[#This Row],[Tegevusala]],Table4[[Tegevusala kood]:[Tegevusala alanimetus]],4,FALSE)</f>
        <v>Raamatukogud</v>
      </c>
      <c r="E372" s="3" t="str">
        <f>VLOOKUP(Table2[[#This Row],[Tegevusala nimetus2]],Table4[[Tegevusala nimetus]:[Tegevusala koondnimetus]],2,FALSE)</f>
        <v>Vabaaeg, kultuur ja religioon</v>
      </c>
      <c r="F372" t="s">
        <v>1035</v>
      </c>
      <c r="G372" t="s">
        <v>102</v>
      </c>
      <c r="H372" s="40">
        <v>500</v>
      </c>
      <c r="I372" s="2" t="s">
        <v>1033</v>
      </c>
      <c r="J372">
        <v>5504</v>
      </c>
      <c r="K372" s="3" t="str">
        <f>VLOOKUP(Table2[[#This Row],[Konto]],Table5[[Konto]:[Konto nimetus]],2,FALSE)</f>
        <v>Koolituskulud</v>
      </c>
      <c r="L372">
        <v>55</v>
      </c>
      <c r="M372" t="str">
        <f t="shared" si="11"/>
        <v>55</v>
      </c>
      <c r="N372" s="3" t="str">
        <f>VLOOKUP(Table2[[#This Row],[Tulu/kulu liik2]],Table5[[Tulu/kulu liik]:[Kontode koondnimetus]],4,FALSE)</f>
        <v>Muud tegevuskulud</v>
      </c>
      <c r="O372" s="3" t="str">
        <f>VLOOKUP(Table2[[#This Row],[Tulu/kulu liik2]],Table5[],6,FALSE)</f>
        <v>Majandamiskulud</v>
      </c>
      <c r="P372" s="3" t="str">
        <f>VLOOKUP(Table2[[#This Row],[Tulu/kulu liik2]],Table5[],5,FALSE)</f>
        <v>Põhitegevuse kulu</v>
      </c>
    </row>
    <row r="373" spans="1:16" hidden="1" x14ac:dyDescent="0.25">
      <c r="A373" t="str">
        <f t="shared" si="10"/>
        <v>08</v>
      </c>
      <c r="B373" t="s">
        <v>291</v>
      </c>
      <c r="C373" s="3" t="str">
        <f>VLOOKUP(Table2[[#This Row],[Tegevusala]],Table4[],2,FALSE)</f>
        <v>Vinni-Pajusti Rahvaraamatukogu</v>
      </c>
      <c r="D373" s="3" t="str">
        <f>VLOOKUP(Table2[[#This Row],[Tegevusala]],Table4[[Tegevusala kood]:[Tegevusala alanimetus]],4,FALSE)</f>
        <v>Raamatukogud</v>
      </c>
      <c r="E373" s="3" t="str">
        <f>VLOOKUP(Table2[[#This Row],[Tegevusala nimetus2]],Table4[[Tegevusala nimetus]:[Tegevusala koondnimetus]],2,FALSE)</f>
        <v>Vabaaeg, kultuur ja religioon</v>
      </c>
      <c r="F373" t="s">
        <v>1035</v>
      </c>
      <c r="G373" t="s">
        <v>101</v>
      </c>
      <c r="H373" s="40">
        <v>100</v>
      </c>
      <c r="I373" s="2" t="s">
        <v>1034</v>
      </c>
      <c r="J373">
        <v>5504</v>
      </c>
      <c r="K373" s="3" t="str">
        <f>VLOOKUP(Table2[[#This Row],[Konto]],Table5[[Konto]:[Konto nimetus]],2,FALSE)</f>
        <v>Koolituskulud</v>
      </c>
      <c r="L373">
        <v>55</v>
      </c>
      <c r="M373" t="str">
        <f t="shared" si="11"/>
        <v>55</v>
      </c>
      <c r="N373" s="3" t="str">
        <f>VLOOKUP(Table2[[#This Row],[Tulu/kulu liik2]],Table5[[Tulu/kulu liik]:[Kontode koondnimetus]],4,FALSE)</f>
        <v>Muud tegevuskulud</v>
      </c>
      <c r="O373" s="3" t="str">
        <f>VLOOKUP(Table2[[#This Row],[Tulu/kulu liik2]],Table5[],6,FALSE)</f>
        <v>Majandamiskulud</v>
      </c>
      <c r="P373" s="3" t="str">
        <f>VLOOKUP(Table2[[#This Row],[Tulu/kulu liik2]],Table5[],5,FALSE)</f>
        <v>Põhitegevuse kulu</v>
      </c>
    </row>
    <row r="374" spans="1:16" hidden="1" x14ac:dyDescent="0.25">
      <c r="A374" t="str">
        <f t="shared" si="10"/>
        <v>08</v>
      </c>
      <c r="B374" t="s">
        <v>291</v>
      </c>
      <c r="C374" s="3" t="str">
        <f>VLOOKUP(Table2[[#This Row],[Tegevusala]],Table4[],2,FALSE)</f>
        <v>Vinni-Pajusti Rahvaraamatukogu</v>
      </c>
      <c r="D374" s="3" t="str">
        <f>VLOOKUP(Table2[[#This Row],[Tegevusala]],Table4[[Tegevusala kood]:[Tegevusala alanimetus]],4,FALSE)</f>
        <v>Raamatukogud</v>
      </c>
      <c r="E374" s="3" t="str">
        <f>VLOOKUP(Table2[[#This Row],[Tegevusala nimetus2]],Table4[[Tegevusala nimetus]:[Tegevusala koondnimetus]],2,FALSE)</f>
        <v>Vabaaeg, kultuur ja religioon</v>
      </c>
      <c r="F374" t="s">
        <v>1035</v>
      </c>
      <c r="G374" t="s">
        <v>1041</v>
      </c>
      <c r="H374" s="40">
        <v>450</v>
      </c>
      <c r="J374">
        <v>5511</v>
      </c>
      <c r="K374" s="3" t="str">
        <f>VLOOKUP(Table2[[#This Row],[Konto]],Table5[[Konto]:[Konto nimetus]],2,FALSE)</f>
        <v>Kinnistute, hoonete ja ruumide majandamiskulud</v>
      </c>
      <c r="L374">
        <v>55</v>
      </c>
      <c r="M374" t="str">
        <f t="shared" si="11"/>
        <v>55</v>
      </c>
      <c r="N374" s="3" t="str">
        <f>VLOOKUP(Table2[[#This Row],[Tulu/kulu liik2]],Table5[[Tulu/kulu liik]:[Kontode koondnimetus]],4,FALSE)</f>
        <v>Muud tegevuskulud</v>
      </c>
      <c r="O374" s="3" t="str">
        <f>VLOOKUP(Table2[[#This Row],[Tulu/kulu liik2]],Table5[],6,FALSE)</f>
        <v>Majandamiskulud</v>
      </c>
      <c r="P374" s="3" t="str">
        <f>VLOOKUP(Table2[[#This Row],[Tulu/kulu liik2]],Table5[],5,FALSE)</f>
        <v>Põhitegevuse kulu</v>
      </c>
    </row>
    <row r="375" spans="1:16" hidden="1" x14ac:dyDescent="0.25">
      <c r="A375" t="str">
        <f t="shared" si="10"/>
        <v>08</v>
      </c>
      <c r="B375" t="s">
        <v>291</v>
      </c>
      <c r="C375" s="3" t="str">
        <f>VLOOKUP(Table2[[#This Row],[Tegevusala]],Table4[],2,FALSE)</f>
        <v>Vinni-Pajusti Rahvaraamatukogu</v>
      </c>
      <c r="D375" s="3" t="str">
        <f>VLOOKUP(Table2[[#This Row],[Tegevusala]],Table4[[Tegevusala kood]:[Tegevusala alanimetus]],4,FALSE)</f>
        <v>Raamatukogud</v>
      </c>
      <c r="E375" s="3" t="str">
        <f>VLOOKUP(Table2[[#This Row],[Tegevusala nimetus2]],Table4[[Tegevusala nimetus]:[Tegevusala koondnimetus]],2,FALSE)</f>
        <v>Vabaaeg, kultuur ja religioon</v>
      </c>
      <c r="F375" t="s">
        <v>1035</v>
      </c>
      <c r="G375" t="s">
        <v>1042</v>
      </c>
      <c r="H375" s="40">
        <v>125</v>
      </c>
      <c r="J375">
        <v>5511</v>
      </c>
      <c r="K375" s="3" t="str">
        <f>VLOOKUP(Table2[[#This Row],[Konto]],Table5[[Konto]:[Konto nimetus]],2,FALSE)</f>
        <v>Kinnistute, hoonete ja ruumide majandamiskulud</v>
      </c>
      <c r="L375">
        <v>55</v>
      </c>
      <c r="M375" t="str">
        <f t="shared" si="11"/>
        <v>55</v>
      </c>
      <c r="N375" s="3" t="str">
        <f>VLOOKUP(Table2[[#This Row],[Tulu/kulu liik2]],Table5[[Tulu/kulu liik]:[Kontode koondnimetus]],4,FALSE)</f>
        <v>Muud tegevuskulud</v>
      </c>
      <c r="O375" s="3" t="str">
        <f>VLOOKUP(Table2[[#This Row],[Tulu/kulu liik2]],Table5[],6,FALSE)</f>
        <v>Majandamiskulud</v>
      </c>
      <c r="P375" s="3" t="str">
        <f>VLOOKUP(Table2[[#This Row],[Tulu/kulu liik2]],Table5[],5,FALSE)</f>
        <v>Põhitegevuse kulu</v>
      </c>
    </row>
    <row r="376" spans="1:16" hidden="1" x14ac:dyDescent="0.25">
      <c r="A376" t="str">
        <f t="shared" si="10"/>
        <v>08</v>
      </c>
      <c r="B376" t="s">
        <v>291</v>
      </c>
      <c r="C376" s="3" t="str">
        <f>VLOOKUP(Table2[[#This Row],[Tegevusala]],Table4[],2,FALSE)</f>
        <v>Vinni-Pajusti Rahvaraamatukogu</v>
      </c>
      <c r="D376" s="3" t="str">
        <f>VLOOKUP(Table2[[#This Row],[Tegevusala]],Table4[[Tegevusala kood]:[Tegevusala alanimetus]],4,FALSE)</f>
        <v>Raamatukogud</v>
      </c>
      <c r="E376" s="3" t="str">
        <f>VLOOKUP(Table2[[#This Row],[Tegevusala nimetus2]],Table4[[Tegevusala nimetus]:[Tegevusala koondnimetus]],2,FALSE)</f>
        <v>Vabaaeg, kultuur ja religioon</v>
      </c>
      <c r="F376" t="s">
        <v>1035</v>
      </c>
      <c r="G376" t="s">
        <v>1043</v>
      </c>
      <c r="H376" s="40">
        <v>200</v>
      </c>
      <c r="J376">
        <v>5511</v>
      </c>
      <c r="K376" s="3" t="str">
        <f>VLOOKUP(Table2[[#This Row],[Konto]],Table5[[Konto]:[Konto nimetus]],2,FALSE)</f>
        <v>Kinnistute, hoonete ja ruumide majandamiskulud</v>
      </c>
      <c r="L376">
        <v>55</v>
      </c>
      <c r="M376" t="str">
        <f t="shared" si="11"/>
        <v>55</v>
      </c>
      <c r="N376" s="3" t="str">
        <f>VLOOKUP(Table2[[#This Row],[Tulu/kulu liik2]],Table5[[Tulu/kulu liik]:[Kontode koondnimetus]],4,FALSE)</f>
        <v>Muud tegevuskulud</v>
      </c>
      <c r="O376" s="3" t="str">
        <f>VLOOKUP(Table2[[#This Row],[Tulu/kulu liik2]],Table5[],6,FALSE)</f>
        <v>Majandamiskulud</v>
      </c>
      <c r="P376" s="3" t="str">
        <f>VLOOKUP(Table2[[#This Row],[Tulu/kulu liik2]],Table5[],5,FALSE)</f>
        <v>Põhitegevuse kulu</v>
      </c>
    </row>
    <row r="377" spans="1:16" hidden="1" x14ac:dyDescent="0.25">
      <c r="A377" t="str">
        <f t="shared" si="10"/>
        <v>08</v>
      </c>
      <c r="B377" t="s">
        <v>291</v>
      </c>
      <c r="C377" s="3" t="str">
        <f>VLOOKUP(Table2[[#This Row],[Tegevusala]],Table4[],2,FALSE)</f>
        <v>Vinni-Pajusti Rahvaraamatukogu</v>
      </c>
      <c r="D377" s="3" t="str">
        <f>VLOOKUP(Table2[[#This Row],[Tegevusala]],Table4[[Tegevusala kood]:[Tegevusala alanimetus]],4,FALSE)</f>
        <v>Raamatukogud</v>
      </c>
      <c r="E377" s="3" t="str">
        <f>VLOOKUP(Table2[[#This Row],[Tegevusala nimetus2]],Table4[[Tegevusala nimetus]:[Tegevusala koondnimetus]],2,FALSE)</f>
        <v>Vabaaeg, kultuur ja religioon</v>
      </c>
      <c r="F377" t="s">
        <v>1035</v>
      </c>
      <c r="G377" t="s">
        <v>1045</v>
      </c>
      <c r="H377" s="40">
        <v>400</v>
      </c>
      <c r="I377" s="2" t="s">
        <v>1046</v>
      </c>
      <c r="J377">
        <v>5513</v>
      </c>
      <c r="K377" s="3" t="str">
        <f>VLOOKUP(Table2[[#This Row],[Konto]],Table5[[Konto]:[Konto nimetus]],2,FALSE)</f>
        <v>Sõidukite ülalpidamise kulud</v>
      </c>
      <c r="L377">
        <v>55</v>
      </c>
      <c r="M377" t="str">
        <f t="shared" si="11"/>
        <v>55</v>
      </c>
      <c r="N377" s="3" t="str">
        <f>VLOOKUP(Table2[[#This Row],[Tulu/kulu liik2]],Table5[[Tulu/kulu liik]:[Kontode koondnimetus]],4,FALSE)</f>
        <v>Muud tegevuskulud</v>
      </c>
      <c r="O377" s="3" t="str">
        <f>VLOOKUP(Table2[[#This Row],[Tulu/kulu liik2]],Table5[],6,FALSE)</f>
        <v>Majandamiskulud</v>
      </c>
      <c r="P377" s="3" t="str">
        <f>VLOOKUP(Table2[[#This Row],[Tulu/kulu liik2]],Table5[],5,FALSE)</f>
        <v>Põhitegevuse kulu</v>
      </c>
    </row>
    <row r="378" spans="1:16" hidden="1" x14ac:dyDescent="0.25">
      <c r="A378" t="str">
        <f t="shared" si="10"/>
        <v>08</v>
      </c>
      <c r="B378" t="s">
        <v>291</v>
      </c>
      <c r="C378" s="3" t="str">
        <f>VLOOKUP(Table2[[#This Row],[Tegevusala]],Table4[],2,FALSE)</f>
        <v>Vinni-Pajusti Rahvaraamatukogu</v>
      </c>
      <c r="D378" s="3" t="str">
        <f>VLOOKUP(Table2[[#This Row],[Tegevusala]],Table4[[Tegevusala kood]:[Tegevusala alanimetus]],4,FALSE)</f>
        <v>Raamatukogud</v>
      </c>
      <c r="E378" s="3" t="str">
        <f>VLOOKUP(Table2[[#This Row],[Tegevusala nimetus2]],Table4[[Tegevusala nimetus]:[Tegevusala koondnimetus]],2,FALSE)</f>
        <v>Vabaaeg, kultuur ja religioon</v>
      </c>
      <c r="F378" t="s">
        <v>1035</v>
      </c>
      <c r="G378" t="s">
        <v>1050</v>
      </c>
      <c r="H378" s="40">
        <v>200</v>
      </c>
      <c r="J378">
        <v>5522</v>
      </c>
      <c r="K378" s="3" t="str">
        <f>VLOOKUP(Table2[[#This Row],[Konto]],Table5[[Konto]:[Konto nimetus]],2,FALSE)</f>
        <v>Meditsiinikulud ja hügieenitarbed</v>
      </c>
      <c r="L378">
        <v>55</v>
      </c>
      <c r="M378" t="str">
        <f t="shared" si="11"/>
        <v>55</v>
      </c>
      <c r="N378" s="3" t="str">
        <f>VLOOKUP(Table2[[#This Row],[Tulu/kulu liik2]],Table5[[Tulu/kulu liik]:[Kontode koondnimetus]],4,FALSE)</f>
        <v>Muud tegevuskulud</v>
      </c>
      <c r="O378" s="3" t="str">
        <f>VLOOKUP(Table2[[#This Row],[Tulu/kulu liik2]],Table5[],6,FALSE)</f>
        <v>Majandamiskulud</v>
      </c>
      <c r="P378" s="3" t="str">
        <f>VLOOKUP(Table2[[#This Row],[Tulu/kulu liik2]],Table5[],5,FALSE)</f>
        <v>Põhitegevuse kulu</v>
      </c>
    </row>
    <row r="379" spans="1:16" hidden="1" x14ac:dyDescent="0.25">
      <c r="A379" t="str">
        <f t="shared" si="10"/>
        <v>08</v>
      </c>
      <c r="B379" t="s">
        <v>291</v>
      </c>
      <c r="C379" s="3" t="str">
        <f>VLOOKUP(Table2[[#This Row],[Tegevusala]],Table4[],2,FALSE)</f>
        <v>Vinni-Pajusti Rahvaraamatukogu</v>
      </c>
      <c r="D379" s="3" t="str">
        <f>VLOOKUP(Table2[[#This Row],[Tegevusala]],Table4[[Tegevusala kood]:[Tegevusala alanimetus]],4,FALSE)</f>
        <v>Raamatukogud</v>
      </c>
      <c r="E379" s="3" t="str">
        <f>VLOOKUP(Table2[[#This Row],[Tegevusala nimetus2]],Table4[[Tegevusala nimetus]:[Tegevusala koondnimetus]],2,FALSE)</f>
        <v>Vabaaeg, kultuur ja religioon</v>
      </c>
      <c r="F379" t="s">
        <v>1035</v>
      </c>
      <c r="G379" t="s">
        <v>1051</v>
      </c>
      <c r="H379" s="40">
        <v>7200</v>
      </c>
      <c r="J379">
        <v>5523</v>
      </c>
      <c r="K379" s="3" t="str">
        <f>VLOOKUP(Table2[[#This Row],[Konto]],Table5[[Konto]:[Konto nimetus]],2,FALSE)</f>
        <v>Teavikud ja kunstiesemed</v>
      </c>
      <c r="L379">
        <v>55</v>
      </c>
      <c r="M379" t="str">
        <f t="shared" si="11"/>
        <v>55</v>
      </c>
      <c r="N379" s="3" t="str">
        <f>VLOOKUP(Table2[[#This Row],[Tulu/kulu liik2]],Table5[[Tulu/kulu liik]:[Kontode koondnimetus]],4,FALSE)</f>
        <v>Muud tegevuskulud</v>
      </c>
      <c r="O379" s="3" t="str">
        <f>VLOOKUP(Table2[[#This Row],[Tulu/kulu liik2]],Table5[],6,FALSE)</f>
        <v>Majandamiskulud</v>
      </c>
      <c r="P379" s="3" t="str">
        <f>VLOOKUP(Table2[[#This Row],[Tulu/kulu liik2]],Table5[],5,FALSE)</f>
        <v>Põhitegevuse kulu</v>
      </c>
    </row>
    <row r="380" spans="1:16" hidden="1" x14ac:dyDescent="0.25">
      <c r="A380" t="str">
        <f t="shared" si="10"/>
        <v>08</v>
      </c>
      <c r="B380" t="s">
        <v>291</v>
      </c>
      <c r="C380" s="3" t="str">
        <f>VLOOKUP(Table2[[#This Row],[Tegevusala]],Table4[],2,FALSE)</f>
        <v>Vinni-Pajusti Rahvaraamatukogu</v>
      </c>
      <c r="D380" s="3" t="str">
        <f>VLOOKUP(Table2[[#This Row],[Tegevusala]],Table4[[Tegevusala kood]:[Tegevusala alanimetus]],4,FALSE)</f>
        <v>Raamatukogud</v>
      </c>
      <c r="E380" s="3" t="str">
        <f>VLOOKUP(Table2[[#This Row],[Tegevusala nimetus2]],Table4[[Tegevusala nimetus]:[Tegevusala koondnimetus]],2,FALSE)</f>
        <v>Vabaaeg, kultuur ja religioon</v>
      </c>
      <c r="F380" t="s">
        <v>1035</v>
      </c>
      <c r="G380" t="s">
        <v>1052</v>
      </c>
      <c r="H380" s="40">
        <v>600</v>
      </c>
      <c r="J380">
        <v>5525</v>
      </c>
      <c r="K380" s="3" t="str">
        <f>VLOOKUP(Table2[[#This Row],[Konto]],Table5[[Konto]:[Konto nimetus]],2,FALSE)</f>
        <v>Kommunikatsiooni-, kultuuri- ja vaba aja sisustamise kulud</v>
      </c>
      <c r="L380">
        <v>55</v>
      </c>
      <c r="M380" t="str">
        <f t="shared" si="11"/>
        <v>55</v>
      </c>
      <c r="N380" s="3" t="str">
        <f>VLOOKUP(Table2[[#This Row],[Tulu/kulu liik2]],Table5[[Tulu/kulu liik]:[Kontode koondnimetus]],4,FALSE)</f>
        <v>Muud tegevuskulud</v>
      </c>
      <c r="O380" s="3" t="str">
        <f>VLOOKUP(Table2[[#This Row],[Tulu/kulu liik2]],Table5[],6,FALSE)</f>
        <v>Majandamiskulud</v>
      </c>
      <c r="P380" s="3" t="str">
        <f>VLOOKUP(Table2[[#This Row],[Tulu/kulu liik2]],Table5[],5,FALSE)</f>
        <v>Põhitegevuse kulu</v>
      </c>
    </row>
    <row r="381" spans="1:16" hidden="1" x14ac:dyDescent="0.25">
      <c r="A381" t="str">
        <f t="shared" si="10"/>
        <v>08</v>
      </c>
      <c r="B381" t="s">
        <v>291</v>
      </c>
      <c r="C381" s="3" t="str">
        <f>VLOOKUP(Table2[[#This Row],[Tegevusala]],Table4[],2,FALSE)</f>
        <v>Vinni-Pajusti Rahvaraamatukogu</v>
      </c>
      <c r="D381" s="3" t="str">
        <f>VLOOKUP(Table2[[#This Row],[Tegevusala]],Table4[[Tegevusala kood]:[Tegevusala alanimetus]],4,FALSE)</f>
        <v>Raamatukogud</v>
      </c>
      <c r="E381" s="3" t="str">
        <f>VLOOKUP(Table2[[#This Row],[Tegevusala nimetus2]],Table4[[Tegevusala nimetus]:[Tegevusala koondnimetus]],2,FALSE)</f>
        <v>Vabaaeg, kultuur ja religioon</v>
      </c>
      <c r="F381" t="s">
        <v>1035</v>
      </c>
      <c r="G381" t="s">
        <v>1053</v>
      </c>
      <c r="H381" s="40">
        <v>50</v>
      </c>
      <c r="J381">
        <v>5515</v>
      </c>
      <c r="K381" s="3" t="str">
        <f>VLOOKUP(Table2[[#This Row],[Konto]],Table5[[Konto]:[Konto nimetus]],2,FALSE)</f>
        <v>Inventari kulud, v.a infotehnoloogia ja kaitseotstarbelised kulud</v>
      </c>
      <c r="L381">
        <v>55</v>
      </c>
      <c r="M381" t="str">
        <f t="shared" si="11"/>
        <v>55</v>
      </c>
      <c r="N381" s="3" t="str">
        <f>VLOOKUP(Table2[[#This Row],[Tulu/kulu liik2]],Table5[[Tulu/kulu liik]:[Kontode koondnimetus]],4,FALSE)</f>
        <v>Muud tegevuskulud</v>
      </c>
      <c r="O381" s="3" t="str">
        <f>VLOOKUP(Table2[[#This Row],[Tulu/kulu liik2]],Table5[],6,FALSE)</f>
        <v>Majandamiskulud</v>
      </c>
      <c r="P381" s="3" t="str">
        <f>VLOOKUP(Table2[[#This Row],[Tulu/kulu liik2]],Table5[],5,FALSE)</f>
        <v>Põhitegevuse kulu</v>
      </c>
    </row>
    <row r="382" spans="1:16" hidden="1" x14ac:dyDescent="0.25">
      <c r="A382" t="str">
        <f t="shared" si="10"/>
        <v>08</v>
      </c>
      <c r="B382" t="s">
        <v>291</v>
      </c>
      <c r="C382" s="3" t="str">
        <f>VLOOKUP(Table2[[#This Row],[Tegevusala]],Table4[],2,FALSE)</f>
        <v>Vinni-Pajusti Rahvaraamatukogu</v>
      </c>
      <c r="D382" s="3" t="str">
        <f>VLOOKUP(Table2[[#This Row],[Tegevusala]],Table4[[Tegevusala kood]:[Tegevusala alanimetus]],4,FALSE)</f>
        <v>Raamatukogud</v>
      </c>
      <c r="E382" s="3" t="str">
        <f>VLOOKUP(Table2[[#This Row],[Tegevusala nimetus2]],Table4[[Tegevusala nimetus]:[Tegevusala koondnimetus]],2,FALSE)</f>
        <v>Vabaaeg, kultuur ja religioon</v>
      </c>
      <c r="F382" t="s">
        <v>1035</v>
      </c>
      <c r="G382" t="s">
        <v>1054</v>
      </c>
      <c r="H382" s="40">
        <v>89.91</v>
      </c>
      <c r="J382">
        <v>5540</v>
      </c>
      <c r="K382" s="3" t="str">
        <f>VLOOKUP(Table2[[#This Row],[Konto]],Table5[[Konto]:[Konto nimetus]],2,FALSE)</f>
        <v>Mitmesugused majanduskulud</v>
      </c>
      <c r="L382">
        <v>55</v>
      </c>
      <c r="M382" t="str">
        <f t="shared" si="11"/>
        <v>55</v>
      </c>
      <c r="N382" s="3" t="str">
        <f>VLOOKUP(Table2[[#This Row],[Tulu/kulu liik2]],Table5[[Tulu/kulu liik]:[Kontode koondnimetus]],4,FALSE)</f>
        <v>Muud tegevuskulud</v>
      </c>
      <c r="O382" s="3" t="str">
        <f>VLOOKUP(Table2[[#This Row],[Tulu/kulu liik2]],Table5[],6,FALSE)</f>
        <v>Majandamiskulud</v>
      </c>
      <c r="P382" s="3" t="str">
        <f>VLOOKUP(Table2[[#This Row],[Tulu/kulu liik2]],Table5[],5,FALSE)</f>
        <v>Põhitegevuse kulu</v>
      </c>
    </row>
    <row r="383" spans="1:16" hidden="1" x14ac:dyDescent="0.25">
      <c r="A383" t="str">
        <f t="shared" ref="A383:A446" si="12">LEFT(B383,2)</f>
        <v>08</v>
      </c>
      <c r="B383" t="s">
        <v>291</v>
      </c>
      <c r="C383" s="3" t="str">
        <f>VLOOKUP(Table2[[#This Row],[Tegevusala]],Table4[],2,FALSE)</f>
        <v>Vinni-Pajusti Rahvaraamatukogu</v>
      </c>
      <c r="D383" s="3" t="str">
        <f>VLOOKUP(Table2[[#This Row],[Tegevusala]],Table4[[Tegevusala kood]:[Tegevusala alanimetus]],4,FALSE)</f>
        <v>Raamatukogud</v>
      </c>
      <c r="E383" s="3" t="str">
        <f>VLOOKUP(Table2[[#This Row],[Tegevusala nimetus2]],Table4[[Tegevusala nimetus]:[Tegevusala koondnimetus]],2,FALSE)</f>
        <v>Vabaaeg, kultuur ja religioon</v>
      </c>
      <c r="F383" t="s">
        <v>1035</v>
      </c>
      <c r="G383" t="s">
        <v>1047</v>
      </c>
      <c r="H383" s="40">
        <v>480</v>
      </c>
      <c r="I383" s="2" t="s">
        <v>1048</v>
      </c>
      <c r="J383">
        <v>5514</v>
      </c>
      <c r="K383" s="3" t="str">
        <f>VLOOKUP(Table2[[#This Row],[Konto]],Table5[[Konto]:[Konto nimetus]],2,FALSE)</f>
        <v>Info- ja kommunikatsioonitehnoliigised kulud</v>
      </c>
      <c r="L383">
        <v>55</v>
      </c>
      <c r="M383" t="str">
        <f t="shared" ref="M383:M446" si="13">LEFT(J383,2)</f>
        <v>55</v>
      </c>
      <c r="N383" s="3" t="str">
        <f>VLOOKUP(Table2[[#This Row],[Tulu/kulu liik2]],Table5[[Tulu/kulu liik]:[Kontode koondnimetus]],4,FALSE)</f>
        <v>Muud tegevuskulud</v>
      </c>
      <c r="O383" s="3" t="str">
        <f>VLOOKUP(Table2[[#This Row],[Tulu/kulu liik2]],Table5[],6,FALSE)</f>
        <v>Majandamiskulud</v>
      </c>
      <c r="P383" s="3" t="str">
        <f>VLOOKUP(Table2[[#This Row],[Tulu/kulu liik2]],Table5[],5,FALSE)</f>
        <v>Põhitegevuse kulu</v>
      </c>
    </row>
    <row r="384" spans="1:16" hidden="1" x14ac:dyDescent="0.25">
      <c r="A384" t="str">
        <f t="shared" si="12"/>
        <v>08</v>
      </c>
      <c r="B384" t="s">
        <v>291</v>
      </c>
      <c r="C384" s="3" t="str">
        <f>VLOOKUP(Table2[[#This Row],[Tegevusala]],Table4[],2,FALSE)</f>
        <v>Vinni-Pajusti Rahvaraamatukogu</v>
      </c>
      <c r="D384" s="3" t="str">
        <f>VLOOKUP(Table2[[#This Row],[Tegevusala]],Table4[[Tegevusala kood]:[Tegevusala alanimetus]],4,FALSE)</f>
        <v>Raamatukogud</v>
      </c>
      <c r="E384" s="3" t="str">
        <f>VLOOKUP(Table2[[#This Row],[Tegevusala nimetus2]],Table4[[Tegevusala nimetus]:[Tegevusala koondnimetus]],2,FALSE)</f>
        <v>Vabaaeg, kultuur ja religioon</v>
      </c>
      <c r="F384" t="s">
        <v>1035</v>
      </c>
      <c r="G384" t="s">
        <v>1049</v>
      </c>
      <c r="H384" s="40">
        <v>500</v>
      </c>
      <c r="J384">
        <v>5514</v>
      </c>
      <c r="K384" s="3" t="str">
        <f>VLOOKUP(Table2[[#This Row],[Konto]],Table5[[Konto]:[Konto nimetus]],2,FALSE)</f>
        <v>Info- ja kommunikatsioonitehnoliigised kulud</v>
      </c>
      <c r="L384">
        <v>55</v>
      </c>
      <c r="M384" t="str">
        <f t="shared" si="13"/>
        <v>55</v>
      </c>
      <c r="N384" s="3" t="str">
        <f>VLOOKUP(Table2[[#This Row],[Tulu/kulu liik2]],Table5[[Tulu/kulu liik]:[Kontode koondnimetus]],4,FALSE)</f>
        <v>Muud tegevuskulud</v>
      </c>
      <c r="O384" s="3" t="str">
        <f>VLOOKUP(Table2[[#This Row],[Tulu/kulu liik2]],Table5[],6,FALSE)</f>
        <v>Majandamiskulud</v>
      </c>
      <c r="P384" s="3" t="str">
        <f>VLOOKUP(Table2[[#This Row],[Tulu/kulu liik2]],Table5[],5,FALSE)</f>
        <v>Põhitegevuse kulu</v>
      </c>
    </row>
    <row r="385" spans="1:16" hidden="1" x14ac:dyDescent="0.25">
      <c r="A385" s="77" t="str">
        <f t="shared" si="12"/>
        <v>08</v>
      </c>
      <c r="B385" s="77" t="s">
        <v>291</v>
      </c>
      <c r="C385" s="79" t="str">
        <f>VLOOKUP(Table2[[#This Row],[Tegevusala]],Table4[],2,FALSE)</f>
        <v>Vinni-Pajusti Rahvaraamatukogu</v>
      </c>
      <c r="D385" s="79" t="str">
        <f>VLOOKUP(Table2[[#This Row],[Tegevusala]],Table4[[Tegevusala kood]:[Tegevusala alanimetus]],4,FALSE)</f>
        <v>Raamatukogud</v>
      </c>
      <c r="E385" s="79" t="str">
        <f>VLOOKUP(Table2[[#This Row],[Tegevusala nimetus2]],Table4[[Tegevusala nimetus]:[Tegevusala koondnimetus]],2,FALSE)</f>
        <v>Vabaaeg, kultuur ja religioon</v>
      </c>
      <c r="F385" s="77" t="s">
        <v>1035</v>
      </c>
      <c r="G385" s="77" t="s">
        <v>2157</v>
      </c>
      <c r="H385" s="78">
        <v>5000</v>
      </c>
      <c r="I385" s="80" t="s">
        <v>2154</v>
      </c>
      <c r="J385" s="77">
        <v>5511</v>
      </c>
      <c r="K385" s="79" t="str">
        <f>VLOOKUP(Table2[[#This Row],[Konto]],Table5[[Konto]:[Konto nimetus]],2,FALSE)</f>
        <v>Kinnistute, hoonete ja ruumide majandamiskulud</v>
      </c>
      <c r="L385" s="77">
        <v>55</v>
      </c>
      <c r="M385" s="77" t="str">
        <f t="shared" si="13"/>
        <v>55</v>
      </c>
      <c r="N385" s="79" t="str">
        <f>VLOOKUP(Table2[[#This Row],[Tulu/kulu liik2]],Table5[[Tulu/kulu liik]:[Kontode koondnimetus]],4,FALSE)</f>
        <v>Muud tegevuskulud</v>
      </c>
      <c r="O385" s="79" t="str">
        <f>VLOOKUP(Table2[[#This Row],[Tulu/kulu liik2]],Table5[],6,FALSE)</f>
        <v>Majandamiskulud</v>
      </c>
      <c r="P385" s="79" t="str">
        <f>VLOOKUP(Table2[[#This Row],[Tulu/kulu liik2]],Table5[],5,FALSE)</f>
        <v>Põhitegevuse kulu</v>
      </c>
    </row>
    <row r="386" spans="1:16" hidden="1" x14ac:dyDescent="0.25">
      <c r="A386" s="77" t="str">
        <f t="shared" si="12"/>
        <v>08</v>
      </c>
      <c r="B386" s="77" t="s">
        <v>291</v>
      </c>
      <c r="C386" s="79" t="str">
        <f>VLOOKUP(Table2[[#This Row],[Tegevusala]],Table4[],2,FALSE)</f>
        <v>Vinni-Pajusti Rahvaraamatukogu</v>
      </c>
      <c r="D386" s="79" t="str">
        <f>VLOOKUP(Table2[[#This Row],[Tegevusala]],Table4[[Tegevusala kood]:[Tegevusala alanimetus]],4,FALSE)</f>
        <v>Raamatukogud</v>
      </c>
      <c r="E386" s="79" t="str">
        <f>VLOOKUP(Table2[[#This Row],[Tegevusala nimetus2]],Table4[[Tegevusala nimetus]:[Tegevusala koondnimetus]],2,FALSE)</f>
        <v>Vabaaeg, kultuur ja religioon</v>
      </c>
      <c r="F386" s="77" t="s">
        <v>1035</v>
      </c>
      <c r="G386" s="77" t="s">
        <v>1061</v>
      </c>
      <c r="H386" s="78">
        <v>300</v>
      </c>
      <c r="I386" s="80"/>
      <c r="J386" s="77">
        <v>5515</v>
      </c>
      <c r="K386" s="79" t="str">
        <f>VLOOKUP(Table2[[#This Row],[Konto]],Table5[[Konto]:[Konto nimetus]],2,FALSE)</f>
        <v>Inventari kulud, v.a infotehnoloogia ja kaitseotstarbelised kulud</v>
      </c>
      <c r="L386" s="77">
        <v>55</v>
      </c>
      <c r="M386" s="77" t="str">
        <f t="shared" si="13"/>
        <v>55</v>
      </c>
      <c r="N386" s="79" t="str">
        <f>VLOOKUP(Table2[[#This Row],[Tulu/kulu liik2]],Table5[[Tulu/kulu liik]:[Kontode koondnimetus]],4,FALSE)</f>
        <v>Muud tegevuskulud</v>
      </c>
      <c r="O386" s="79" t="str">
        <f>VLOOKUP(Table2[[#This Row],[Tulu/kulu liik2]],Table5[],6,FALSE)</f>
        <v>Majandamiskulud</v>
      </c>
      <c r="P386" s="79" t="str">
        <f>VLOOKUP(Table2[[#This Row],[Tulu/kulu liik2]],Table5[],5,FALSE)</f>
        <v>Põhitegevuse kulu</v>
      </c>
    </row>
    <row r="387" spans="1:16" hidden="1" x14ac:dyDescent="0.25">
      <c r="A387" s="33" t="str">
        <f t="shared" si="12"/>
        <v>08</v>
      </c>
      <c r="B387" t="s">
        <v>292</v>
      </c>
      <c r="C387" s="34" t="str">
        <f>VLOOKUP(Table2[[#This Row],[Tegevusala]],Table4[],2,FALSE)</f>
        <v>Viru-Jaagupi Rahvaraamatukogu</v>
      </c>
      <c r="D387" s="34" t="str">
        <f>VLOOKUP(Table2[[#This Row],[Tegevusala]],Table4[[Tegevusala kood]:[Tegevusala alanimetus]],4,FALSE)</f>
        <v>Raamatukogud</v>
      </c>
      <c r="E387" s="34" t="str">
        <f>VLOOKUP(Table2[[#This Row],[Tegevusala nimetus2]],Table4[[Tegevusala nimetus]:[Tegevusala koondnimetus]],2,FALSE)</f>
        <v>Vabaaeg, kultuur ja religioon</v>
      </c>
      <c r="F387" s="38" t="s">
        <v>822</v>
      </c>
      <c r="G387" s="33" t="s">
        <v>1845</v>
      </c>
      <c r="H387" s="47">
        <v>130000</v>
      </c>
      <c r="I387" s="35"/>
      <c r="J387" s="33">
        <v>1551</v>
      </c>
      <c r="K387" s="34" t="str">
        <f>VLOOKUP(Table2[[#This Row],[Konto]],Table5[[Konto]:[Konto nimetus]],2,FALSE)</f>
        <v>Rajatiste ja hoonete soetamine ja renoveerimine</v>
      </c>
      <c r="L387" s="33">
        <v>15</v>
      </c>
      <c r="M387" s="33" t="str">
        <f t="shared" si="13"/>
        <v>15</v>
      </c>
      <c r="N387" s="34" t="str">
        <f>VLOOKUP(Table2[[#This Row],[Tulu/kulu liik2]],Table5[[Tulu/kulu liik]:[Kontode koondnimetus]],4,FALSE)</f>
        <v>Põhivara soetus (-)</v>
      </c>
      <c r="O387" s="34" t="str">
        <f>VLOOKUP(Table2[[#This Row],[Tulu/kulu liik2]],Table5[],6,FALSE)</f>
        <v>Põhivara soetus (-)</v>
      </c>
      <c r="P387" s="34" t="str">
        <f>VLOOKUP(Table2[[#This Row],[Tulu/kulu liik2]],Table5[],5,FALSE)</f>
        <v>Investeerimistegevus</v>
      </c>
    </row>
    <row r="388" spans="1:16" hidden="1" x14ac:dyDescent="0.25">
      <c r="A388" t="str">
        <f t="shared" si="12"/>
        <v>08</v>
      </c>
      <c r="B388" t="s">
        <v>292</v>
      </c>
      <c r="C388" s="3" t="str">
        <f>VLOOKUP(Table2[[#This Row],[Tegevusala]],Table4[],2,FALSE)</f>
        <v>Viru-Jaagupi Rahvaraamatukogu</v>
      </c>
      <c r="D388" s="3" t="str">
        <f>VLOOKUP(Table2[[#This Row],[Tegevusala]],Table4[[Tegevusala kood]:[Tegevusala alanimetus]],4,FALSE)</f>
        <v>Raamatukogud</v>
      </c>
      <c r="E388" s="3" t="str">
        <f>VLOOKUP(Table2[[#This Row],[Tegevusala nimetus2]],Table4[[Tegevusala nimetus]:[Tegevusala koondnimetus]],2,FALSE)</f>
        <v>Vabaaeg, kultuur ja religioon</v>
      </c>
      <c r="F388" t="s">
        <v>1063</v>
      </c>
      <c r="G388" t="s">
        <v>1558</v>
      </c>
      <c r="H388" s="40">
        <v>80</v>
      </c>
      <c r="J388">
        <v>5511</v>
      </c>
      <c r="K388" s="3" t="str">
        <f>VLOOKUP(Table2[[#This Row],[Konto]],Table5[[Konto]:[Konto nimetus]],2,FALSE)</f>
        <v>Kinnistute, hoonete ja ruumide majandamiskulud</v>
      </c>
      <c r="L388">
        <v>55</v>
      </c>
      <c r="M388" t="str">
        <f t="shared" si="13"/>
        <v>55</v>
      </c>
      <c r="N388" s="3" t="str">
        <f>VLOOKUP(Table2[[#This Row],[Tulu/kulu liik2]],Table5[[Tulu/kulu liik]:[Kontode koondnimetus]],4,FALSE)</f>
        <v>Muud tegevuskulud</v>
      </c>
      <c r="O388" s="3" t="str">
        <f>VLOOKUP(Table2[[#This Row],[Tulu/kulu liik2]],Table5[],6,FALSE)</f>
        <v>Majandamiskulud</v>
      </c>
      <c r="P388" s="3" t="str">
        <f>VLOOKUP(Table2[[#This Row],[Tulu/kulu liik2]],Table5[],5,FALSE)</f>
        <v>Põhitegevuse kulu</v>
      </c>
    </row>
    <row r="389" spans="1:16" hidden="1" x14ac:dyDescent="0.25">
      <c r="A389" t="str">
        <f t="shared" si="12"/>
        <v>08</v>
      </c>
      <c r="B389" t="s">
        <v>292</v>
      </c>
      <c r="C389" s="3" t="str">
        <f>VLOOKUP(Table2[[#This Row],[Tegevusala]],Table4[],2,FALSE)</f>
        <v>Viru-Jaagupi Rahvaraamatukogu</v>
      </c>
      <c r="D389" s="3" t="str">
        <f>VLOOKUP(Table2[[#This Row],[Tegevusala]],Table4[[Tegevusala kood]:[Tegevusala alanimetus]],4,FALSE)</f>
        <v>Raamatukogud</v>
      </c>
      <c r="E389" s="3" t="str">
        <f>VLOOKUP(Table2[[#This Row],[Tegevusala nimetus2]],Table4[[Tegevusala nimetus]:[Tegevusala koondnimetus]],2,FALSE)</f>
        <v>Vabaaeg, kultuur ja religioon</v>
      </c>
      <c r="F389" t="s">
        <v>1063</v>
      </c>
      <c r="G389" t="s">
        <v>1557</v>
      </c>
      <c r="H389" s="40">
        <v>1380</v>
      </c>
      <c r="J389">
        <v>5500</v>
      </c>
      <c r="K389" s="3" t="str">
        <f>VLOOKUP(Table2[[#This Row],[Konto]],Table5[[Konto]:[Konto nimetus]],2,FALSE)</f>
        <v>Administreerimiskulud</v>
      </c>
      <c r="L389">
        <v>55</v>
      </c>
      <c r="M389" t="str">
        <f t="shared" si="13"/>
        <v>55</v>
      </c>
      <c r="N389" s="3" t="str">
        <f>VLOOKUP(Table2[[#This Row],[Tulu/kulu liik2]],Table5[[Tulu/kulu liik]:[Kontode koondnimetus]],4,FALSE)</f>
        <v>Muud tegevuskulud</v>
      </c>
      <c r="O389" s="3" t="str">
        <f>VLOOKUP(Table2[[#This Row],[Tulu/kulu liik2]],Table5[],6,FALSE)</f>
        <v>Majandamiskulud</v>
      </c>
      <c r="P389" s="3" t="str">
        <f>VLOOKUP(Table2[[#This Row],[Tulu/kulu liik2]],Table5[],5,FALSE)</f>
        <v>Põhitegevuse kulu</v>
      </c>
    </row>
    <row r="390" spans="1:16" hidden="1" x14ac:dyDescent="0.25">
      <c r="A390" t="str">
        <f t="shared" si="12"/>
        <v>08</v>
      </c>
      <c r="B390" t="s">
        <v>292</v>
      </c>
      <c r="C390" s="3" t="str">
        <f>VLOOKUP(Table2[[#This Row],[Tegevusala]],Table4[],2,FALSE)</f>
        <v>Viru-Jaagupi Rahvaraamatukogu</v>
      </c>
      <c r="D390" s="3" t="str">
        <f>VLOOKUP(Table2[[#This Row],[Tegevusala]],Table4[[Tegevusala kood]:[Tegevusala alanimetus]],4,FALSE)</f>
        <v>Raamatukogud</v>
      </c>
      <c r="E390" s="3" t="str">
        <f>VLOOKUP(Table2[[#This Row],[Tegevusala nimetus2]],Table4[[Tegevusala nimetus]:[Tegevusala koondnimetus]],2,FALSE)</f>
        <v>Vabaaeg, kultuur ja religioon</v>
      </c>
      <c r="F390" t="s">
        <v>1063</v>
      </c>
      <c r="G390" t="s">
        <v>1500</v>
      </c>
      <c r="H390" s="40">
        <v>50</v>
      </c>
      <c r="J390">
        <v>5504</v>
      </c>
      <c r="K390" s="3" t="str">
        <f>VLOOKUP(Table2[[#This Row],[Konto]],Table5[[Konto]:[Konto nimetus]],2,FALSE)</f>
        <v>Koolituskulud</v>
      </c>
      <c r="L390">
        <v>55</v>
      </c>
      <c r="M390" t="str">
        <f t="shared" si="13"/>
        <v>55</v>
      </c>
      <c r="N390" s="3" t="str">
        <f>VLOOKUP(Table2[[#This Row],[Tulu/kulu liik2]],Table5[[Tulu/kulu liik]:[Kontode koondnimetus]],4,FALSE)</f>
        <v>Muud tegevuskulud</v>
      </c>
      <c r="O390" s="3" t="str">
        <f>VLOOKUP(Table2[[#This Row],[Tulu/kulu liik2]],Table5[],6,FALSE)</f>
        <v>Majandamiskulud</v>
      </c>
      <c r="P390" s="3" t="str">
        <f>VLOOKUP(Table2[[#This Row],[Tulu/kulu liik2]],Table5[],5,FALSE)</f>
        <v>Põhitegevuse kulu</v>
      </c>
    </row>
    <row r="391" spans="1:16" hidden="1" x14ac:dyDescent="0.25">
      <c r="A391" t="str">
        <f t="shared" si="12"/>
        <v>08</v>
      </c>
      <c r="B391" t="s">
        <v>292</v>
      </c>
      <c r="C391" s="3" t="str">
        <f>VLOOKUP(Table2[[#This Row],[Tegevusala]],Table4[],2,FALSE)</f>
        <v>Viru-Jaagupi Rahvaraamatukogu</v>
      </c>
      <c r="D391" s="3" t="str">
        <f>VLOOKUP(Table2[[#This Row],[Tegevusala]],Table4[[Tegevusala kood]:[Tegevusala alanimetus]],4,FALSE)</f>
        <v>Raamatukogud</v>
      </c>
      <c r="E391" s="3" t="str">
        <f>VLOOKUP(Table2[[#This Row],[Tegevusala nimetus2]],Table4[[Tegevusala nimetus]:[Tegevusala koondnimetus]],2,FALSE)</f>
        <v>Vabaaeg, kultuur ja religioon</v>
      </c>
      <c r="F391" t="s">
        <v>1063</v>
      </c>
      <c r="G391" t="s">
        <v>1560</v>
      </c>
      <c r="H391" s="40">
        <v>2000</v>
      </c>
      <c r="J391">
        <v>5523</v>
      </c>
      <c r="K391" s="3" t="str">
        <f>VLOOKUP(Table2[[#This Row],[Konto]],Table5[[Konto]:[Konto nimetus]],2,FALSE)</f>
        <v>Teavikud ja kunstiesemed</v>
      </c>
      <c r="L391">
        <v>55</v>
      </c>
      <c r="M391" t="str">
        <f t="shared" si="13"/>
        <v>55</v>
      </c>
      <c r="N391" s="3" t="str">
        <f>VLOOKUP(Table2[[#This Row],[Tulu/kulu liik2]],Table5[[Tulu/kulu liik]:[Kontode koondnimetus]],4,FALSE)</f>
        <v>Muud tegevuskulud</v>
      </c>
      <c r="O391" s="3" t="str">
        <f>VLOOKUP(Table2[[#This Row],[Tulu/kulu liik2]],Table5[],6,FALSE)</f>
        <v>Majandamiskulud</v>
      </c>
      <c r="P391" s="3" t="str">
        <f>VLOOKUP(Table2[[#This Row],[Tulu/kulu liik2]],Table5[],5,FALSE)</f>
        <v>Põhitegevuse kulu</v>
      </c>
    </row>
    <row r="392" spans="1:16" hidden="1" x14ac:dyDescent="0.25">
      <c r="A392" t="str">
        <f t="shared" si="12"/>
        <v>08</v>
      </c>
      <c r="B392" t="s">
        <v>292</v>
      </c>
      <c r="C392" s="3" t="str">
        <f>VLOOKUP(Table2[[#This Row],[Tegevusala]],Table4[],2,FALSE)</f>
        <v>Viru-Jaagupi Rahvaraamatukogu</v>
      </c>
      <c r="D392" s="3" t="str">
        <f>VLOOKUP(Table2[[#This Row],[Tegevusala]],Table4[[Tegevusala kood]:[Tegevusala alanimetus]],4,FALSE)</f>
        <v>Raamatukogud</v>
      </c>
      <c r="E392" s="3" t="str">
        <f>VLOOKUP(Table2[[#This Row],[Tegevusala nimetus2]],Table4[[Tegevusala nimetus]:[Tegevusala koondnimetus]],2,FALSE)</f>
        <v>Vabaaeg, kultuur ja religioon</v>
      </c>
      <c r="F392" t="s">
        <v>1063</v>
      </c>
      <c r="G392" t="s">
        <v>1561</v>
      </c>
      <c r="H392" s="40">
        <v>300</v>
      </c>
      <c r="J392">
        <v>5525</v>
      </c>
      <c r="K392" s="3" t="str">
        <f>VLOOKUP(Table2[[#This Row],[Konto]],Table5[[Konto]:[Konto nimetus]],2,FALSE)</f>
        <v>Kommunikatsiooni-, kultuuri- ja vaba aja sisustamise kulud</v>
      </c>
      <c r="L392">
        <v>55</v>
      </c>
      <c r="M392" t="str">
        <f t="shared" si="13"/>
        <v>55</v>
      </c>
      <c r="N392" s="3" t="str">
        <f>VLOOKUP(Table2[[#This Row],[Tulu/kulu liik2]],Table5[[Tulu/kulu liik]:[Kontode koondnimetus]],4,FALSE)</f>
        <v>Muud tegevuskulud</v>
      </c>
      <c r="O392" s="3" t="str">
        <f>VLOOKUP(Table2[[#This Row],[Tulu/kulu liik2]],Table5[],6,FALSE)</f>
        <v>Majandamiskulud</v>
      </c>
      <c r="P392" s="3" t="str">
        <f>VLOOKUP(Table2[[#This Row],[Tulu/kulu liik2]],Table5[],5,FALSE)</f>
        <v>Põhitegevuse kulu</v>
      </c>
    </row>
    <row r="393" spans="1:16" hidden="1" x14ac:dyDescent="0.25">
      <c r="A393" t="str">
        <f t="shared" si="12"/>
        <v>08</v>
      </c>
      <c r="B393" t="s">
        <v>292</v>
      </c>
      <c r="C393" s="3" t="str">
        <f>VLOOKUP(Table2[[#This Row],[Tegevusala]],Table4[],2,FALSE)</f>
        <v>Viru-Jaagupi Rahvaraamatukogu</v>
      </c>
      <c r="D393" s="3" t="str">
        <f>VLOOKUP(Table2[[#This Row],[Tegevusala]],Table4[[Tegevusala kood]:[Tegevusala alanimetus]],4,FALSE)</f>
        <v>Raamatukogud</v>
      </c>
      <c r="E393" s="3" t="str">
        <f>VLOOKUP(Table2[[#This Row],[Tegevusala nimetus2]],Table4[[Tegevusala nimetus]:[Tegevusala koondnimetus]],2,FALSE)</f>
        <v>Vabaaeg, kultuur ja religioon</v>
      </c>
      <c r="F393" t="s">
        <v>1063</v>
      </c>
      <c r="G393" t="s">
        <v>1562</v>
      </c>
      <c r="H393" s="40">
        <v>100</v>
      </c>
      <c r="I393" s="2" t="s">
        <v>1563</v>
      </c>
      <c r="J393">
        <v>5500</v>
      </c>
      <c r="K393" s="3" t="str">
        <f>VLOOKUP(Table2[[#This Row],[Konto]],Table5[[Konto]:[Konto nimetus]],2,FALSE)</f>
        <v>Administreerimiskulud</v>
      </c>
      <c r="L393">
        <v>55</v>
      </c>
      <c r="M393" t="str">
        <f t="shared" si="13"/>
        <v>55</v>
      </c>
      <c r="N393" s="3" t="str">
        <f>VLOOKUP(Table2[[#This Row],[Tulu/kulu liik2]],Table5[[Tulu/kulu liik]:[Kontode koondnimetus]],4,FALSE)</f>
        <v>Muud tegevuskulud</v>
      </c>
      <c r="O393" s="3" t="str">
        <f>VLOOKUP(Table2[[#This Row],[Tulu/kulu liik2]],Table5[],6,FALSE)</f>
        <v>Majandamiskulud</v>
      </c>
      <c r="P393" s="3" t="str">
        <f>VLOOKUP(Table2[[#This Row],[Tulu/kulu liik2]],Table5[],5,FALSE)</f>
        <v>Põhitegevuse kulu</v>
      </c>
    </row>
    <row r="394" spans="1:16" hidden="1" x14ac:dyDescent="0.25">
      <c r="A394" t="str">
        <f t="shared" si="12"/>
        <v>08</v>
      </c>
      <c r="B394" t="s">
        <v>292</v>
      </c>
      <c r="C394" s="3" t="str">
        <f>VLOOKUP(Table2[[#This Row],[Tegevusala]],Table4[],2,FALSE)</f>
        <v>Viru-Jaagupi Rahvaraamatukogu</v>
      </c>
      <c r="D394" s="3" t="str">
        <f>VLOOKUP(Table2[[#This Row],[Tegevusala]],Table4[[Tegevusala kood]:[Tegevusala alanimetus]],4,FALSE)</f>
        <v>Raamatukogud</v>
      </c>
      <c r="E394" s="3" t="str">
        <f>VLOOKUP(Table2[[#This Row],[Tegevusala nimetus2]],Table4[[Tegevusala nimetus]:[Tegevusala koondnimetus]],2,FALSE)</f>
        <v>Vabaaeg, kultuur ja religioon</v>
      </c>
      <c r="F394" t="s">
        <v>1063</v>
      </c>
      <c r="G394" t="s">
        <v>1559</v>
      </c>
      <c r="H394" s="40">
        <v>240</v>
      </c>
      <c r="J394">
        <v>5514</v>
      </c>
      <c r="K394" s="3" t="str">
        <f>VLOOKUP(Table2[[#This Row],[Konto]],Table5[[Konto]:[Konto nimetus]],2,FALSE)</f>
        <v>Info- ja kommunikatsioonitehnoliigised kulud</v>
      </c>
      <c r="L394">
        <v>55</v>
      </c>
      <c r="M394" t="str">
        <f t="shared" si="13"/>
        <v>55</v>
      </c>
      <c r="N394" s="3" t="str">
        <f>VLOOKUP(Table2[[#This Row],[Tulu/kulu liik2]],Table5[[Tulu/kulu liik]:[Kontode koondnimetus]],4,FALSE)</f>
        <v>Muud tegevuskulud</v>
      </c>
      <c r="O394" s="3" t="str">
        <f>VLOOKUP(Table2[[#This Row],[Tulu/kulu liik2]],Table5[],6,FALSE)</f>
        <v>Majandamiskulud</v>
      </c>
      <c r="P394" s="3" t="str">
        <f>VLOOKUP(Table2[[#This Row],[Tulu/kulu liik2]],Table5[],5,FALSE)</f>
        <v>Põhitegevuse kulu</v>
      </c>
    </row>
    <row r="395" spans="1:16" hidden="1" x14ac:dyDescent="0.25">
      <c r="A395" s="77" t="str">
        <f t="shared" si="12"/>
        <v>08</v>
      </c>
      <c r="B395" s="77" t="s">
        <v>292</v>
      </c>
      <c r="C395" s="79" t="str">
        <f>VLOOKUP(Table2[[#This Row],[Tegevusala]],Table4[],2,FALSE)</f>
        <v>Viru-Jaagupi Rahvaraamatukogu</v>
      </c>
      <c r="D395" s="79" t="str">
        <f>VLOOKUP(Table2[[#This Row],[Tegevusala]],Table4[[Tegevusala kood]:[Tegevusala alanimetus]],4,FALSE)</f>
        <v>Raamatukogud</v>
      </c>
      <c r="E395" s="79" t="str">
        <f>VLOOKUP(Table2[[#This Row],[Tegevusala nimetus2]],Table4[[Tegevusala nimetus]:[Tegevusala koondnimetus]],2,FALSE)</f>
        <v>Vabaaeg, kultuur ja religioon</v>
      </c>
      <c r="F395" s="77" t="s">
        <v>1063</v>
      </c>
      <c r="G395" s="77" t="s">
        <v>1065</v>
      </c>
      <c r="H395" s="78">
        <v>400</v>
      </c>
      <c r="I395" s="80" t="s">
        <v>1066</v>
      </c>
      <c r="J395" s="77">
        <v>5514</v>
      </c>
      <c r="K395" s="79" t="str">
        <f>VLOOKUP(Table2[[#This Row],[Konto]],Table5[[Konto]:[Konto nimetus]],2,FALSE)</f>
        <v>Info- ja kommunikatsioonitehnoliigised kulud</v>
      </c>
      <c r="L395" s="77">
        <v>55</v>
      </c>
      <c r="M395" s="77" t="str">
        <f t="shared" si="13"/>
        <v>55</v>
      </c>
      <c r="N395" s="79" t="str">
        <f>VLOOKUP(Table2[[#This Row],[Tulu/kulu liik2]],Table5[[Tulu/kulu liik]:[Kontode koondnimetus]],4,FALSE)</f>
        <v>Muud tegevuskulud</v>
      </c>
      <c r="O395" s="79" t="str">
        <f>VLOOKUP(Table2[[#This Row],[Tulu/kulu liik2]],Table5[],6,FALSE)</f>
        <v>Majandamiskulud</v>
      </c>
      <c r="P395" s="79" t="str">
        <f>VLOOKUP(Table2[[#This Row],[Tulu/kulu liik2]],Table5[],5,FALSE)</f>
        <v>Põhitegevuse kulu</v>
      </c>
    </row>
    <row r="396" spans="1:16" hidden="1" x14ac:dyDescent="0.25">
      <c r="A396" t="str">
        <f t="shared" si="12"/>
        <v>08</v>
      </c>
      <c r="B396" t="s">
        <v>293</v>
      </c>
      <c r="C396" s="3" t="str">
        <f>VLOOKUP(Table2[[#This Row],[Tegevusala]],Table4[],2,FALSE)</f>
        <v>Roela Rahvaraamatukogu</v>
      </c>
      <c r="D396" s="3" t="str">
        <f>VLOOKUP(Table2[[#This Row],[Tegevusala]],Table4[[Tegevusala kood]:[Tegevusala alanimetus]],4,FALSE)</f>
        <v>Raamatukogud</v>
      </c>
      <c r="E396" s="3" t="str">
        <f>VLOOKUP(Table2[[#This Row],[Tegevusala nimetus2]],Table4[[Tegevusala nimetus]:[Tegevusala koondnimetus]],2,FALSE)</f>
        <v>Vabaaeg, kultuur ja religioon</v>
      </c>
      <c r="F396" t="s">
        <v>432</v>
      </c>
      <c r="G396" t="s">
        <v>433</v>
      </c>
      <c r="H396" s="40">
        <v>120</v>
      </c>
      <c r="J396">
        <v>5500</v>
      </c>
      <c r="K396" s="3" t="str">
        <f>VLOOKUP(Table2[[#This Row],[Konto]],Table5[[Konto]:[Konto nimetus]],2,FALSE)</f>
        <v>Administreerimiskulud</v>
      </c>
      <c r="L396">
        <v>55</v>
      </c>
      <c r="M396" t="str">
        <f t="shared" si="13"/>
        <v>55</v>
      </c>
      <c r="N396" t="str">
        <f>VLOOKUP(Table2[[#This Row],[Tulu/kulu liik2]],Table5[[Tulu/kulu liik]:[Kontode koondnimetus]],4,FALSE)</f>
        <v>Muud tegevuskulud</v>
      </c>
      <c r="O396" t="str">
        <f>VLOOKUP(Table2[[#This Row],[Tulu/kulu liik2]],Table5[],6,FALSE)</f>
        <v>Majandamiskulud</v>
      </c>
      <c r="P396" s="3" t="str">
        <f>VLOOKUP(Table2[[#This Row],[Tulu/kulu liik2]],Table5[],5,FALSE)</f>
        <v>Põhitegevuse kulu</v>
      </c>
    </row>
    <row r="397" spans="1:16" hidden="1" x14ac:dyDescent="0.25">
      <c r="A397" t="str">
        <f t="shared" si="12"/>
        <v>08</v>
      </c>
      <c r="B397" t="s">
        <v>293</v>
      </c>
      <c r="C397" s="3" t="str">
        <f>VLOOKUP(Table2[[#This Row],[Tegevusala]],Table4[],2,FALSE)</f>
        <v>Roela Rahvaraamatukogu</v>
      </c>
      <c r="D397" s="3" t="str">
        <f>VLOOKUP(Table2[[#This Row],[Tegevusala]],Table4[[Tegevusala kood]:[Tegevusala alanimetus]],4,FALSE)</f>
        <v>Raamatukogud</v>
      </c>
      <c r="E397" s="3" t="str">
        <f>VLOOKUP(Table2[[#This Row],[Tegevusala nimetus2]],Table4[[Tegevusala nimetus]:[Tegevusala koondnimetus]],2,FALSE)</f>
        <v>Vabaaeg, kultuur ja religioon</v>
      </c>
      <c r="F397" t="s">
        <v>432</v>
      </c>
      <c r="G397" t="s">
        <v>102</v>
      </c>
      <c r="H397" s="40">
        <v>350</v>
      </c>
      <c r="J397">
        <v>5504</v>
      </c>
      <c r="K397" s="3" t="str">
        <f>VLOOKUP(Table2[[#This Row],[Konto]],Table5[[Konto]:[Konto nimetus]],2,FALSE)</f>
        <v>Koolituskulud</v>
      </c>
      <c r="L397">
        <v>55</v>
      </c>
      <c r="M397" t="str">
        <f t="shared" si="13"/>
        <v>55</v>
      </c>
      <c r="N397" t="str">
        <f>VLOOKUP(Table2[[#This Row],[Tulu/kulu liik2]],Table5[[Tulu/kulu liik]:[Kontode koondnimetus]],4,FALSE)</f>
        <v>Muud tegevuskulud</v>
      </c>
      <c r="O397" t="str">
        <f>VLOOKUP(Table2[[#This Row],[Tulu/kulu liik2]],Table5[],6,FALSE)</f>
        <v>Majandamiskulud</v>
      </c>
      <c r="P397" s="3" t="str">
        <f>VLOOKUP(Table2[[#This Row],[Tulu/kulu liik2]],Table5[],5,FALSE)</f>
        <v>Põhitegevuse kulu</v>
      </c>
    </row>
    <row r="398" spans="1:16" hidden="1" x14ac:dyDescent="0.25">
      <c r="A398" t="str">
        <f t="shared" si="12"/>
        <v>08</v>
      </c>
      <c r="B398" t="s">
        <v>293</v>
      </c>
      <c r="C398" s="3" t="str">
        <f>VLOOKUP(Table2[[#This Row],[Tegevusala]],Table4[],2,FALSE)</f>
        <v>Roela Rahvaraamatukogu</v>
      </c>
      <c r="D398" s="3" t="str">
        <f>VLOOKUP(Table2[[#This Row],[Tegevusala]],Table4[[Tegevusala kood]:[Tegevusala alanimetus]],4,FALSE)</f>
        <v>Raamatukogud</v>
      </c>
      <c r="E398" s="3" t="str">
        <f>VLOOKUP(Table2[[#This Row],[Tegevusala nimetus2]],Table4[[Tegevusala nimetus]:[Tegevusala koondnimetus]],2,FALSE)</f>
        <v>Vabaaeg, kultuur ja religioon</v>
      </c>
      <c r="F398" t="s">
        <v>432</v>
      </c>
      <c r="G398" t="s">
        <v>436</v>
      </c>
      <c r="H398" s="40">
        <v>150</v>
      </c>
      <c r="I398" s="2" t="s">
        <v>445</v>
      </c>
      <c r="J398">
        <v>5515</v>
      </c>
      <c r="K398" s="3" t="str">
        <f>VLOOKUP(Table2[[#This Row],[Konto]],Table5[[Konto]:[Konto nimetus]],2,FALSE)</f>
        <v>Inventari kulud, v.a infotehnoloogia ja kaitseotstarbelised kulud</v>
      </c>
      <c r="L398">
        <v>55</v>
      </c>
      <c r="M398" t="str">
        <f t="shared" si="13"/>
        <v>55</v>
      </c>
      <c r="N398" t="str">
        <f>VLOOKUP(Table2[[#This Row],[Tulu/kulu liik2]],Table5[[Tulu/kulu liik]:[Kontode koondnimetus]],4,FALSE)</f>
        <v>Muud tegevuskulud</v>
      </c>
      <c r="O398" t="str">
        <f>VLOOKUP(Table2[[#This Row],[Tulu/kulu liik2]],Table5[],6,FALSE)</f>
        <v>Majandamiskulud</v>
      </c>
      <c r="P398" s="3" t="str">
        <f>VLOOKUP(Table2[[#This Row],[Tulu/kulu liik2]],Table5[],5,FALSE)</f>
        <v>Põhitegevuse kulu</v>
      </c>
    </row>
    <row r="399" spans="1:16" hidden="1" x14ac:dyDescent="0.25">
      <c r="A399" t="str">
        <f t="shared" si="12"/>
        <v>08</v>
      </c>
      <c r="B399" t="s">
        <v>293</v>
      </c>
      <c r="C399" s="3" t="str">
        <f>VLOOKUP(Table2[[#This Row],[Tegevusala]],Table4[],2,FALSE)</f>
        <v>Roela Rahvaraamatukogu</v>
      </c>
      <c r="D399" s="3" t="str">
        <f>VLOOKUP(Table2[[#This Row],[Tegevusala]],Table4[[Tegevusala kood]:[Tegevusala alanimetus]],4,FALSE)</f>
        <v>Raamatukogud</v>
      </c>
      <c r="E399" s="3" t="str">
        <f>VLOOKUP(Table2[[#This Row],[Tegevusala nimetus2]],Table4[[Tegevusala nimetus]:[Tegevusala koondnimetus]],2,FALSE)</f>
        <v>Vabaaeg, kultuur ja religioon</v>
      </c>
      <c r="F399" t="s">
        <v>432</v>
      </c>
      <c r="G399" t="s">
        <v>437</v>
      </c>
      <c r="H399" s="40">
        <v>200</v>
      </c>
      <c r="I399" s="2" t="s">
        <v>445</v>
      </c>
      <c r="J399">
        <v>5515</v>
      </c>
      <c r="K399" s="3" t="str">
        <f>VLOOKUP(Table2[[#This Row],[Konto]],Table5[[Konto]:[Konto nimetus]],2,FALSE)</f>
        <v>Inventari kulud, v.a infotehnoloogia ja kaitseotstarbelised kulud</v>
      </c>
      <c r="L399">
        <v>55</v>
      </c>
      <c r="M399" t="str">
        <f t="shared" si="13"/>
        <v>55</v>
      </c>
      <c r="N399" t="str">
        <f>VLOOKUP(Table2[[#This Row],[Tulu/kulu liik2]],Table5[[Tulu/kulu liik]:[Kontode koondnimetus]],4,FALSE)</f>
        <v>Muud tegevuskulud</v>
      </c>
      <c r="O399" t="str">
        <f>VLOOKUP(Table2[[#This Row],[Tulu/kulu liik2]],Table5[],6,FALSE)</f>
        <v>Majandamiskulud</v>
      </c>
      <c r="P399" s="3" t="str">
        <f>VLOOKUP(Table2[[#This Row],[Tulu/kulu liik2]],Table5[],5,FALSE)</f>
        <v>Põhitegevuse kulu</v>
      </c>
    </row>
    <row r="400" spans="1:16" hidden="1" x14ac:dyDescent="0.25">
      <c r="A400" t="str">
        <f t="shared" si="12"/>
        <v>08</v>
      </c>
      <c r="B400" t="s">
        <v>293</v>
      </c>
      <c r="C400" s="3" t="str">
        <f>VLOOKUP(Table2[[#This Row],[Tegevusala]],Table4[],2,FALSE)</f>
        <v>Roela Rahvaraamatukogu</v>
      </c>
      <c r="D400" s="3" t="str">
        <f>VLOOKUP(Table2[[#This Row],[Tegevusala]],Table4[[Tegevusala kood]:[Tegevusala alanimetus]],4,FALSE)</f>
        <v>Raamatukogud</v>
      </c>
      <c r="E400" s="3" t="str">
        <f>VLOOKUP(Table2[[#This Row],[Tegevusala nimetus2]],Table4[[Tegevusala nimetus]:[Tegevusala koondnimetus]],2,FALSE)</f>
        <v>Vabaaeg, kultuur ja religioon</v>
      </c>
      <c r="F400" t="s">
        <v>432</v>
      </c>
      <c r="G400" t="s">
        <v>438</v>
      </c>
      <c r="H400" s="40">
        <v>4000</v>
      </c>
      <c r="J400">
        <v>5523</v>
      </c>
      <c r="K400" s="3" t="str">
        <f>VLOOKUP(Table2[[#This Row],[Konto]],Table5[[Konto]:[Konto nimetus]],2,FALSE)</f>
        <v>Teavikud ja kunstiesemed</v>
      </c>
      <c r="L400">
        <v>55</v>
      </c>
      <c r="M400" t="str">
        <f t="shared" si="13"/>
        <v>55</v>
      </c>
      <c r="N400" t="str">
        <f>VLOOKUP(Table2[[#This Row],[Tulu/kulu liik2]],Table5[[Tulu/kulu liik]:[Kontode koondnimetus]],4,FALSE)</f>
        <v>Muud tegevuskulud</v>
      </c>
      <c r="O400" t="str">
        <f>VLOOKUP(Table2[[#This Row],[Tulu/kulu liik2]],Table5[],6,FALSE)</f>
        <v>Majandamiskulud</v>
      </c>
      <c r="P400" s="3" t="str">
        <f>VLOOKUP(Table2[[#This Row],[Tulu/kulu liik2]],Table5[],5,FALSE)</f>
        <v>Põhitegevuse kulu</v>
      </c>
    </row>
    <row r="401" spans="1:16" hidden="1" x14ac:dyDescent="0.25">
      <c r="A401" t="str">
        <f t="shared" si="12"/>
        <v>08</v>
      </c>
      <c r="B401" t="s">
        <v>293</v>
      </c>
      <c r="C401" s="3" t="str">
        <f>VLOOKUP(Table2[[#This Row],[Tegevusala]],Table4[],2,FALSE)</f>
        <v>Roela Rahvaraamatukogu</v>
      </c>
      <c r="D401" s="3" t="str">
        <f>VLOOKUP(Table2[[#This Row],[Tegevusala]],Table4[[Tegevusala kood]:[Tegevusala alanimetus]],4,FALSE)</f>
        <v>Raamatukogud</v>
      </c>
      <c r="E401" s="3" t="str">
        <f>VLOOKUP(Table2[[#This Row],[Tegevusala nimetus2]],Table4[[Tegevusala nimetus]:[Tegevusala koondnimetus]],2,FALSE)</f>
        <v>Vabaaeg, kultuur ja religioon</v>
      </c>
      <c r="F401" t="s">
        <v>432</v>
      </c>
      <c r="G401" t="s">
        <v>439</v>
      </c>
      <c r="H401" s="40">
        <v>1000</v>
      </c>
      <c r="J401">
        <v>5500</v>
      </c>
      <c r="K401" s="3" t="str">
        <f>VLOOKUP(Table2[[#This Row],[Konto]],Table5[[Konto]:[Konto nimetus]],2,FALSE)</f>
        <v>Administreerimiskulud</v>
      </c>
      <c r="L401">
        <v>55</v>
      </c>
      <c r="M401" t="str">
        <f t="shared" si="13"/>
        <v>55</v>
      </c>
      <c r="N401" t="str">
        <f>VLOOKUP(Table2[[#This Row],[Tulu/kulu liik2]],Table5[[Tulu/kulu liik]:[Kontode koondnimetus]],4,FALSE)</f>
        <v>Muud tegevuskulud</v>
      </c>
      <c r="O401" t="str">
        <f>VLOOKUP(Table2[[#This Row],[Tulu/kulu liik2]],Table5[],6,FALSE)</f>
        <v>Majandamiskulud</v>
      </c>
      <c r="P401" s="3" t="str">
        <f>VLOOKUP(Table2[[#This Row],[Tulu/kulu liik2]],Table5[],5,FALSE)</f>
        <v>Põhitegevuse kulu</v>
      </c>
    </row>
    <row r="402" spans="1:16" hidden="1" x14ac:dyDescent="0.25">
      <c r="A402" t="str">
        <f t="shared" si="12"/>
        <v>08</v>
      </c>
      <c r="B402" t="s">
        <v>293</v>
      </c>
      <c r="C402" s="3" t="str">
        <f>VLOOKUP(Table2[[#This Row],[Tegevusala]],Table4[],2,FALSE)</f>
        <v>Roela Rahvaraamatukogu</v>
      </c>
      <c r="D402" s="3" t="str">
        <f>VLOOKUP(Table2[[#This Row],[Tegevusala]],Table4[[Tegevusala kood]:[Tegevusala alanimetus]],4,FALSE)</f>
        <v>Raamatukogud</v>
      </c>
      <c r="E402" s="3" t="str">
        <f>VLOOKUP(Table2[[#This Row],[Tegevusala nimetus2]],Table4[[Tegevusala nimetus]:[Tegevusala koondnimetus]],2,FALSE)</f>
        <v>Vabaaeg, kultuur ja religioon</v>
      </c>
      <c r="F402" t="s">
        <v>432</v>
      </c>
      <c r="G402" t="s">
        <v>440</v>
      </c>
      <c r="H402" s="40">
        <v>170</v>
      </c>
      <c r="J402">
        <v>5525</v>
      </c>
      <c r="K402" s="3" t="str">
        <f>VLOOKUP(Table2[[#This Row],[Konto]],Table5[[Konto]:[Konto nimetus]],2,FALSE)</f>
        <v>Kommunikatsiooni-, kultuuri- ja vaba aja sisustamise kulud</v>
      </c>
      <c r="L402">
        <v>55</v>
      </c>
      <c r="M402" t="str">
        <f t="shared" si="13"/>
        <v>55</v>
      </c>
      <c r="N402" t="str">
        <f>VLOOKUP(Table2[[#This Row],[Tulu/kulu liik2]],Table5[[Tulu/kulu liik]:[Kontode koondnimetus]],4,FALSE)</f>
        <v>Muud tegevuskulud</v>
      </c>
      <c r="O402" t="str">
        <f>VLOOKUP(Table2[[#This Row],[Tulu/kulu liik2]],Table5[],6,FALSE)</f>
        <v>Majandamiskulud</v>
      </c>
      <c r="P402" s="3" t="str">
        <f>VLOOKUP(Table2[[#This Row],[Tulu/kulu liik2]],Table5[],5,FALSE)</f>
        <v>Põhitegevuse kulu</v>
      </c>
    </row>
    <row r="403" spans="1:16" hidden="1" x14ac:dyDescent="0.25">
      <c r="A403" t="str">
        <f t="shared" si="12"/>
        <v>08</v>
      </c>
      <c r="B403" t="s">
        <v>293</v>
      </c>
      <c r="C403" s="3" t="str">
        <f>VLOOKUP(Table2[[#This Row],[Tegevusala]],Table4[],2,FALSE)</f>
        <v>Roela Rahvaraamatukogu</v>
      </c>
      <c r="D403" s="3" t="str">
        <f>VLOOKUP(Table2[[#This Row],[Tegevusala]],Table4[[Tegevusala kood]:[Tegevusala alanimetus]],4,FALSE)</f>
        <v>Raamatukogud</v>
      </c>
      <c r="E403" s="3" t="str">
        <f>VLOOKUP(Table2[[#This Row],[Tegevusala nimetus2]],Table4[[Tegevusala nimetus]:[Tegevusala koondnimetus]],2,FALSE)</f>
        <v>Vabaaeg, kultuur ja religioon</v>
      </c>
      <c r="F403" t="s">
        <v>432</v>
      </c>
      <c r="G403" t="s">
        <v>441</v>
      </c>
      <c r="H403" s="40">
        <v>170</v>
      </c>
      <c r="J403">
        <v>5525</v>
      </c>
      <c r="K403" s="3" t="str">
        <f>VLOOKUP(Table2[[#This Row],[Konto]],Table5[[Konto]:[Konto nimetus]],2,FALSE)</f>
        <v>Kommunikatsiooni-, kultuuri- ja vaba aja sisustamise kulud</v>
      </c>
      <c r="L403">
        <v>55</v>
      </c>
      <c r="M403" t="str">
        <f t="shared" si="13"/>
        <v>55</v>
      </c>
      <c r="N403" t="str">
        <f>VLOOKUP(Table2[[#This Row],[Tulu/kulu liik2]],Table5[[Tulu/kulu liik]:[Kontode koondnimetus]],4,FALSE)</f>
        <v>Muud tegevuskulud</v>
      </c>
      <c r="O403" t="str">
        <f>VLOOKUP(Table2[[#This Row],[Tulu/kulu liik2]],Table5[],6,FALSE)</f>
        <v>Majandamiskulud</v>
      </c>
      <c r="P403" s="3" t="str">
        <f>VLOOKUP(Table2[[#This Row],[Tulu/kulu liik2]],Table5[],5,FALSE)</f>
        <v>Põhitegevuse kulu</v>
      </c>
    </row>
    <row r="404" spans="1:16" hidden="1" x14ac:dyDescent="0.25">
      <c r="A404" t="str">
        <f t="shared" si="12"/>
        <v>08</v>
      </c>
      <c r="B404" t="s">
        <v>293</v>
      </c>
      <c r="C404" s="3" t="str">
        <f>VLOOKUP(Table2[[#This Row],[Tegevusala]],Table4[],2,FALSE)</f>
        <v>Roela Rahvaraamatukogu</v>
      </c>
      <c r="D404" s="3" t="str">
        <f>VLOOKUP(Table2[[#This Row],[Tegevusala]],Table4[[Tegevusala kood]:[Tegevusala alanimetus]],4,FALSE)</f>
        <v>Raamatukogud</v>
      </c>
      <c r="E404" s="3" t="str">
        <f>VLOOKUP(Table2[[#This Row],[Tegevusala nimetus2]],Table4[[Tegevusala nimetus]:[Tegevusala koondnimetus]],2,FALSE)</f>
        <v>Vabaaeg, kultuur ja religioon</v>
      </c>
      <c r="F404" t="s">
        <v>432</v>
      </c>
      <c r="G404" t="s">
        <v>434</v>
      </c>
      <c r="H404" s="40">
        <v>240</v>
      </c>
      <c r="J404">
        <v>5514</v>
      </c>
      <c r="K404" s="3" t="str">
        <f>VLOOKUP(Table2[[#This Row],[Konto]],Table5[[Konto]:[Konto nimetus]],2,FALSE)</f>
        <v>Info- ja kommunikatsioonitehnoliigised kulud</v>
      </c>
      <c r="L404">
        <v>55</v>
      </c>
      <c r="M404" t="str">
        <f t="shared" si="13"/>
        <v>55</v>
      </c>
      <c r="N404" t="str">
        <f>VLOOKUP(Table2[[#This Row],[Tulu/kulu liik2]],Table5[[Tulu/kulu liik]:[Kontode koondnimetus]],4,FALSE)</f>
        <v>Muud tegevuskulud</v>
      </c>
      <c r="O404" t="str">
        <f>VLOOKUP(Table2[[#This Row],[Tulu/kulu liik2]],Table5[],6,FALSE)</f>
        <v>Majandamiskulud</v>
      </c>
      <c r="P404" s="3" t="str">
        <f>VLOOKUP(Table2[[#This Row],[Tulu/kulu liik2]],Table5[],5,FALSE)</f>
        <v>Põhitegevuse kulu</v>
      </c>
    </row>
    <row r="405" spans="1:16" hidden="1" x14ac:dyDescent="0.25">
      <c r="A405" t="str">
        <f t="shared" si="12"/>
        <v>08</v>
      </c>
      <c r="B405" t="s">
        <v>293</v>
      </c>
      <c r="C405" s="3" t="str">
        <f>VLOOKUP(Table2[[#This Row],[Tegevusala]],Table4[],2,FALSE)</f>
        <v>Roela Rahvaraamatukogu</v>
      </c>
      <c r="D405" s="3" t="str">
        <f>VLOOKUP(Table2[[#This Row],[Tegevusala]],Table4[[Tegevusala kood]:[Tegevusala alanimetus]],4,FALSE)</f>
        <v>Raamatukogud</v>
      </c>
      <c r="E405" s="3" t="str">
        <f>VLOOKUP(Table2[[#This Row],[Tegevusala nimetus2]],Table4[[Tegevusala nimetus]:[Tegevusala koondnimetus]],2,FALSE)</f>
        <v>Vabaaeg, kultuur ja religioon</v>
      </c>
      <c r="F405" t="s">
        <v>432</v>
      </c>
      <c r="G405" t="s">
        <v>435</v>
      </c>
      <c r="H405" s="40">
        <v>200</v>
      </c>
      <c r="I405" s="2" t="s">
        <v>445</v>
      </c>
      <c r="J405">
        <v>5514</v>
      </c>
      <c r="K405" s="3" t="str">
        <f>VLOOKUP(Table2[[#This Row],[Konto]],Table5[[Konto]:[Konto nimetus]],2,FALSE)</f>
        <v>Info- ja kommunikatsioonitehnoliigised kulud</v>
      </c>
      <c r="L405">
        <v>55</v>
      </c>
      <c r="M405" t="str">
        <f t="shared" si="13"/>
        <v>55</v>
      </c>
      <c r="N405" t="str">
        <f>VLOOKUP(Table2[[#This Row],[Tulu/kulu liik2]],Table5[[Tulu/kulu liik]:[Kontode koondnimetus]],4,FALSE)</f>
        <v>Muud tegevuskulud</v>
      </c>
      <c r="O405" t="str">
        <f>VLOOKUP(Table2[[#This Row],[Tulu/kulu liik2]],Table5[],6,FALSE)</f>
        <v>Majandamiskulud</v>
      </c>
      <c r="P405" s="3" t="str">
        <f>VLOOKUP(Table2[[#This Row],[Tulu/kulu liik2]],Table5[],5,FALSE)</f>
        <v>Põhitegevuse kulu</v>
      </c>
    </row>
    <row r="406" spans="1:16" hidden="1" x14ac:dyDescent="0.25">
      <c r="A406" t="str">
        <f t="shared" si="12"/>
        <v>08</v>
      </c>
      <c r="B406" t="s">
        <v>293</v>
      </c>
      <c r="C406" s="3" t="str">
        <f>VLOOKUP(Table2[[#This Row],[Tegevusala]],Table4[],2,FALSE)</f>
        <v>Roela Rahvaraamatukogu</v>
      </c>
      <c r="D406" s="3" t="str">
        <f>VLOOKUP(Table2[[#This Row],[Tegevusala]],Table4[[Tegevusala kood]:[Tegevusala alanimetus]],4,FALSE)</f>
        <v>Raamatukogud</v>
      </c>
      <c r="E406" s="3" t="str">
        <f>VLOOKUP(Table2[[#This Row],[Tegevusala nimetus2]],Table4[[Tegevusala nimetus]:[Tegevusala koondnimetus]],2,FALSE)</f>
        <v>Vabaaeg, kultuur ja religioon</v>
      </c>
      <c r="F406" t="s">
        <v>432</v>
      </c>
      <c r="G406" t="s">
        <v>2127</v>
      </c>
      <c r="H406" s="40">
        <v>500</v>
      </c>
      <c r="J406">
        <v>5511</v>
      </c>
      <c r="K406" s="3" t="str">
        <f>VLOOKUP(Table2[[#This Row],[Konto]],Table5[[Konto]:[Konto nimetus]],2,FALSE)</f>
        <v>Kinnistute, hoonete ja ruumide majandamiskulud</v>
      </c>
      <c r="L406">
        <v>55</v>
      </c>
      <c r="M406" t="str">
        <f t="shared" si="13"/>
        <v>55</v>
      </c>
      <c r="N406" s="3" t="str">
        <f>VLOOKUP(Table2[[#This Row],[Tulu/kulu liik2]],Table5[[Tulu/kulu liik]:[Kontode koondnimetus]],4,FALSE)</f>
        <v>Muud tegevuskulud</v>
      </c>
      <c r="O406" s="34" t="str">
        <f>VLOOKUP(Table2[[#This Row],[Tulu/kulu liik2]],Table5[],6,FALSE)</f>
        <v>Majandamiskulud</v>
      </c>
      <c r="P406" s="3" t="str">
        <f>VLOOKUP(Table2[[#This Row],[Tulu/kulu liik2]],Table5[],5,FALSE)</f>
        <v>Põhitegevuse kulu</v>
      </c>
    </row>
    <row r="407" spans="1:16" hidden="1" x14ac:dyDescent="0.25">
      <c r="A407" t="str">
        <f t="shared" si="12"/>
        <v>08</v>
      </c>
      <c r="B407" t="s">
        <v>293</v>
      </c>
      <c r="C407" s="3" t="str">
        <f>VLOOKUP(Table2[[#This Row],[Tegevusala]],Table4[],2,FALSE)</f>
        <v>Roela Rahvaraamatukogu</v>
      </c>
      <c r="D407" s="3" t="str">
        <f>VLOOKUP(Table2[[#This Row],[Tegevusala]],Table4[[Tegevusala kood]:[Tegevusala alanimetus]],4,FALSE)</f>
        <v>Raamatukogud</v>
      </c>
      <c r="E407" s="3" t="str">
        <f>VLOOKUP(Table2[[#This Row],[Tegevusala nimetus2]],Table4[[Tegevusala nimetus]:[Tegevusala koondnimetus]],2,FALSE)</f>
        <v>Vabaaeg, kultuur ja religioon</v>
      </c>
      <c r="F407" t="s">
        <v>432</v>
      </c>
      <c r="G407" t="s">
        <v>194</v>
      </c>
      <c r="H407" s="40">
        <v>100</v>
      </c>
      <c r="I407" s="2" t="s">
        <v>2128</v>
      </c>
      <c r="J407">
        <v>5511</v>
      </c>
      <c r="K407" s="3" t="str">
        <f>VLOOKUP(Table2[[#This Row],[Konto]],Table5[[Konto]:[Konto nimetus]],2,FALSE)</f>
        <v>Kinnistute, hoonete ja ruumide majandamiskulud</v>
      </c>
      <c r="L407">
        <v>55</v>
      </c>
      <c r="M407" t="str">
        <f t="shared" si="13"/>
        <v>55</v>
      </c>
      <c r="N407" s="3" t="str">
        <f>VLOOKUP(Table2[[#This Row],[Tulu/kulu liik2]],Table5[[Tulu/kulu liik]:[Kontode koondnimetus]],4,FALSE)</f>
        <v>Muud tegevuskulud</v>
      </c>
      <c r="O407" s="34" t="str">
        <f>VLOOKUP(Table2[[#This Row],[Tulu/kulu liik2]],Table5[],6,FALSE)</f>
        <v>Majandamiskulud</v>
      </c>
      <c r="P407" s="3" t="str">
        <f>VLOOKUP(Table2[[#This Row],[Tulu/kulu liik2]],Table5[],5,FALSE)</f>
        <v>Põhitegevuse kulu</v>
      </c>
    </row>
    <row r="408" spans="1:16" hidden="1" x14ac:dyDescent="0.25">
      <c r="A408" t="str">
        <f t="shared" si="12"/>
        <v>08</v>
      </c>
      <c r="B408" t="s">
        <v>294</v>
      </c>
      <c r="C408" s="3" t="str">
        <f>VLOOKUP(Table2[[#This Row],[Tegevusala]],Table4[],2,FALSE)</f>
        <v>Tudu Rahvaraamatukogu</v>
      </c>
      <c r="D408" s="3" t="str">
        <f>VLOOKUP(Table2[[#This Row],[Tegevusala]],Table4[[Tegevusala kood]:[Tegevusala alanimetus]],4,FALSE)</f>
        <v>Raamatukogud</v>
      </c>
      <c r="E408" s="3" t="str">
        <f>VLOOKUP(Table2[[#This Row],[Tegevusala nimetus2]],Table4[[Tegevusala nimetus]:[Tegevusala koondnimetus]],2,FALSE)</f>
        <v>Vabaaeg, kultuur ja religioon</v>
      </c>
      <c r="F408" t="s">
        <v>1650</v>
      </c>
      <c r="G408" t="s">
        <v>1124</v>
      </c>
      <c r="H408" s="40">
        <v>660</v>
      </c>
      <c r="I408" s="2" t="s">
        <v>1652</v>
      </c>
      <c r="J408">
        <v>5500</v>
      </c>
      <c r="K408" s="3" t="str">
        <f>VLOOKUP(Table2[[#This Row],[Konto]],Table5[[Konto]:[Konto nimetus]],2,FALSE)</f>
        <v>Administreerimiskulud</v>
      </c>
      <c r="L408">
        <v>55</v>
      </c>
      <c r="M408" t="str">
        <f t="shared" si="13"/>
        <v>55</v>
      </c>
      <c r="N408" s="3" t="str">
        <f>VLOOKUP(Table2[[#This Row],[Tulu/kulu liik2]],Table5[[Tulu/kulu liik]:[Kontode koondnimetus]],4,FALSE)</f>
        <v>Muud tegevuskulud</v>
      </c>
      <c r="O408" s="3" t="str">
        <f>VLOOKUP(Table2[[#This Row],[Tulu/kulu liik2]],Table5[],6,FALSE)</f>
        <v>Majandamiskulud</v>
      </c>
      <c r="P408" s="3" t="str">
        <f>VLOOKUP(Table2[[#This Row],[Tulu/kulu liik2]],Table5[],5,FALSE)</f>
        <v>Põhitegevuse kulu</v>
      </c>
    </row>
    <row r="409" spans="1:16" hidden="1" x14ac:dyDescent="0.25">
      <c r="A409" t="str">
        <f t="shared" si="12"/>
        <v>08</v>
      </c>
      <c r="B409" t="s">
        <v>294</v>
      </c>
      <c r="C409" s="3" t="str">
        <f>VLOOKUP(Table2[[#This Row],[Tegevusala]],Table4[],2,FALSE)</f>
        <v>Tudu Rahvaraamatukogu</v>
      </c>
      <c r="D409" s="3" t="str">
        <f>VLOOKUP(Table2[[#This Row],[Tegevusala]],Table4[[Tegevusala kood]:[Tegevusala alanimetus]],4,FALSE)</f>
        <v>Raamatukogud</v>
      </c>
      <c r="E409" s="3" t="str">
        <f>VLOOKUP(Table2[[#This Row],[Tegevusala nimetus2]],Table4[[Tegevusala nimetus]:[Tegevusala koondnimetus]],2,FALSE)</f>
        <v>Vabaaeg, kultuur ja religioon</v>
      </c>
      <c r="F409" t="s">
        <v>1650</v>
      </c>
      <c r="G409" t="s">
        <v>439</v>
      </c>
      <c r="H409" s="40">
        <v>500</v>
      </c>
      <c r="I409" s="2" t="s">
        <v>1653</v>
      </c>
      <c r="J409">
        <v>5500</v>
      </c>
      <c r="K409" s="3" t="str">
        <f>VLOOKUP(Table2[[#This Row],[Konto]],Table5[[Konto]:[Konto nimetus]],2,FALSE)</f>
        <v>Administreerimiskulud</v>
      </c>
      <c r="L409">
        <v>55</v>
      </c>
      <c r="M409" t="str">
        <f t="shared" si="13"/>
        <v>55</v>
      </c>
      <c r="N409" s="3" t="str">
        <f>VLOOKUP(Table2[[#This Row],[Tulu/kulu liik2]],Table5[[Tulu/kulu liik]:[Kontode koondnimetus]],4,FALSE)</f>
        <v>Muud tegevuskulud</v>
      </c>
      <c r="O409" s="3" t="str">
        <f>VLOOKUP(Table2[[#This Row],[Tulu/kulu liik2]],Table5[],6,FALSE)</f>
        <v>Majandamiskulud</v>
      </c>
      <c r="P409" s="3" t="str">
        <f>VLOOKUP(Table2[[#This Row],[Tulu/kulu liik2]],Table5[],5,FALSE)</f>
        <v>Põhitegevuse kulu</v>
      </c>
    </row>
    <row r="410" spans="1:16" hidden="1" x14ac:dyDescent="0.25">
      <c r="A410" t="str">
        <f t="shared" si="12"/>
        <v>08</v>
      </c>
      <c r="B410" t="s">
        <v>294</v>
      </c>
      <c r="C410" s="3" t="str">
        <f>VLOOKUP(Table2[[#This Row],[Tegevusala]],Table4[],2,FALSE)</f>
        <v>Tudu Rahvaraamatukogu</v>
      </c>
      <c r="D410" s="3" t="str">
        <f>VLOOKUP(Table2[[#This Row],[Tegevusala]],Table4[[Tegevusala kood]:[Tegevusala alanimetus]],4,FALSE)</f>
        <v>Raamatukogud</v>
      </c>
      <c r="E410" s="3" t="str">
        <f>VLOOKUP(Table2[[#This Row],[Tegevusala nimetus2]],Table4[[Tegevusala nimetus]:[Tegevusala koondnimetus]],2,FALSE)</f>
        <v>Vabaaeg, kultuur ja religioon</v>
      </c>
      <c r="F410" t="s">
        <v>1650</v>
      </c>
      <c r="G410" t="s">
        <v>438</v>
      </c>
      <c r="H410" s="40">
        <v>1570</v>
      </c>
      <c r="J410">
        <v>5523</v>
      </c>
      <c r="K410" s="3" t="str">
        <f>VLOOKUP(Table2[[#This Row],[Konto]],Table5[[Konto]:[Konto nimetus]],2,FALSE)</f>
        <v>Teavikud ja kunstiesemed</v>
      </c>
      <c r="L410">
        <v>55</v>
      </c>
      <c r="M410" t="str">
        <f t="shared" si="13"/>
        <v>55</v>
      </c>
      <c r="N410" s="3" t="str">
        <f>VLOOKUP(Table2[[#This Row],[Tulu/kulu liik2]],Table5[[Tulu/kulu liik]:[Kontode koondnimetus]],4,FALSE)</f>
        <v>Muud tegevuskulud</v>
      </c>
      <c r="O410" s="3" t="str">
        <f>VLOOKUP(Table2[[#This Row],[Tulu/kulu liik2]],Table5[],6,FALSE)</f>
        <v>Majandamiskulud</v>
      </c>
      <c r="P410" s="3" t="str">
        <f>VLOOKUP(Table2[[#This Row],[Tulu/kulu liik2]],Table5[],5,FALSE)</f>
        <v>Põhitegevuse kulu</v>
      </c>
    </row>
    <row r="411" spans="1:16" hidden="1" x14ac:dyDescent="0.25">
      <c r="A411" t="str">
        <f t="shared" si="12"/>
        <v>08</v>
      </c>
      <c r="B411" t="s">
        <v>294</v>
      </c>
      <c r="C411" s="3" t="str">
        <f>VLOOKUP(Table2[[#This Row],[Tegevusala]],Table4[],2,FALSE)</f>
        <v>Tudu Rahvaraamatukogu</v>
      </c>
      <c r="D411" s="3" t="str">
        <f>VLOOKUP(Table2[[#This Row],[Tegevusala]],Table4[[Tegevusala kood]:[Tegevusala alanimetus]],4,FALSE)</f>
        <v>Raamatukogud</v>
      </c>
      <c r="E411" s="3" t="str">
        <f>VLOOKUP(Table2[[#This Row],[Tegevusala nimetus2]],Table4[[Tegevusala nimetus]:[Tegevusala koondnimetus]],2,FALSE)</f>
        <v>Vabaaeg, kultuur ja religioon</v>
      </c>
      <c r="F411" t="s">
        <v>1650</v>
      </c>
      <c r="G411" t="s">
        <v>176</v>
      </c>
      <c r="H411" s="40">
        <v>30</v>
      </c>
      <c r="J411">
        <v>5504</v>
      </c>
      <c r="K411" s="3" t="str">
        <f>VLOOKUP(Table2[[#This Row],[Konto]],Table5[[Konto]:[Konto nimetus]],2,FALSE)</f>
        <v>Koolituskulud</v>
      </c>
      <c r="L411">
        <v>55</v>
      </c>
      <c r="M411" t="str">
        <f t="shared" si="13"/>
        <v>55</v>
      </c>
      <c r="N411" s="3" t="str">
        <f>VLOOKUP(Table2[[#This Row],[Tulu/kulu liik2]],Table5[[Tulu/kulu liik]:[Kontode koondnimetus]],4,FALSE)</f>
        <v>Muud tegevuskulud</v>
      </c>
      <c r="O411" s="3" t="str">
        <f>VLOOKUP(Table2[[#This Row],[Tulu/kulu liik2]],Table5[],6,FALSE)</f>
        <v>Majandamiskulud</v>
      </c>
      <c r="P411" s="3" t="str">
        <f>VLOOKUP(Table2[[#This Row],[Tulu/kulu liik2]],Table5[],5,FALSE)</f>
        <v>Põhitegevuse kulu</v>
      </c>
    </row>
    <row r="412" spans="1:16" hidden="1" x14ac:dyDescent="0.25">
      <c r="A412" t="str">
        <f t="shared" si="12"/>
        <v>08</v>
      </c>
      <c r="B412" t="s">
        <v>294</v>
      </c>
      <c r="C412" s="3" t="str">
        <f>VLOOKUP(Table2[[#This Row],[Tegevusala]],Table4[],2,FALSE)</f>
        <v>Tudu Rahvaraamatukogu</v>
      </c>
      <c r="D412" s="3" t="str">
        <f>VLOOKUP(Table2[[#This Row],[Tegevusala]],Table4[[Tegevusala kood]:[Tegevusala alanimetus]],4,FALSE)</f>
        <v>Raamatukogud</v>
      </c>
      <c r="E412" s="3" t="str">
        <f>VLOOKUP(Table2[[#This Row],[Tegevusala nimetus2]],Table4[[Tegevusala nimetus]:[Tegevusala koondnimetus]],2,FALSE)</f>
        <v>Vabaaeg, kultuur ja religioon</v>
      </c>
      <c r="F412" t="s">
        <v>1650</v>
      </c>
      <c r="G412" t="s">
        <v>1654</v>
      </c>
      <c r="H412" s="40">
        <v>30</v>
      </c>
      <c r="J412">
        <v>5500</v>
      </c>
      <c r="K412" s="3" t="str">
        <f>VLOOKUP(Table2[[#This Row],[Konto]],Table5[[Konto]:[Konto nimetus]],2,FALSE)</f>
        <v>Administreerimiskulud</v>
      </c>
      <c r="L412">
        <v>55</v>
      </c>
      <c r="M412" t="str">
        <f t="shared" si="13"/>
        <v>55</v>
      </c>
      <c r="N412" s="3" t="str">
        <f>VLOOKUP(Table2[[#This Row],[Tulu/kulu liik2]],Table5[[Tulu/kulu liik]:[Kontode koondnimetus]],4,FALSE)</f>
        <v>Muud tegevuskulud</v>
      </c>
      <c r="O412" s="3" t="str">
        <f>VLOOKUP(Table2[[#This Row],[Tulu/kulu liik2]],Table5[],6,FALSE)</f>
        <v>Majandamiskulud</v>
      </c>
      <c r="P412" s="3" t="str">
        <f>VLOOKUP(Table2[[#This Row],[Tulu/kulu liik2]],Table5[],5,FALSE)</f>
        <v>Põhitegevuse kulu</v>
      </c>
    </row>
    <row r="413" spans="1:16" hidden="1" x14ac:dyDescent="0.25">
      <c r="A413" t="str">
        <f t="shared" si="12"/>
        <v>08</v>
      </c>
      <c r="B413" t="s">
        <v>294</v>
      </c>
      <c r="C413" s="3" t="str">
        <f>VLOOKUP(Table2[[#This Row],[Tegevusala]],Table4[],2,FALSE)</f>
        <v>Tudu Rahvaraamatukogu</v>
      </c>
      <c r="D413" s="3" t="str">
        <f>VLOOKUP(Table2[[#This Row],[Tegevusala]],Table4[[Tegevusala kood]:[Tegevusala alanimetus]],4,FALSE)</f>
        <v>Raamatukogud</v>
      </c>
      <c r="E413" s="3" t="str">
        <f>VLOOKUP(Table2[[#This Row],[Tegevusala nimetus2]],Table4[[Tegevusala nimetus]:[Tegevusala koondnimetus]],2,FALSE)</f>
        <v>Vabaaeg, kultuur ja religioon</v>
      </c>
      <c r="F413" t="s">
        <v>1650</v>
      </c>
      <c r="G413" t="s">
        <v>1655</v>
      </c>
      <c r="H413" s="40">
        <v>240</v>
      </c>
      <c r="J413">
        <v>5514</v>
      </c>
      <c r="K413" s="3" t="str">
        <f>VLOOKUP(Table2[[#This Row],[Konto]],Table5[[Konto]:[Konto nimetus]],2,FALSE)</f>
        <v>Info- ja kommunikatsioonitehnoliigised kulud</v>
      </c>
      <c r="L413">
        <v>55</v>
      </c>
      <c r="M413" t="str">
        <f t="shared" si="13"/>
        <v>55</v>
      </c>
      <c r="N413" s="3" t="str">
        <f>VLOOKUP(Table2[[#This Row],[Tulu/kulu liik2]],Table5[[Tulu/kulu liik]:[Kontode koondnimetus]],4,FALSE)</f>
        <v>Muud tegevuskulud</v>
      </c>
      <c r="O413" s="3" t="str">
        <f>VLOOKUP(Table2[[#This Row],[Tulu/kulu liik2]],Table5[],6,FALSE)</f>
        <v>Majandamiskulud</v>
      </c>
      <c r="P413" s="3" t="str">
        <f>VLOOKUP(Table2[[#This Row],[Tulu/kulu liik2]],Table5[],5,FALSE)</f>
        <v>Põhitegevuse kulu</v>
      </c>
    </row>
    <row r="414" spans="1:16" hidden="1" x14ac:dyDescent="0.25">
      <c r="A414" t="str">
        <f t="shared" si="12"/>
        <v>08</v>
      </c>
      <c r="B414" t="s">
        <v>294</v>
      </c>
      <c r="C414" s="3" t="str">
        <f>VLOOKUP(Table2[[#This Row],[Tegevusala]],Table4[],2,FALSE)</f>
        <v>Tudu Rahvaraamatukogu</v>
      </c>
      <c r="D414" s="3" t="str">
        <f>VLOOKUP(Table2[[#This Row],[Tegevusala]],Table4[[Tegevusala kood]:[Tegevusala alanimetus]],4,FALSE)</f>
        <v>Raamatukogud</v>
      </c>
      <c r="E414" s="3" t="str">
        <f>VLOOKUP(Table2[[#This Row],[Tegevusala nimetus2]],Table4[[Tegevusala nimetus]:[Tegevusala koondnimetus]],2,FALSE)</f>
        <v>Vabaaeg, kultuur ja religioon</v>
      </c>
      <c r="F414" t="s">
        <v>1650</v>
      </c>
      <c r="G414" t="s">
        <v>1956</v>
      </c>
      <c r="H414" s="40">
        <f>9*15</f>
        <v>135</v>
      </c>
      <c r="J414">
        <v>5511</v>
      </c>
      <c r="K414" s="3" t="str">
        <f>VLOOKUP(Table2[[#This Row],[Konto]],Table5[[Konto]:[Konto nimetus]],2,FALSE)</f>
        <v>Kinnistute, hoonete ja ruumide majandamiskulud</v>
      </c>
      <c r="L414">
        <v>55</v>
      </c>
      <c r="M414" t="str">
        <f t="shared" si="13"/>
        <v>55</v>
      </c>
      <c r="N414" s="3" t="str">
        <f>VLOOKUP(Table2[[#This Row],[Tulu/kulu liik2]],Table5[[Tulu/kulu liik]:[Kontode koondnimetus]],4,FALSE)</f>
        <v>Muud tegevuskulud</v>
      </c>
      <c r="O414" s="34" t="str">
        <f>VLOOKUP(Table2[[#This Row],[Tulu/kulu liik2]],Table5[],6,FALSE)</f>
        <v>Majandamiskulud</v>
      </c>
      <c r="P414" s="3" t="str">
        <f>VLOOKUP(Table2[[#This Row],[Tulu/kulu liik2]],Table5[],5,FALSE)</f>
        <v>Põhitegevuse kulu</v>
      </c>
    </row>
    <row r="415" spans="1:16" hidden="1" x14ac:dyDescent="0.25">
      <c r="A415" t="str">
        <f t="shared" si="12"/>
        <v>08</v>
      </c>
      <c r="B415" t="s">
        <v>294</v>
      </c>
      <c r="C415" s="3" t="str">
        <f>VLOOKUP(Table2[[#This Row],[Tegevusala]],Table4[],2,FALSE)</f>
        <v>Tudu Rahvaraamatukogu</v>
      </c>
      <c r="D415" s="3" t="str">
        <f>VLOOKUP(Table2[[#This Row],[Tegevusala]],Table4[[Tegevusala kood]:[Tegevusala alanimetus]],4,FALSE)</f>
        <v>Raamatukogud</v>
      </c>
      <c r="E415" s="3" t="str">
        <f>VLOOKUP(Table2[[#This Row],[Tegevusala nimetus2]],Table4[[Tegevusala nimetus]:[Tegevusala koondnimetus]],2,FALSE)</f>
        <v>Vabaaeg, kultuur ja religioon</v>
      </c>
      <c r="F415" t="s">
        <v>1650</v>
      </c>
      <c r="G415" t="s">
        <v>1960</v>
      </c>
      <c r="H415" s="40">
        <v>150</v>
      </c>
      <c r="J415">
        <v>5511</v>
      </c>
      <c r="K415" s="3" t="str">
        <f>VLOOKUP(Table2[[#This Row],[Konto]],Table5[[Konto]:[Konto nimetus]],2,FALSE)</f>
        <v>Kinnistute, hoonete ja ruumide majandamiskulud</v>
      </c>
      <c r="L415">
        <v>55</v>
      </c>
      <c r="M415" t="str">
        <f t="shared" si="13"/>
        <v>55</v>
      </c>
      <c r="N415" s="3" t="str">
        <f>VLOOKUP(Table2[[#This Row],[Tulu/kulu liik2]],Table5[[Tulu/kulu liik]:[Kontode koondnimetus]],4,FALSE)</f>
        <v>Muud tegevuskulud</v>
      </c>
      <c r="O415" s="34" t="str">
        <f>VLOOKUP(Table2[[#This Row],[Tulu/kulu liik2]],Table5[],6,FALSE)</f>
        <v>Majandamiskulud</v>
      </c>
      <c r="P415" s="3" t="str">
        <f>VLOOKUP(Table2[[#This Row],[Tulu/kulu liik2]],Table5[],5,FALSE)</f>
        <v>Põhitegevuse kulu</v>
      </c>
    </row>
    <row r="416" spans="1:16" hidden="1" x14ac:dyDescent="0.25">
      <c r="A416" t="str">
        <f t="shared" si="12"/>
        <v>08</v>
      </c>
      <c r="B416" t="s">
        <v>294</v>
      </c>
      <c r="C416" s="3" t="str">
        <f>VLOOKUP(Table2[[#This Row],[Tegevusala]],Table4[],2,FALSE)</f>
        <v>Tudu Rahvaraamatukogu</v>
      </c>
      <c r="D416" s="3" t="str">
        <f>VLOOKUP(Table2[[#This Row],[Tegevusala]],Table4[[Tegevusala kood]:[Tegevusala alanimetus]],4,FALSE)</f>
        <v>Raamatukogud</v>
      </c>
      <c r="E416" s="3" t="str">
        <f>VLOOKUP(Table2[[#This Row],[Tegevusala nimetus2]],Table4[[Tegevusala nimetus]:[Tegevusala koondnimetus]],2,FALSE)</f>
        <v>Vabaaeg, kultuur ja religioon</v>
      </c>
      <c r="F416" t="s">
        <v>1650</v>
      </c>
      <c r="G416" t="s">
        <v>2169</v>
      </c>
      <c r="H416" s="40">
        <v>850</v>
      </c>
      <c r="J416">
        <v>5511</v>
      </c>
      <c r="K416" s="3" t="str">
        <f>VLOOKUP(Table2[[#This Row],[Konto]],Table5[[Konto]:[Konto nimetus]],2,FALSE)</f>
        <v>Kinnistute, hoonete ja ruumide majandamiskulud</v>
      </c>
      <c r="L416">
        <v>55</v>
      </c>
      <c r="M416" t="str">
        <f t="shared" si="13"/>
        <v>55</v>
      </c>
      <c r="N416" s="3" t="str">
        <f>VLOOKUP(Table2[[#This Row],[Tulu/kulu liik2]],Table5[[Tulu/kulu liik]:[Kontode koondnimetus]],4,FALSE)</f>
        <v>Muud tegevuskulud</v>
      </c>
      <c r="O416" s="34" t="str">
        <f>VLOOKUP(Table2[[#This Row],[Tulu/kulu liik2]],Table5[],6,FALSE)</f>
        <v>Majandamiskulud</v>
      </c>
      <c r="P416" s="3" t="str">
        <f>VLOOKUP(Table2[[#This Row],[Tulu/kulu liik2]],Table5[],5,FALSE)</f>
        <v>Põhitegevuse kulu</v>
      </c>
    </row>
    <row r="417" spans="1:16" hidden="1" x14ac:dyDescent="0.25">
      <c r="A417" t="str">
        <f t="shared" si="12"/>
        <v>08</v>
      </c>
      <c r="B417" t="s">
        <v>295</v>
      </c>
      <c r="C417" s="3" t="str">
        <f>VLOOKUP(Table2[[#This Row],[Tegevusala]],Table4[],2,FALSE)</f>
        <v>Ulvi Raamatukogu</v>
      </c>
      <c r="D417" s="3" t="str">
        <f>VLOOKUP(Table2[[#This Row],[Tegevusala]],Table4[[Tegevusala kood]:[Tegevusala alanimetus]],4,FALSE)</f>
        <v>Raamatukogud</v>
      </c>
      <c r="E417" s="3" t="str">
        <f>VLOOKUP(Table2[[#This Row],[Tegevusala nimetus2]],Table4[[Tegevusala nimetus]:[Tegevusala koondnimetus]],2,FALSE)</f>
        <v>Vabaaeg, kultuur ja religioon</v>
      </c>
      <c r="F417" t="s">
        <v>1068</v>
      </c>
      <c r="G417" t="s">
        <v>1075</v>
      </c>
      <c r="H417" s="40">
        <v>400</v>
      </c>
      <c r="J417">
        <v>5511</v>
      </c>
      <c r="K417" s="3" t="str">
        <f>VLOOKUP(Table2[[#This Row],[Konto]],Table5[[Konto]:[Konto nimetus]],2,FALSE)</f>
        <v>Kinnistute, hoonete ja ruumide majandamiskulud</v>
      </c>
      <c r="L417">
        <v>55</v>
      </c>
      <c r="M417" t="str">
        <f t="shared" si="13"/>
        <v>55</v>
      </c>
      <c r="N417" s="3" t="str">
        <f>VLOOKUP(Table2[[#This Row],[Tulu/kulu liik2]],Table5[[Tulu/kulu liik]:[Kontode koondnimetus]],4,FALSE)</f>
        <v>Muud tegevuskulud</v>
      </c>
      <c r="O417" s="3" t="str">
        <f>VLOOKUP(Table2[[#This Row],[Tulu/kulu liik2]],Table5[],6,FALSE)</f>
        <v>Majandamiskulud</v>
      </c>
      <c r="P417" s="3" t="str">
        <f>VLOOKUP(Table2[[#This Row],[Tulu/kulu liik2]],Table5[],5,FALSE)</f>
        <v>Põhitegevuse kulu</v>
      </c>
    </row>
    <row r="418" spans="1:16" hidden="1" x14ac:dyDescent="0.25">
      <c r="A418" t="str">
        <f t="shared" si="12"/>
        <v>08</v>
      </c>
      <c r="B418" t="s">
        <v>295</v>
      </c>
      <c r="C418" s="3" t="str">
        <f>VLOOKUP(Table2[[#This Row],[Tegevusala]],Table4[],2,FALSE)</f>
        <v>Ulvi Raamatukogu</v>
      </c>
      <c r="D418" s="3" t="str">
        <f>VLOOKUP(Table2[[#This Row],[Tegevusala]],Table4[[Tegevusala kood]:[Tegevusala alanimetus]],4,FALSE)</f>
        <v>Raamatukogud</v>
      </c>
      <c r="E418" s="3" t="str">
        <f>VLOOKUP(Table2[[#This Row],[Tegevusala nimetus2]],Table4[[Tegevusala nimetus]:[Tegevusala koondnimetus]],2,FALSE)</f>
        <v>Vabaaeg, kultuur ja religioon</v>
      </c>
      <c r="F418" t="s">
        <v>1068</v>
      </c>
      <c r="G418" t="s">
        <v>1069</v>
      </c>
      <c r="H418" s="40">
        <v>320</v>
      </c>
      <c r="I418" s="2" t="s">
        <v>1070</v>
      </c>
      <c r="J418">
        <v>5500</v>
      </c>
      <c r="K418" s="3" t="str">
        <f>VLOOKUP(Table2[[#This Row],[Konto]],Table5[[Konto]:[Konto nimetus]],2,FALSE)</f>
        <v>Administreerimiskulud</v>
      </c>
      <c r="L418">
        <v>55</v>
      </c>
      <c r="M418" t="str">
        <f t="shared" si="13"/>
        <v>55</v>
      </c>
      <c r="N418" s="3" t="str">
        <f>VLOOKUP(Table2[[#This Row],[Tulu/kulu liik2]],Table5[[Tulu/kulu liik]:[Kontode koondnimetus]],4,FALSE)</f>
        <v>Muud tegevuskulud</v>
      </c>
      <c r="O418" s="3" t="str">
        <f>VLOOKUP(Table2[[#This Row],[Tulu/kulu liik2]],Table5[],6,FALSE)</f>
        <v>Majandamiskulud</v>
      </c>
      <c r="P418" s="3" t="str">
        <f>VLOOKUP(Table2[[#This Row],[Tulu/kulu liik2]],Table5[],5,FALSE)</f>
        <v>Põhitegevuse kulu</v>
      </c>
    </row>
    <row r="419" spans="1:16" hidden="1" x14ac:dyDescent="0.25">
      <c r="A419" t="str">
        <f t="shared" si="12"/>
        <v>08</v>
      </c>
      <c r="B419" t="s">
        <v>295</v>
      </c>
      <c r="C419" s="3" t="str">
        <f>VLOOKUP(Table2[[#This Row],[Tegevusala]],Table4[],2,FALSE)</f>
        <v>Ulvi Raamatukogu</v>
      </c>
      <c r="D419" s="3" t="str">
        <f>VLOOKUP(Table2[[#This Row],[Tegevusala]],Table4[[Tegevusala kood]:[Tegevusala alanimetus]],4,FALSE)</f>
        <v>Raamatukogud</v>
      </c>
      <c r="E419" s="3" t="str">
        <f>VLOOKUP(Table2[[#This Row],[Tegevusala nimetus2]],Table4[[Tegevusala nimetus]:[Tegevusala koondnimetus]],2,FALSE)</f>
        <v>Vabaaeg, kultuur ja religioon</v>
      </c>
      <c r="F419" t="s">
        <v>1068</v>
      </c>
      <c r="G419" t="s">
        <v>1071</v>
      </c>
      <c r="H419" s="40">
        <v>500</v>
      </c>
      <c r="I419" s="2" t="s">
        <v>1072</v>
      </c>
      <c r="J419">
        <v>5500</v>
      </c>
      <c r="K419" s="3" t="str">
        <f>VLOOKUP(Table2[[#This Row],[Konto]],Table5[[Konto]:[Konto nimetus]],2,FALSE)</f>
        <v>Administreerimiskulud</v>
      </c>
      <c r="L419">
        <v>55</v>
      </c>
      <c r="M419" t="str">
        <f t="shared" si="13"/>
        <v>55</v>
      </c>
      <c r="N419" s="3" t="str">
        <f>VLOOKUP(Table2[[#This Row],[Tulu/kulu liik2]],Table5[[Tulu/kulu liik]:[Kontode koondnimetus]],4,FALSE)</f>
        <v>Muud tegevuskulud</v>
      </c>
      <c r="O419" s="3" t="str">
        <f>VLOOKUP(Table2[[#This Row],[Tulu/kulu liik2]],Table5[],6,FALSE)</f>
        <v>Majandamiskulud</v>
      </c>
      <c r="P419" s="3" t="str">
        <f>VLOOKUP(Table2[[#This Row],[Tulu/kulu liik2]],Table5[],5,FALSE)</f>
        <v>Põhitegevuse kulu</v>
      </c>
    </row>
    <row r="420" spans="1:16" hidden="1" x14ac:dyDescent="0.25">
      <c r="A420" t="str">
        <f t="shared" si="12"/>
        <v>08</v>
      </c>
      <c r="B420" t="s">
        <v>295</v>
      </c>
      <c r="C420" s="3" t="str">
        <f>VLOOKUP(Table2[[#This Row],[Tegevusala]],Table4[],2,FALSE)</f>
        <v>Ulvi Raamatukogu</v>
      </c>
      <c r="D420" s="3" t="str">
        <f>VLOOKUP(Table2[[#This Row],[Tegevusala]],Table4[[Tegevusala kood]:[Tegevusala alanimetus]],4,FALSE)</f>
        <v>Raamatukogud</v>
      </c>
      <c r="E420" s="3" t="str">
        <f>VLOOKUP(Table2[[#This Row],[Tegevusala nimetus2]],Table4[[Tegevusala nimetus]:[Tegevusala koondnimetus]],2,FALSE)</f>
        <v>Vabaaeg, kultuur ja religioon</v>
      </c>
      <c r="F420" t="s">
        <v>1068</v>
      </c>
      <c r="G420" t="s">
        <v>439</v>
      </c>
      <c r="H420" s="40">
        <v>1200</v>
      </c>
      <c r="I420" s="2" t="s">
        <v>1073</v>
      </c>
      <c r="J420">
        <v>5500</v>
      </c>
      <c r="K420" s="3" t="str">
        <f>VLOOKUP(Table2[[#This Row],[Konto]],Table5[[Konto]:[Konto nimetus]],2,FALSE)</f>
        <v>Administreerimiskulud</v>
      </c>
      <c r="L420">
        <v>55</v>
      </c>
      <c r="M420" t="str">
        <f t="shared" si="13"/>
        <v>55</v>
      </c>
      <c r="N420" s="3" t="str">
        <f>VLOOKUP(Table2[[#This Row],[Tulu/kulu liik2]],Table5[[Tulu/kulu liik]:[Kontode koondnimetus]],4,FALSE)</f>
        <v>Muud tegevuskulud</v>
      </c>
      <c r="O420" s="3" t="str">
        <f>VLOOKUP(Table2[[#This Row],[Tulu/kulu liik2]],Table5[],6,FALSE)</f>
        <v>Majandamiskulud</v>
      </c>
      <c r="P420" s="3" t="str">
        <f>VLOOKUP(Table2[[#This Row],[Tulu/kulu liik2]],Table5[],5,FALSE)</f>
        <v>Põhitegevuse kulu</v>
      </c>
    </row>
    <row r="421" spans="1:16" hidden="1" x14ac:dyDescent="0.25">
      <c r="A421" t="str">
        <f t="shared" si="12"/>
        <v>08</v>
      </c>
      <c r="B421" t="s">
        <v>295</v>
      </c>
      <c r="C421" s="3" t="str">
        <f>VLOOKUP(Table2[[#This Row],[Tegevusala]],Table4[],2,FALSE)</f>
        <v>Ulvi Raamatukogu</v>
      </c>
      <c r="D421" s="3" t="str">
        <f>VLOOKUP(Table2[[#This Row],[Tegevusala]],Table4[[Tegevusala kood]:[Tegevusala alanimetus]],4,FALSE)</f>
        <v>Raamatukogud</v>
      </c>
      <c r="E421" s="3" t="str">
        <f>VLOOKUP(Table2[[#This Row],[Tegevusala nimetus2]],Table4[[Tegevusala nimetus]:[Tegevusala koondnimetus]],2,FALSE)</f>
        <v>Vabaaeg, kultuur ja religioon</v>
      </c>
      <c r="F421" t="s">
        <v>1068</v>
      </c>
      <c r="G421" t="s">
        <v>391</v>
      </c>
      <c r="H421" s="40">
        <v>350</v>
      </c>
      <c r="I421" s="2" t="s">
        <v>1074</v>
      </c>
      <c r="J421">
        <v>5504</v>
      </c>
      <c r="K421" s="3" t="str">
        <f>VLOOKUP(Table2[[#This Row],[Konto]],Table5[[Konto]:[Konto nimetus]],2,FALSE)</f>
        <v>Koolituskulud</v>
      </c>
      <c r="L421">
        <v>55</v>
      </c>
      <c r="M421" t="str">
        <f t="shared" si="13"/>
        <v>55</v>
      </c>
      <c r="N421" s="3" t="str">
        <f>VLOOKUP(Table2[[#This Row],[Tulu/kulu liik2]],Table5[[Tulu/kulu liik]:[Kontode koondnimetus]],4,FALSE)</f>
        <v>Muud tegevuskulud</v>
      </c>
      <c r="O421" s="3" t="str">
        <f>VLOOKUP(Table2[[#This Row],[Tulu/kulu liik2]],Table5[],6,FALSE)</f>
        <v>Majandamiskulud</v>
      </c>
      <c r="P421" s="3" t="str">
        <f>VLOOKUP(Table2[[#This Row],[Tulu/kulu liik2]],Table5[],5,FALSE)</f>
        <v>Põhitegevuse kulu</v>
      </c>
    </row>
    <row r="422" spans="1:16" hidden="1" x14ac:dyDescent="0.25">
      <c r="A422" t="str">
        <f t="shared" si="12"/>
        <v>08</v>
      </c>
      <c r="B422" t="s">
        <v>295</v>
      </c>
      <c r="C422" s="3" t="str">
        <f>VLOOKUP(Table2[[#This Row],[Tegevusala]],Table4[],2,FALSE)</f>
        <v>Ulvi Raamatukogu</v>
      </c>
      <c r="D422" s="3" t="str">
        <f>VLOOKUP(Table2[[#This Row],[Tegevusala]],Table4[[Tegevusala kood]:[Tegevusala alanimetus]],4,FALSE)</f>
        <v>Raamatukogud</v>
      </c>
      <c r="E422" s="3" t="str">
        <f>VLOOKUP(Table2[[#This Row],[Tegevusala nimetus2]],Table4[[Tegevusala nimetus]:[Tegevusala koondnimetus]],2,FALSE)</f>
        <v>Vabaaeg, kultuur ja religioon</v>
      </c>
      <c r="F422" t="s">
        <v>1068</v>
      </c>
      <c r="G422" t="s">
        <v>424</v>
      </c>
      <c r="H422" s="40">
        <f>120*6</f>
        <v>720</v>
      </c>
      <c r="I422" s="2" t="s">
        <v>1076</v>
      </c>
      <c r="J422">
        <v>5513</v>
      </c>
      <c r="K422" s="3" t="str">
        <f>VLOOKUP(Table2[[#This Row],[Konto]],Table5[[Konto]:[Konto nimetus]],2,FALSE)</f>
        <v>Sõidukite ülalpidamise kulud</v>
      </c>
      <c r="L422">
        <v>55</v>
      </c>
      <c r="M422" t="str">
        <f t="shared" si="13"/>
        <v>55</v>
      </c>
      <c r="N422" s="3" t="str">
        <f>VLOOKUP(Table2[[#This Row],[Tulu/kulu liik2]],Table5[[Tulu/kulu liik]:[Kontode koondnimetus]],4,FALSE)</f>
        <v>Muud tegevuskulud</v>
      </c>
      <c r="O422" s="3" t="str">
        <f>VLOOKUP(Table2[[#This Row],[Tulu/kulu liik2]],Table5[],6,FALSE)</f>
        <v>Majandamiskulud</v>
      </c>
      <c r="P422" s="3" t="str">
        <f>VLOOKUP(Table2[[#This Row],[Tulu/kulu liik2]],Table5[],5,FALSE)</f>
        <v>Põhitegevuse kulu</v>
      </c>
    </row>
    <row r="423" spans="1:16" hidden="1" x14ac:dyDescent="0.25">
      <c r="A423" t="str">
        <f t="shared" si="12"/>
        <v>08</v>
      </c>
      <c r="B423" t="s">
        <v>295</v>
      </c>
      <c r="C423" s="3" t="str">
        <f>VLOOKUP(Table2[[#This Row],[Tegevusala]],Table4[],2,FALSE)</f>
        <v>Ulvi Raamatukogu</v>
      </c>
      <c r="D423" s="3" t="str">
        <f>VLOOKUP(Table2[[#This Row],[Tegevusala]],Table4[[Tegevusala kood]:[Tegevusala alanimetus]],4,FALSE)</f>
        <v>Raamatukogud</v>
      </c>
      <c r="E423" s="3" t="str">
        <f>VLOOKUP(Table2[[#This Row],[Tegevusala nimetus2]],Table4[[Tegevusala nimetus]:[Tegevusala koondnimetus]],2,FALSE)</f>
        <v>Vabaaeg, kultuur ja religioon</v>
      </c>
      <c r="F423" t="s">
        <v>1068</v>
      </c>
      <c r="G423" t="s">
        <v>409</v>
      </c>
      <c r="H423" s="40">
        <v>100</v>
      </c>
      <c r="J423">
        <v>5522</v>
      </c>
      <c r="K423" s="3" t="str">
        <f>VLOOKUP(Table2[[#This Row],[Konto]],Table5[[Konto]:[Konto nimetus]],2,FALSE)</f>
        <v>Meditsiinikulud ja hügieenitarbed</v>
      </c>
      <c r="L423">
        <v>55</v>
      </c>
      <c r="M423" t="str">
        <f t="shared" si="13"/>
        <v>55</v>
      </c>
      <c r="N423" s="3" t="str">
        <f>VLOOKUP(Table2[[#This Row],[Tulu/kulu liik2]],Table5[[Tulu/kulu liik]:[Kontode koondnimetus]],4,FALSE)</f>
        <v>Muud tegevuskulud</v>
      </c>
      <c r="O423" s="3" t="str">
        <f>VLOOKUP(Table2[[#This Row],[Tulu/kulu liik2]],Table5[],6,FALSE)</f>
        <v>Majandamiskulud</v>
      </c>
      <c r="P423" s="3" t="str">
        <f>VLOOKUP(Table2[[#This Row],[Tulu/kulu liik2]],Table5[],5,FALSE)</f>
        <v>Põhitegevuse kulu</v>
      </c>
    </row>
    <row r="424" spans="1:16" hidden="1" x14ac:dyDescent="0.25">
      <c r="A424" t="str">
        <f t="shared" si="12"/>
        <v>08</v>
      </c>
      <c r="B424" t="s">
        <v>295</v>
      </c>
      <c r="C424" s="3" t="str">
        <f>VLOOKUP(Table2[[#This Row],[Tegevusala]],Table4[],2,FALSE)</f>
        <v>Ulvi Raamatukogu</v>
      </c>
      <c r="D424" s="3" t="str">
        <f>VLOOKUP(Table2[[#This Row],[Tegevusala]],Table4[[Tegevusala kood]:[Tegevusala alanimetus]],4,FALSE)</f>
        <v>Raamatukogud</v>
      </c>
      <c r="E424" s="3" t="str">
        <f>VLOOKUP(Table2[[#This Row],[Tegevusala nimetus2]],Table4[[Tegevusala nimetus]:[Tegevusala koondnimetus]],2,FALSE)</f>
        <v>Vabaaeg, kultuur ja religioon</v>
      </c>
      <c r="F424" t="s">
        <v>1068</v>
      </c>
      <c r="G424" t="s">
        <v>743</v>
      </c>
      <c r="H424" s="40">
        <v>3200</v>
      </c>
      <c r="J424">
        <v>5523</v>
      </c>
      <c r="K424" s="3" t="str">
        <f>VLOOKUP(Table2[[#This Row],[Konto]],Table5[[Konto]:[Konto nimetus]],2,FALSE)</f>
        <v>Teavikud ja kunstiesemed</v>
      </c>
      <c r="L424">
        <v>55</v>
      </c>
      <c r="M424" t="str">
        <f t="shared" si="13"/>
        <v>55</v>
      </c>
      <c r="N424" s="3" t="str">
        <f>VLOOKUP(Table2[[#This Row],[Tulu/kulu liik2]],Table5[[Tulu/kulu liik]:[Kontode koondnimetus]],4,FALSE)</f>
        <v>Muud tegevuskulud</v>
      </c>
      <c r="O424" s="3" t="str">
        <f>VLOOKUP(Table2[[#This Row],[Tulu/kulu liik2]],Table5[],6,FALSE)</f>
        <v>Majandamiskulud</v>
      </c>
      <c r="P424" s="3" t="str">
        <f>VLOOKUP(Table2[[#This Row],[Tulu/kulu liik2]],Table5[],5,FALSE)</f>
        <v>Põhitegevuse kulu</v>
      </c>
    </row>
    <row r="425" spans="1:16" hidden="1" x14ac:dyDescent="0.25">
      <c r="A425" t="str">
        <f t="shared" si="12"/>
        <v>08</v>
      </c>
      <c r="B425" t="s">
        <v>295</v>
      </c>
      <c r="C425" s="3" t="str">
        <f>VLOOKUP(Table2[[#This Row],[Tegevusala]],Table4[],2,FALSE)</f>
        <v>Ulvi Raamatukogu</v>
      </c>
      <c r="D425" s="3" t="str">
        <f>VLOOKUP(Table2[[#This Row],[Tegevusala]],Table4[[Tegevusala kood]:[Tegevusala alanimetus]],4,FALSE)</f>
        <v>Raamatukogud</v>
      </c>
      <c r="E425" s="3" t="str">
        <f>VLOOKUP(Table2[[#This Row],[Tegevusala nimetus2]],Table4[[Tegevusala nimetus]:[Tegevusala koondnimetus]],2,FALSE)</f>
        <v>Vabaaeg, kultuur ja religioon</v>
      </c>
      <c r="F425" t="s">
        <v>1068</v>
      </c>
      <c r="G425" t="s">
        <v>1081</v>
      </c>
      <c r="H425" s="40">
        <v>500</v>
      </c>
      <c r="J425">
        <v>5525</v>
      </c>
      <c r="K425" s="3" t="str">
        <f>VLOOKUP(Table2[[#This Row],[Konto]],Table5[[Konto]:[Konto nimetus]],2,FALSE)</f>
        <v>Kommunikatsiooni-, kultuuri- ja vaba aja sisustamise kulud</v>
      </c>
      <c r="L425">
        <v>55</v>
      </c>
      <c r="M425" t="str">
        <f t="shared" si="13"/>
        <v>55</v>
      </c>
      <c r="N425" s="3" t="str">
        <f>VLOOKUP(Table2[[#This Row],[Tulu/kulu liik2]],Table5[[Tulu/kulu liik]:[Kontode koondnimetus]],4,FALSE)</f>
        <v>Muud tegevuskulud</v>
      </c>
      <c r="O425" s="3" t="str">
        <f>VLOOKUP(Table2[[#This Row],[Tulu/kulu liik2]],Table5[],6,FALSE)</f>
        <v>Majandamiskulud</v>
      </c>
      <c r="P425" s="3" t="str">
        <f>VLOOKUP(Table2[[#This Row],[Tulu/kulu liik2]],Table5[],5,FALSE)</f>
        <v>Põhitegevuse kulu</v>
      </c>
    </row>
    <row r="426" spans="1:16" hidden="1" x14ac:dyDescent="0.25">
      <c r="A426" t="str">
        <f t="shared" si="12"/>
        <v>08</v>
      </c>
      <c r="B426" t="s">
        <v>295</v>
      </c>
      <c r="C426" s="3" t="str">
        <f>VLOOKUP(Table2[[#This Row],[Tegevusala]],Table4[],2,FALSE)</f>
        <v>Ulvi Raamatukogu</v>
      </c>
      <c r="D426" s="3" t="str">
        <f>VLOOKUP(Table2[[#This Row],[Tegevusala]],Table4[[Tegevusala kood]:[Tegevusala alanimetus]],4,FALSE)</f>
        <v>Raamatukogud</v>
      </c>
      <c r="E426" s="3" t="str">
        <f>VLOOKUP(Table2[[#This Row],[Tegevusala nimetus2]],Table4[[Tegevusala nimetus]:[Tegevusala koondnimetus]],2,FALSE)</f>
        <v>Vabaaeg, kultuur ja religioon</v>
      </c>
      <c r="F426" t="s">
        <v>1068</v>
      </c>
      <c r="G426" t="s">
        <v>1077</v>
      </c>
      <c r="H426" s="40">
        <f>20*12</f>
        <v>240</v>
      </c>
      <c r="I426" s="2" t="s">
        <v>1078</v>
      </c>
      <c r="J426">
        <v>5514</v>
      </c>
      <c r="K426" s="3" t="str">
        <f>VLOOKUP(Table2[[#This Row],[Konto]],Table5[[Konto]:[Konto nimetus]],2,FALSE)</f>
        <v>Info- ja kommunikatsioonitehnoliigised kulud</v>
      </c>
      <c r="L426">
        <v>55</v>
      </c>
      <c r="M426" t="str">
        <f t="shared" si="13"/>
        <v>55</v>
      </c>
      <c r="N426" s="3" t="str">
        <f>VLOOKUP(Table2[[#This Row],[Tulu/kulu liik2]],Table5[[Tulu/kulu liik]:[Kontode koondnimetus]],4,FALSE)</f>
        <v>Muud tegevuskulud</v>
      </c>
      <c r="O426" s="3" t="str">
        <f>VLOOKUP(Table2[[#This Row],[Tulu/kulu liik2]],Table5[],6,FALSE)</f>
        <v>Majandamiskulud</v>
      </c>
      <c r="P426" s="3" t="str">
        <f>VLOOKUP(Table2[[#This Row],[Tulu/kulu liik2]],Table5[],5,FALSE)</f>
        <v>Põhitegevuse kulu</v>
      </c>
    </row>
    <row r="427" spans="1:16" hidden="1" x14ac:dyDescent="0.25">
      <c r="A427" s="33" t="str">
        <f t="shared" si="12"/>
        <v>08</v>
      </c>
      <c r="B427" s="33" t="s">
        <v>295</v>
      </c>
      <c r="C427" s="34" t="str">
        <f>VLOOKUP(Table2[[#This Row],[Tegevusala]],Table4[],2,FALSE)</f>
        <v>Ulvi Raamatukogu</v>
      </c>
      <c r="D427" s="34" t="str">
        <f>VLOOKUP(Table2[[#This Row],[Tegevusala]],Table4[[Tegevusala kood]:[Tegevusala alanimetus]],4,FALSE)</f>
        <v>Raamatukogud</v>
      </c>
      <c r="E427" s="34" t="str">
        <f>VLOOKUP(Table2[[#This Row],[Tegevusala nimetus2]],Table4[[Tegevusala nimetus]:[Tegevusala koondnimetus]],2,FALSE)</f>
        <v>Vabaaeg, kultuur ja religioon</v>
      </c>
      <c r="F427" s="33" t="s">
        <v>1068</v>
      </c>
      <c r="G427" s="33" t="s">
        <v>1079</v>
      </c>
      <c r="H427" s="47">
        <v>850</v>
      </c>
      <c r="I427" s="35" t="s">
        <v>1080</v>
      </c>
      <c r="J427" s="33">
        <v>5514</v>
      </c>
      <c r="K427" s="34" t="str">
        <f>VLOOKUP(Table2[[#This Row],[Konto]],Table5[[Konto]:[Konto nimetus]],2,FALSE)</f>
        <v>Info- ja kommunikatsioonitehnoliigised kulud</v>
      </c>
      <c r="L427" s="33">
        <v>55</v>
      </c>
      <c r="M427" s="33" t="str">
        <f t="shared" si="13"/>
        <v>55</v>
      </c>
      <c r="N427" s="34" t="str">
        <f>VLOOKUP(Table2[[#This Row],[Tulu/kulu liik2]],Table5[[Tulu/kulu liik]:[Kontode koondnimetus]],4,FALSE)</f>
        <v>Muud tegevuskulud</v>
      </c>
      <c r="O427" s="34" t="str">
        <f>VLOOKUP(Table2[[#This Row],[Tulu/kulu liik2]],Table5[],6,FALSE)</f>
        <v>Majandamiskulud</v>
      </c>
      <c r="P427" s="34" t="str">
        <f>VLOOKUP(Table2[[#This Row],[Tulu/kulu liik2]],Table5[],5,FALSE)</f>
        <v>Põhitegevuse kulu</v>
      </c>
    </row>
    <row r="428" spans="1:16" hidden="1" x14ac:dyDescent="0.25">
      <c r="A428" t="str">
        <f t="shared" si="12"/>
        <v>08</v>
      </c>
      <c r="B428" t="s">
        <v>296</v>
      </c>
      <c r="C428" s="3" t="str">
        <f>VLOOKUP(Table2[[#This Row],[Tegevusala]],Table4[],2,FALSE)</f>
        <v>Laekvere Raamatukogu</v>
      </c>
      <c r="D428" s="3" t="str">
        <f>VLOOKUP(Table2[[#This Row],[Tegevusala]],Table4[[Tegevusala kood]:[Tegevusala alanimetus]],4,FALSE)</f>
        <v>Raamatukogud</v>
      </c>
      <c r="E428" s="3" t="str">
        <f>VLOOKUP(Table2[[#This Row],[Tegevusala nimetus2]],Table4[[Tegevusala nimetus]:[Tegevusala koondnimetus]],2,FALSE)</f>
        <v>Vabaaeg, kultuur ja religioon</v>
      </c>
      <c r="F428" t="s">
        <v>511</v>
      </c>
      <c r="G428" t="s">
        <v>733</v>
      </c>
      <c r="H428" s="40">
        <v>500</v>
      </c>
      <c r="J428">
        <v>5500</v>
      </c>
      <c r="K428" s="3" t="str">
        <f>VLOOKUP(Table2[[#This Row],[Konto]],Table5[[Konto]:[Konto nimetus]],2,FALSE)</f>
        <v>Administreerimiskulud</v>
      </c>
      <c r="L428">
        <v>55</v>
      </c>
      <c r="M428" t="str">
        <f t="shared" si="13"/>
        <v>55</v>
      </c>
      <c r="N428" s="3" t="str">
        <f>VLOOKUP(Table2[[#This Row],[Tulu/kulu liik2]],Table5[[Tulu/kulu liik]:[Kontode koondnimetus]],4,FALSE)</f>
        <v>Muud tegevuskulud</v>
      </c>
      <c r="O428" s="3" t="str">
        <f>VLOOKUP(Table2[[#This Row],[Tulu/kulu liik2]],Table5[],6,FALSE)</f>
        <v>Majandamiskulud</v>
      </c>
      <c r="P428" s="3" t="str">
        <f>VLOOKUP(Table2[[#This Row],[Tulu/kulu liik2]],Table5[],5,FALSE)</f>
        <v>Põhitegevuse kulu</v>
      </c>
    </row>
    <row r="429" spans="1:16" hidden="1" x14ac:dyDescent="0.25">
      <c r="A429" t="str">
        <f t="shared" si="12"/>
        <v>08</v>
      </c>
      <c r="B429" t="s">
        <v>296</v>
      </c>
      <c r="C429" s="3" t="str">
        <f>VLOOKUP(Table2[[#This Row],[Tegevusala]],Table4[],2,FALSE)</f>
        <v>Laekvere Raamatukogu</v>
      </c>
      <c r="D429" s="3" t="str">
        <f>VLOOKUP(Table2[[#This Row],[Tegevusala]],Table4[[Tegevusala kood]:[Tegevusala alanimetus]],4,FALSE)</f>
        <v>Raamatukogud</v>
      </c>
      <c r="E429" s="3" t="str">
        <f>VLOOKUP(Table2[[#This Row],[Tegevusala nimetus2]],Table4[[Tegevusala nimetus]:[Tegevusala koondnimetus]],2,FALSE)</f>
        <v>Vabaaeg, kultuur ja religioon</v>
      </c>
      <c r="F429" t="s">
        <v>511</v>
      </c>
      <c r="G429" t="s">
        <v>734</v>
      </c>
      <c r="H429" s="40">
        <v>2000</v>
      </c>
      <c r="J429">
        <v>5500</v>
      </c>
      <c r="K429" s="3" t="str">
        <f>VLOOKUP(Table2[[#This Row],[Konto]],Table5[[Konto]:[Konto nimetus]],2,FALSE)</f>
        <v>Administreerimiskulud</v>
      </c>
      <c r="L429">
        <v>55</v>
      </c>
      <c r="M429" t="str">
        <f t="shared" si="13"/>
        <v>55</v>
      </c>
      <c r="N429" s="3" t="str">
        <f>VLOOKUP(Table2[[#This Row],[Tulu/kulu liik2]],Table5[[Tulu/kulu liik]:[Kontode koondnimetus]],4,FALSE)</f>
        <v>Muud tegevuskulud</v>
      </c>
      <c r="O429" s="3" t="str">
        <f>VLOOKUP(Table2[[#This Row],[Tulu/kulu liik2]],Table5[],6,FALSE)</f>
        <v>Majandamiskulud</v>
      </c>
      <c r="P429" s="3" t="str">
        <f>VLOOKUP(Table2[[#This Row],[Tulu/kulu liik2]],Table5[],5,FALSE)</f>
        <v>Põhitegevuse kulu</v>
      </c>
    </row>
    <row r="430" spans="1:16" hidden="1" x14ac:dyDescent="0.25">
      <c r="A430" t="str">
        <f t="shared" si="12"/>
        <v>08</v>
      </c>
      <c r="B430" t="s">
        <v>296</v>
      </c>
      <c r="C430" s="3" t="str">
        <f>VLOOKUP(Table2[[#This Row],[Tegevusala]],Table4[],2,FALSE)</f>
        <v>Laekvere Raamatukogu</v>
      </c>
      <c r="D430" s="3" t="str">
        <f>VLOOKUP(Table2[[#This Row],[Tegevusala]],Table4[[Tegevusala kood]:[Tegevusala alanimetus]],4,FALSE)</f>
        <v>Raamatukogud</v>
      </c>
      <c r="E430" s="3" t="str">
        <f>VLOOKUP(Table2[[#This Row],[Tegevusala nimetus2]],Table4[[Tegevusala nimetus]:[Tegevusala koondnimetus]],2,FALSE)</f>
        <v>Vabaaeg, kultuur ja religioon</v>
      </c>
      <c r="F430" t="s">
        <v>511</v>
      </c>
      <c r="G430" t="s">
        <v>391</v>
      </c>
      <c r="H430" s="40">
        <v>1000</v>
      </c>
      <c r="J430">
        <v>5504</v>
      </c>
      <c r="K430" s="3" t="str">
        <f>VLOOKUP(Table2[[#This Row],[Konto]],Table5[[Konto]:[Konto nimetus]],2,FALSE)</f>
        <v>Koolituskulud</v>
      </c>
      <c r="L430">
        <v>55</v>
      </c>
      <c r="M430" t="str">
        <f t="shared" si="13"/>
        <v>55</v>
      </c>
      <c r="N430" s="3" t="str">
        <f>VLOOKUP(Table2[[#This Row],[Tulu/kulu liik2]],Table5[[Tulu/kulu liik]:[Kontode koondnimetus]],4,FALSE)</f>
        <v>Muud tegevuskulud</v>
      </c>
      <c r="O430" s="3" t="str">
        <f>VLOOKUP(Table2[[#This Row],[Tulu/kulu liik2]],Table5[],6,FALSE)</f>
        <v>Majandamiskulud</v>
      </c>
      <c r="P430" s="3" t="str">
        <f>VLOOKUP(Table2[[#This Row],[Tulu/kulu liik2]],Table5[],5,FALSE)</f>
        <v>Põhitegevuse kulu</v>
      </c>
    </row>
    <row r="431" spans="1:16" hidden="1" x14ac:dyDescent="0.25">
      <c r="A431" t="str">
        <f t="shared" si="12"/>
        <v>08</v>
      </c>
      <c r="B431" t="s">
        <v>296</v>
      </c>
      <c r="C431" s="3" t="str">
        <f>VLOOKUP(Table2[[#This Row],[Tegevusala]],Table4[],2,FALSE)</f>
        <v>Laekvere Raamatukogu</v>
      </c>
      <c r="D431" s="3" t="str">
        <f>VLOOKUP(Table2[[#This Row],[Tegevusala]],Table4[[Tegevusala kood]:[Tegevusala alanimetus]],4,FALSE)</f>
        <v>Raamatukogud</v>
      </c>
      <c r="E431" s="3" t="str">
        <f>VLOOKUP(Table2[[#This Row],[Tegevusala nimetus2]],Table4[[Tegevusala nimetus]:[Tegevusala koondnimetus]],2,FALSE)</f>
        <v>Vabaaeg, kultuur ja religioon</v>
      </c>
      <c r="F431" t="s">
        <v>511</v>
      </c>
      <c r="G431" t="s">
        <v>737</v>
      </c>
      <c r="H431" s="40">
        <v>1000</v>
      </c>
      <c r="J431">
        <v>5513</v>
      </c>
      <c r="K431" s="3" t="str">
        <f>VLOOKUP(Table2[[#This Row],[Konto]],Table5[[Konto]:[Konto nimetus]],2,FALSE)</f>
        <v>Sõidukite ülalpidamise kulud</v>
      </c>
      <c r="L431">
        <v>55</v>
      </c>
      <c r="M431" t="str">
        <f t="shared" si="13"/>
        <v>55</v>
      </c>
      <c r="N431" s="3" t="str">
        <f>VLOOKUP(Table2[[#This Row],[Tulu/kulu liik2]],Table5[[Tulu/kulu liik]:[Kontode koondnimetus]],4,FALSE)</f>
        <v>Muud tegevuskulud</v>
      </c>
      <c r="O431" s="3" t="str">
        <f>VLOOKUP(Table2[[#This Row],[Tulu/kulu liik2]],Table5[],6,FALSE)</f>
        <v>Majandamiskulud</v>
      </c>
      <c r="P431" s="3" t="str">
        <f>VLOOKUP(Table2[[#This Row],[Tulu/kulu liik2]],Table5[],5,FALSE)</f>
        <v>Põhitegevuse kulu</v>
      </c>
    </row>
    <row r="432" spans="1:16" hidden="1" x14ac:dyDescent="0.25">
      <c r="A432" t="str">
        <f t="shared" si="12"/>
        <v>08</v>
      </c>
      <c r="B432" t="s">
        <v>296</v>
      </c>
      <c r="C432" s="3" t="str">
        <f>VLOOKUP(Table2[[#This Row],[Tegevusala]],Table4[],2,FALSE)</f>
        <v>Laekvere Raamatukogu</v>
      </c>
      <c r="D432" s="3" t="str">
        <f>VLOOKUP(Table2[[#This Row],[Tegevusala]],Table4[[Tegevusala kood]:[Tegevusala alanimetus]],4,FALSE)</f>
        <v>Raamatukogud</v>
      </c>
      <c r="E432" s="3" t="str">
        <f>VLOOKUP(Table2[[#This Row],[Tegevusala nimetus2]],Table4[[Tegevusala nimetus]:[Tegevusala koondnimetus]],2,FALSE)</f>
        <v>Vabaaeg, kultuur ja religioon</v>
      </c>
      <c r="F432" t="s">
        <v>511</v>
      </c>
      <c r="G432" t="s">
        <v>711</v>
      </c>
      <c r="H432" s="40">
        <v>1019</v>
      </c>
      <c r="I432" s="2" t="s">
        <v>741</v>
      </c>
      <c r="J432">
        <v>5515</v>
      </c>
      <c r="K432" s="3" t="str">
        <f>VLOOKUP(Table2[[#This Row],[Konto]],Table5[[Konto]:[Konto nimetus]],2,FALSE)</f>
        <v>Inventari kulud, v.a infotehnoloogia ja kaitseotstarbelised kulud</v>
      </c>
      <c r="L432">
        <v>55</v>
      </c>
      <c r="M432" t="str">
        <f t="shared" si="13"/>
        <v>55</v>
      </c>
      <c r="N432" s="3" t="str">
        <f>VLOOKUP(Table2[[#This Row],[Tulu/kulu liik2]],Table5[[Tulu/kulu liik]:[Kontode koondnimetus]],4,FALSE)</f>
        <v>Muud tegevuskulud</v>
      </c>
      <c r="O432" s="3" t="str">
        <f>VLOOKUP(Table2[[#This Row],[Tulu/kulu liik2]],Table5[],6,FALSE)</f>
        <v>Majandamiskulud</v>
      </c>
      <c r="P432" s="3" t="str">
        <f>VLOOKUP(Table2[[#This Row],[Tulu/kulu liik2]],Table5[],5,FALSE)</f>
        <v>Põhitegevuse kulu</v>
      </c>
    </row>
    <row r="433" spans="1:16" hidden="1" x14ac:dyDescent="0.25">
      <c r="A433" t="str">
        <f t="shared" si="12"/>
        <v>08</v>
      </c>
      <c r="B433" t="s">
        <v>296</v>
      </c>
      <c r="C433" s="3" t="str">
        <f>VLOOKUP(Table2[[#This Row],[Tegevusala]],Table4[],2,FALSE)</f>
        <v>Laekvere Raamatukogu</v>
      </c>
      <c r="D433" s="3" t="str">
        <f>VLOOKUP(Table2[[#This Row],[Tegevusala]],Table4[[Tegevusala kood]:[Tegevusala alanimetus]],4,FALSE)</f>
        <v>Raamatukogud</v>
      </c>
      <c r="E433" s="3" t="str">
        <f>VLOOKUP(Table2[[#This Row],[Tegevusala nimetus2]],Table4[[Tegevusala nimetus]:[Tegevusala koondnimetus]],2,FALSE)</f>
        <v>Vabaaeg, kultuur ja religioon</v>
      </c>
      <c r="F433" t="s">
        <v>511</v>
      </c>
      <c r="G433" t="s">
        <v>742</v>
      </c>
      <c r="H433" s="40">
        <v>500</v>
      </c>
      <c r="J433">
        <v>5522</v>
      </c>
      <c r="K433" s="3" t="str">
        <f>VLOOKUP(Table2[[#This Row],[Konto]],Table5[[Konto]:[Konto nimetus]],2,FALSE)</f>
        <v>Meditsiinikulud ja hügieenitarbed</v>
      </c>
      <c r="L433">
        <v>55</v>
      </c>
      <c r="M433" t="str">
        <f t="shared" si="13"/>
        <v>55</v>
      </c>
      <c r="N433" s="3" t="str">
        <f>VLOOKUP(Table2[[#This Row],[Tulu/kulu liik2]],Table5[[Tulu/kulu liik]:[Kontode koondnimetus]],4,FALSE)</f>
        <v>Muud tegevuskulud</v>
      </c>
      <c r="O433" s="3" t="str">
        <f>VLOOKUP(Table2[[#This Row],[Tulu/kulu liik2]],Table5[],6,FALSE)</f>
        <v>Majandamiskulud</v>
      </c>
      <c r="P433" s="3" t="str">
        <f>VLOOKUP(Table2[[#This Row],[Tulu/kulu liik2]],Table5[],5,FALSE)</f>
        <v>Põhitegevuse kulu</v>
      </c>
    </row>
    <row r="434" spans="1:16" hidden="1" x14ac:dyDescent="0.25">
      <c r="A434" t="str">
        <f t="shared" si="12"/>
        <v>08</v>
      </c>
      <c r="B434" t="s">
        <v>296</v>
      </c>
      <c r="C434" s="3" t="str">
        <f>VLOOKUP(Table2[[#This Row],[Tegevusala]],Table4[],2,FALSE)</f>
        <v>Laekvere Raamatukogu</v>
      </c>
      <c r="D434" s="3" t="str">
        <f>VLOOKUP(Table2[[#This Row],[Tegevusala]],Table4[[Tegevusala kood]:[Tegevusala alanimetus]],4,FALSE)</f>
        <v>Raamatukogud</v>
      </c>
      <c r="E434" s="3" t="str">
        <f>VLOOKUP(Table2[[#This Row],[Tegevusala nimetus2]],Table4[[Tegevusala nimetus]:[Tegevusala koondnimetus]],2,FALSE)</f>
        <v>Vabaaeg, kultuur ja religioon</v>
      </c>
      <c r="F434" t="s">
        <v>511</v>
      </c>
      <c r="G434" t="s">
        <v>743</v>
      </c>
      <c r="H434" s="40">
        <v>6500</v>
      </c>
      <c r="J434">
        <v>5523</v>
      </c>
      <c r="K434" s="3" t="str">
        <f>VLOOKUP(Table2[[#This Row],[Konto]],Table5[[Konto]:[Konto nimetus]],2,FALSE)</f>
        <v>Teavikud ja kunstiesemed</v>
      </c>
      <c r="L434">
        <v>55</v>
      </c>
      <c r="M434" t="str">
        <f t="shared" si="13"/>
        <v>55</v>
      </c>
      <c r="N434" s="3" t="str">
        <f>VLOOKUP(Table2[[#This Row],[Tulu/kulu liik2]],Table5[[Tulu/kulu liik]:[Kontode koondnimetus]],4,FALSE)</f>
        <v>Muud tegevuskulud</v>
      </c>
      <c r="O434" s="3" t="str">
        <f>VLOOKUP(Table2[[#This Row],[Tulu/kulu liik2]],Table5[],6,FALSE)</f>
        <v>Majandamiskulud</v>
      </c>
      <c r="P434" s="3" t="str">
        <f>VLOOKUP(Table2[[#This Row],[Tulu/kulu liik2]],Table5[],5,FALSE)</f>
        <v>Põhitegevuse kulu</v>
      </c>
    </row>
    <row r="435" spans="1:16" hidden="1" x14ac:dyDescent="0.25">
      <c r="A435" t="str">
        <f t="shared" si="12"/>
        <v>08</v>
      </c>
      <c r="B435" t="s">
        <v>296</v>
      </c>
      <c r="C435" s="3" t="str">
        <f>VLOOKUP(Table2[[#This Row],[Tegevusala]],Table4[],2,FALSE)</f>
        <v>Laekvere Raamatukogu</v>
      </c>
      <c r="D435" s="3" t="str">
        <f>VLOOKUP(Table2[[#This Row],[Tegevusala]],Table4[[Tegevusala kood]:[Tegevusala alanimetus]],4,FALSE)</f>
        <v>Raamatukogud</v>
      </c>
      <c r="E435" s="3" t="str">
        <f>VLOOKUP(Table2[[#This Row],[Tegevusala nimetus2]],Table4[[Tegevusala nimetus]:[Tegevusala koondnimetus]],2,FALSE)</f>
        <v>Vabaaeg, kultuur ja religioon</v>
      </c>
      <c r="F435" t="s">
        <v>511</v>
      </c>
      <c r="G435" t="s">
        <v>744</v>
      </c>
      <c r="H435" s="40">
        <v>250</v>
      </c>
      <c r="J435">
        <v>5525</v>
      </c>
      <c r="K435" s="3" t="str">
        <f>VLOOKUP(Table2[[#This Row],[Konto]],Table5[[Konto]:[Konto nimetus]],2,FALSE)</f>
        <v>Kommunikatsiooni-, kultuuri- ja vaba aja sisustamise kulud</v>
      </c>
      <c r="L435">
        <v>55</v>
      </c>
      <c r="M435" t="str">
        <f t="shared" si="13"/>
        <v>55</v>
      </c>
      <c r="N435" s="3" t="str">
        <f>VLOOKUP(Table2[[#This Row],[Tulu/kulu liik2]],Table5[[Tulu/kulu liik]:[Kontode koondnimetus]],4,FALSE)</f>
        <v>Muud tegevuskulud</v>
      </c>
      <c r="O435" s="3" t="str">
        <f>VLOOKUP(Table2[[#This Row],[Tulu/kulu liik2]],Table5[],6,FALSE)</f>
        <v>Majandamiskulud</v>
      </c>
      <c r="P435" s="3" t="str">
        <f>VLOOKUP(Table2[[#This Row],[Tulu/kulu liik2]],Table5[],5,FALSE)</f>
        <v>Põhitegevuse kulu</v>
      </c>
    </row>
    <row r="436" spans="1:16" hidden="1" x14ac:dyDescent="0.25">
      <c r="A436" t="str">
        <f t="shared" si="12"/>
        <v>08</v>
      </c>
      <c r="B436" t="s">
        <v>296</v>
      </c>
      <c r="C436" s="3" t="str">
        <f>VLOOKUP(Table2[[#This Row],[Tegevusala]],Table4[],2,FALSE)</f>
        <v>Laekvere Raamatukogu</v>
      </c>
      <c r="D436" s="3" t="str">
        <f>VLOOKUP(Table2[[#This Row],[Tegevusala]],Table4[[Tegevusala kood]:[Tegevusala alanimetus]],4,FALSE)</f>
        <v>Raamatukogud</v>
      </c>
      <c r="E436" s="3" t="str">
        <f>VLOOKUP(Table2[[#This Row],[Tegevusala nimetus2]],Table4[[Tegevusala nimetus]:[Tegevusala koondnimetus]],2,FALSE)</f>
        <v>Vabaaeg, kultuur ja religioon</v>
      </c>
      <c r="F436" t="s">
        <v>511</v>
      </c>
      <c r="G436" t="s">
        <v>746</v>
      </c>
      <c r="H436" s="40">
        <v>400</v>
      </c>
      <c r="J436">
        <v>5525</v>
      </c>
      <c r="K436" s="3" t="str">
        <f>VLOOKUP(Table2[[#This Row],[Konto]],Table5[[Konto]:[Konto nimetus]],2,FALSE)</f>
        <v>Kommunikatsiooni-, kultuuri- ja vaba aja sisustamise kulud</v>
      </c>
      <c r="L436">
        <v>55</v>
      </c>
      <c r="M436" t="str">
        <f t="shared" si="13"/>
        <v>55</v>
      </c>
      <c r="N436" s="3" t="str">
        <f>VLOOKUP(Table2[[#This Row],[Tulu/kulu liik2]],Table5[[Tulu/kulu liik]:[Kontode koondnimetus]],4,FALSE)</f>
        <v>Muud tegevuskulud</v>
      </c>
      <c r="O436" s="3" t="str">
        <f>VLOOKUP(Table2[[#This Row],[Tulu/kulu liik2]],Table5[],6,FALSE)</f>
        <v>Majandamiskulud</v>
      </c>
      <c r="P436" s="3" t="str">
        <f>VLOOKUP(Table2[[#This Row],[Tulu/kulu liik2]],Table5[],5,FALSE)</f>
        <v>Põhitegevuse kulu</v>
      </c>
    </row>
    <row r="437" spans="1:16" hidden="1" x14ac:dyDescent="0.25">
      <c r="A437" t="str">
        <f t="shared" si="12"/>
        <v>08</v>
      </c>
      <c r="B437" t="s">
        <v>296</v>
      </c>
      <c r="C437" s="3" t="str">
        <f>VLOOKUP(Table2[[#This Row],[Tegevusala]],Table4[],2,FALSE)</f>
        <v>Laekvere Raamatukogu</v>
      </c>
      <c r="D437" s="3" t="str">
        <f>VLOOKUP(Table2[[#This Row],[Tegevusala]],Table4[[Tegevusala kood]:[Tegevusala alanimetus]],4,FALSE)</f>
        <v>Raamatukogud</v>
      </c>
      <c r="E437" s="3" t="str">
        <f>VLOOKUP(Table2[[#This Row],[Tegevusala nimetus2]],Table4[[Tegevusala nimetus]:[Tegevusala koondnimetus]],2,FALSE)</f>
        <v>Vabaaeg, kultuur ja religioon</v>
      </c>
      <c r="F437" t="s">
        <v>511</v>
      </c>
      <c r="G437" t="s">
        <v>747</v>
      </c>
      <c r="H437" s="40">
        <v>150</v>
      </c>
      <c r="J437">
        <v>5525</v>
      </c>
      <c r="K437" s="3" t="str">
        <f>VLOOKUP(Table2[[#This Row],[Konto]],Table5[[Konto]:[Konto nimetus]],2,FALSE)</f>
        <v>Kommunikatsiooni-, kultuuri- ja vaba aja sisustamise kulud</v>
      </c>
      <c r="L437">
        <v>55</v>
      </c>
      <c r="M437" t="str">
        <f t="shared" si="13"/>
        <v>55</v>
      </c>
      <c r="N437" s="3" t="str">
        <f>VLOOKUP(Table2[[#This Row],[Tulu/kulu liik2]],Table5[[Tulu/kulu liik]:[Kontode koondnimetus]],4,FALSE)</f>
        <v>Muud tegevuskulud</v>
      </c>
      <c r="O437" s="3" t="str">
        <f>VLOOKUP(Table2[[#This Row],[Tulu/kulu liik2]],Table5[],6,FALSE)</f>
        <v>Majandamiskulud</v>
      </c>
      <c r="P437" s="3" t="str">
        <f>VLOOKUP(Table2[[#This Row],[Tulu/kulu liik2]],Table5[],5,FALSE)</f>
        <v>Põhitegevuse kulu</v>
      </c>
    </row>
    <row r="438" spans="1:16" hidden="1" x14ac:dyDescent="0.25">
      <c r="A438" t="str">
        <f t="shared" si="12"/>
        <v>08</v>
      </c>
      <c r="B438" t="s">
        <v>296</v>
      </c>
      <c r="C438" s="3" t="str">
        <f>VLOOKUP(Table2[[#This Row],[Tegevusala]],Table4[],2,FALSE)</f>
        <v>Laekvere Raamatukogu</v>
      </c>
      <c r="D438" s="3" t="str">
        <f>VLOOKUP(Table2[[#This Row],[Tegevusala]],Table4[[Tegevusala kood]:[Tegevusala alanimetus]],4,FALSE)</f>
        <v>Raamatukogud</v>
      </c>
      <c r="E438" s="3" t="str">
        <f>VLOOKUP(Table2[[#This Row],[Tegevusala nimetus2]],Table4[[Tegevusala nimetus]:[Tegevusala koondnimetus]],2,FALSE)</f>
        <v>Vabaaeg, kultuur ja religioon</v>
      </c>
      <c r="F438" t="s">
        <v>511</v>
      </c>
      <c r="G438" t="s">
        <v>748</v>
      </c>
      <c r="H438" s="40">
        <v>150</v>
      </c>
      <c r="J438">
        <v>5525</v>
      </c>
      <c r="K438" s="3" t="str">
        <f>VLOOKUP(Table2[[#This Row],[Konto]],Table5[[Konto]:[Konto nimetus]],2,FALSE)</f>
        <v>Kommunikatsiooni-, kultuuri- ja vaba aja sisustamise kulud</v>
      </c>
      <c r="L438">
        <v>55</v>
      </c>
      <c r="M438" t="str">
        <f t="shared" si="13"/>
        <v>55</v>
      </c>
      <c r="N438" s="3" t="str">
        <f>VLOOKUP(Table2[[#This Row],[Tulu/kulu liik2]],Table5[[Tulu/kulu liik]:[Kontode koondnimetus]],4,FALSE)</f>
        <v>Muud tegevuskulud</v>
      </c>
      <c r="O438" s="3" t="str">
        <f>VLOOKUP(Table2[[#This Row],[Tulu/kulu liik2]],Table5[],6,FALSE)</f>
        <v>Majandamiskulud</v>
      </c>
      <c r="P438" s="3" t="str">
        <f>VLOOKUP(Table2[[#This Row],[Tulu/kulu liik2]],Table5[],5,FALSE)</f>
        <v>Põhitegevuse kulu</v>
      </c>
    </row>
    <row r="439" spans="1:16" hidden="1" x14ac:dyDescent="0.25">
      <c r="A439" t="str">
        <f t="shared" si="12"/>
        <v>08</v>
      </c>
      <c r="B439" t="s">
        <v>296</v>
      </c>
      <c r="C439" s="3" t="str">
        <f>VLOOKUP(Table2[[#This Row],[Tegevusala]],Table4[],2,FALSE)</f>
        <v>Laekvere Raamatukogu</v>
      </c>
      <c r="D439" s="3" t="str">
        <f>VLOOKUP(Table2[[#This Row],[Tegevusala]],Table4[[Tegevusala kood]:[Tegevusala alanimetus]],4,FALSE)</f>
        <v>Raamatukogud</v>
      </c>
      <c r="E439" s="3" t="str">
        <f>VLOOKUP(Table2[[#This Row],[Tegevusala nimetus2]],Table4[[Tegevusala nimetus]:[Tegevusala koondnimetus]],2,FALSE)</f>
        <v>Vabaaeg, kultuur ja religioon</v>
      </c>
      <c r="F439" t="s">
        <v>511</v>
      </c>
      <c r="G439" t="s">
        <v>749</v>
      </c>
      <c r="H439" s="40">
        <v>200</v>
      </c>
      <c r="J439">
        <v>5525</v>
      </c>
      <c r="K439" s="3" t="str">
        <f>VLOOKUP(Table2[[#This Row],[Konto]],Table5[[Konto]:[Konto nimetus]],2,FALSE)</f>
        <v>Kommunikatsiooni-, kultuuri- ja vaba aja sisustamise kulud</v>
      </c>
      <c r="L439">
        <v>55</v>
      </c>
      <c r="M439" t="str">
        <f t="shared" si="13"/>
        <v>55</v>
      </c>
      <c r="N439" s="3" t="str">
        <f>VLOOKUP(Table2[[#This Row],[Tulu/kulu liik2]],Table5[[Tulu/kulu liik]:[Kontode koondnimetus]],4,FALSE)</f>
        <v>Muud tegevuskulud</v>
      </c>
      <c r="O439" s="3" t="str">
        <f>VLOOKUP(Table2[[#This Row],[Tulu/kulu liik2]],Table5[],6,FALSE)</f>
        <v>Majandamiskulud</v>
      </c>
      <c r="P439" s="3" t="str">
        <f>VLOOKUP(Table2[[#This Row],[Tulu/kulu liik2]],Table5[],5,FALSE)</f>
        <v>Põhitegevuse kulu</v>
      </c>
    </row>
    <row r="440" spans="1:16" hidden="1" x14ac:dyDescent="0.25">
      <c r="A440" t="str">
        <f t="shared" si="12"/>
        <v>08</v>
      </c>
      <c r="B440" t="s">
        <v>296</v>
      </c>
      <c r="C440" s="3" t="str">
        <f>VLOOKUP(Table2[[#This Row],[Tegevusala]],Table4[],2,FALSE)</f>
        <v>Laekvere Raamatukogu</v>
      </c>
      <c r="D440" s="3" t="str">
        <f>VLOOKUP(Table2[[#This Row],[Tegevusala]],Table4[[Tegevusala kood]:[Tegevusala alanimetus]],4,FALSE)</f>
        <v>Raamatukogud</v>
      </c>
      <c r="E440" s="3" t="str">
        <f>VLOOKUP(Table2[[#This Row],[Tegevusala nimetus2]],Table4[[Tegevusala nimetus]:[Tegevusala koondnimetus]],2,FALSE)</f>
        <v>Vabaaeg, kultuur ja religioon</v>
      </c>
      <c r="F440" t="s">
        <v>511</v>
      </c>
      <c r="G440" t="s">
        <v>735</v>
      </c>
      <c r="H440" s="40">
        <v>250</v>
      </c>
      <c r="J440">
        <v>5511</v>
      </c>
      <c r="K440" s="3" t="str">
        <f>VLOOKUP(Table2[[#This Row],[Konto]],Table5[[Konto]:[Konto nimetus]],2,FALSE)</f>
        <v>Kinnistute, hoonete ja ruumide majandamiskulud</v>
      </c>
      <c r="L440">
        <v>55</v>
      </c>
      <c r="M440" t="str">
        <f t="shared" si="13"/>
        <v>55</v>
      </c>
      <c r="N440" s="3" t="str">
        <f>VLOOKUP(Table2[[#This Row],[Tulu/kulu liik2]],Table5[[Tulu/kulu liik]:[Kontode koondnimetus]],4,FALSE)</f>
        <v>Muud tegevuskulud</v>
      </c>
      <c r="O440" s="3" t="str">
        <f>VLOOKUP(Table2[[#This Row],[Tulu/kulu liik2]],Table5[],6,FALSE)</f>
        <v>Majandamiskulud</v>
      </c>
      <c r="P440" s="3" t="str">
        <f>VLOOKUP(Table2[[#This Row],[Tulu/kulu liik2]],Table5[],5,FALSE)</f>
        <v>Põhitegevuse kulu</v>
      </c>
    </row>
    <row r="441" spans="1:16" hidden="1" x14ac:dyDescent="0.25">
      <c r="A441" t="str">
        <f t="shared" si="12"/>
        <v>08</v>
      </c>
      <c r="B441" t="s">
        <v>296</v>
      </c>
      <c r="C441" s="3" t="str">
        <f>VLOOKUP(Table2[[#This Row],[Tegevusala]],Table4[],2,FALSE)</f>
        <v>Laekvere Raamatukogu</v>
      </c>
      <c r="D441" s="3" t="str">
        <f>VLOOKUP(Table2[[#This Row],[Tegevusala]],Table4[[Tegevusala kood]:[Tegevusala alanimetus]],4,FALSE)</f>
        <v>Raamatukogud</v>
      </c>
      <c r="E441" s="3" t="str">
        <f>VLOOKUP(Table2[[#This Row],[Tegevusala nimetus2]],Table4[[Tegevusala nimetus]:[Tegevusala koondnimetus]],2,FALSE)</f>
        <v>Vabaaeg, kultuur ja religioon</v>
      </c>
      <c r="F441" t="s">
        <v>511</v>
      </c>
      <c r="G441" t="s">
        <v>738</v>
      </c>
      <c r="H441" s="40">
        <v>250</v>
      </c>
      <c r="J441">
        <v>5514</v>
      </c>
      <c r="K441" s="3" t="str">
        <f>VLOOKUP(Table2[[#This Row],[Konto]],Table5[[Konto]:[Konto nimetus]],2,FALSE)</f>
        <v>Info- ja kommunikatsioonitehnoliigised kulud</v>
      </c>
      <c r="L441">
        <v>55</v>
      </c>
      <c r="M441" t="str">
        <f t="shared" si="13"/>
        <v>55</v>
      </c>
      <c r="N441" s="3" t="str">
        <f>VLOOKUP(Table2[[#This Row],[Tulu/kulu liik2]],Table5[[Tulu/kulu liik]:[Kontode koondnimetus]],4,FALSE)</f>
        <v>Muud tegevuskulud</v>
      </c>
      <c r="O441" s="3" t="str">
        <f>VLOOKUP(Table2[[#This Row],[Tulu/kulu liik2]],Table5[],6,FALSE)</f>
        <v>Majandamiskulud</v>
      </c>
      <c r="P441" s="3" t="str">
        <f>VLOOKUP(Table2[[#This Row],[Tulu/kulu liik2]],Table5[],5,FALSE)</f>
        <v>Põhitegevuse kulu</v>
      </c>
    </row>
    <row r="442" spans="1:16" hidden="1" x14ac:dyDescent="0.25">
      <c r="A442" t="str">
        <f t="shared" si="12"/>
        <v>08</v>
      </c>
      <c r="B442" t="s">
        <v>296</v>
      </c>
      <c r="C442" s="3" t="str">
        <f>VLOOKUP(Table2[[#This Row],[Tegevusala]],Table4[],2,FALSE)</f>
        <v>Laekvere Raamatukogu</v>
      </c>
      <c r="D442" s="3" t="str">
        <f>VLOOKUP(Table2[[#This Row],[Tegevusala]],Table4[[Tegevusala kood]:[Tegevusala alanimetus]],4,FALSE)</f>
        <v>Raamatukogud</v>
      </c>
      <c r="E442" s="3" t="str">
        <f>VLOOKUP(Table2[[#This Row],[Tegevusala nimetus2]],Table4[[Tegevusala nimetus]:[Tegevusala koondnimetus]],2,FALSE)</f>
        <v>Vabaaeg, kultuur ja religioon</v>
      </c>
      <c r="F442" t="s">
        <v>511</v>
      </c>
      <c r="G442" t="s">
        <v>739</v>
      </c>
      <c r="H442" s="40">
        <v>1050</v>
      </c>
      <c r="J442">
        <v>5514</v>
      </c>
      <c r="K442" s="3" t="str">
        <f>VLOOKUP(Table2[[#This Row],[Konto]],Table5[[Konto]:[Konto nimetus]],2,FALSE)</f>
        <v>Info- ja kommunikatsioonitehnoliigised kulud</v>
      </c>
      <c r="L442">
        <v>55</v>
      </c>
      <c r="M442" t="str">
        <f t="shared" si="13"/>
        <v>55</v>
      </c>
      <c r="N442" s="3" t="str">
        <f>VLOOKUP(Table2[[#This Row],[Tulu/kulu liik2]],Table5[[Tulu/kulu liik]:[Kontode koondnimetus]],4,FALSE)</f>
        <v>Muud tegevuskulud</v>
      </c>
      <c r="O442" s="3" t="str">
        <f>VLOOKUP(Table2[[#This Row],[Tulu/kulu liik2]],Table5[],6,FALSE)</f>
        <v>Majandamiskulud</v>
      </c>
      <c r="P442" s="3" t="str">
        <f>VLOOKUP(Table2[[#This Row],[Tulu/kulu liik2]],Table5[],5,FALSE)</f>
        <v>Põhitegevuse kulu</v>
      </c>
    </row>
    <row r="443" spans="1:16" hidden="1" x14ac:dyDescent="0.25">
      <c r="A443" t="str">
        <f t="shared" si="12"/>
        <v>08</v>
      </c>
      <c r="B443" t="s">
        <v>296</v>
      </c>
      <c r="C443" s="3" t="str">
        <f>VLOOKUP(Table2[[#This Row],[Tegevusala]],Table4[],2,FALSE)</f>
        <v>Laekvere Raamatukogu</v>
      </c>
      <c r="D443" s="3" t="str">
        <f>VLOOKUP(Table2[[#This Row],[Tegevusala]],Table4[[Tegevusala kood]:[Tegevusala alanimetus]],4,FALSE)</f>
        <v>Raamatukogud</v>
      </c>
      <c r="E443" s="3" t="str">
        <f>VLOOKUP(Table2[[#This Row],[Tegevusala nimetus2]],Table4[[Tegevusala nimetus]:[Tegevusala koondnimetus]],2,FALSE)</f>
        <v>Vabaaeg, kultuur ja religioon</v>
      </c>
      <c r="F443" t="s">
        <v>2220</v>
      </c>
      <c r="G443" t="s">
        <v>734</v>
      </c>
      <c r="H443" s="40">
        <v>1700</v>
      </c>
      <c r="J443">
        <v>5500</v>
      </c>
      <c r="K443" s="3" t="str">
        <f>VLOOKUP(Table2[[#This Row],[Konto]],Table5[[Konto]:[Konto nimetus]],2,FALSE)</f>
        <v>Administreerimiskulud</v>
      </c>
      <c r="L443">
        <v>55</v>
      </c>
      <c r="M443" t="str">
        <f t="shared" si="13"/>
        <v>55</v>
      </c>
      <c r="N443" s="3" t="str">
        <f>VLOOKUP(Table2[[#This Row],[Tulu/kulu liik2]],Table5[[Tulu/kulu liik]:[Kontode koondnimetus]],4,FALSE)</f>
        <v>Muud tegevuskulud</v>
      </c>
      <c r="O443" s="3" t="str">
        <f>VLOOKUP(Table2[[#This Row],[Tulu/kulu liik2]],Table5[],6,FALSE)</f>
        <v>Majandamiskulud</v>
      </c>
      <c r="P443" s="3" t="str">
        <f>VLOOKUP(Table2[[#This Row],[Tulu/kulu liik2]],Table5[],5,FALSE)</f>
        <v>Põhitegevuse kulu</v>
      </c>
    </row>
    <row r="444" spans="1:16" hidden="1" x14ac:dyDescent="0.25">
      <c r="A444" t="str">
        <f t="shared" si="12"/>
        <v>08</v>
      </c>
      <c r="B444" t="s">
        <v>296</v>
      </c>
      <c r="C444" s="3" t="str">
        <f>VLOOKUP(Table2[[#This Row],[Tegevusala]],Table4[],2,FALSE)</f>
        <v>Laekvere Raamatukogu</v>
      </c>
      <c r="D444" s="3" t="str">
        <f>VLOOKUP(Table2[[#This Row],[Tegevusala]],Table4[[Tegevusala kood]:[Tegevusala alanimetus]],4,FALSE)</f>
        <v>Raamatukogud</v>
      </c>
      <c r="E444" s="3" t="str">
        <f>VLOOKUP(Table2[[#This Row],[Tegevusala nimetus2]],Table4[[Tegevusala nimetus]:[Tegevusala koondnimetus]],2,FALSE)</f>
        <v>Vabaaeg, kultuur ja religioon</v>
      </c>
      <c r="F444" t="s">
        <v>2220</v>
      </c>
      <c r="G444" t="s">
        <v>743</v>
      </c>
      <c r="H444" s="40">
        <v>4500</v>
      </c>
      <c r="J444">
        <v>5523</v>
      </c>
      <c r="K444" s="3" t="str">
        <f>VLOOKUP(Table2[[#This Row],[Konto]],Table5[[Konto]:[Konto nimetus]],2,FALSE)</f>
        <v>Teavikud ja kunstiesemed</v>
      </c>
      <c r="L444">
        <v>55</v>
      </c>
      <c r="M444" t="str">
        <f t="shared" si="13"/>
        <v>55</v>
      </c>
      <c r="N444" s="3" t="str">
        <f>VLOOKUP(Table2[[#This Row],[Tulu/kulu liik2]],Table5[[Tulu/kulu liik]:[Kontode koondnimetus]],4,FALSE)</f>
        <v>Muud tegevuskulud</v>
      </c>
      <c r="O444" s="3" t="str">
        <f>VLOOKUP(Table2[[#This Row],[Tulu/kulu liik2]],Table5[],6,FALSE)</f>
        <v>Majandamiskulud</v>
      </c>
      <c r="P444" s="3" t="str">
        <f>VLOOKUP(Table2[[#This Row],[Tulu/kulu liik2]],Table5[],5,FALSE)</f>
        <v>Põhitegevuse kulu</v>
      </c>
    </row>
    <row r="445" spans="1:16" hidden="1" x14ac:dyDescent="0.25">
      <c r="A445" t="str">
        <f t="shared" si="12"/>
        <v>08</v>
      </c>
      <c r="B445" t="s">
        <v>296</v>
      </c>
      <c r="C445" s="3" t="str">
        <f>VLOOKUP(Table2[[#This Row],[Tegevusala]],Table4[],2,FALSE)</f>
        <v>Laekvere Raamatukogu</v>
      </c>
      <c r="D445" s="3" t="str">
        <f>VLOOKUP(Table2[[#This Row],[Tegevusala]],Table4[[Tegevusala kood]:[Tegevusala alanimetus]],4,FALSE)</f>
        <v>Raamatukogud</v>
      </c>
      <c r="E445" s="3" t="str">
        <f>VLOOKUP(Table2[[#This Row],[Tegevusala nimetus2]],Table4[[Tegevusala nimetus]:[Tegevusala koondnimetus]],2,FALSE)</f>
        <v>Vabaaeg, kultuur ja religioon</v>
      </c>
      <c r="F445" t="s">
        <v>2220</v>
      </c>
      <c r="G445" t="s">
        <v>744</v>
      </c>
      <c r="H445" s="40">
        <v>250</v>
      </c>
      <c r="J445">
        <v>5525</v>
      </c>
      <c r="K445" s="3" t="str">
        <f>VLOOKUP(Table2[[#This Row],[Konto]],Table5[[Konto]:[Konto nimetus]],2,FALSE)</f>
        <v>Kommunikatsiooni-, kultuuri- ja vaba aja sisustamise kulud</v>
      </c>
      <c r="L445">
        <v>55</v>
      </c>
      <c r="M445" t="str">
        <f t="shared" si="13"/>
        <v>55</v>
      </c>
      <c r="N445" s="3" t="str">
        <f>VLOOKUP(Table2[[#This Row],[Tulu/kulu liik2]],Table5[[Tulu/kulu liik]:[Kontode koondnimetus]],4,FALSE)</f>
        <v>Muud tegevuskulud</v>
      </c>
      <c r="O445" s="3" t="str">
        <f>VLOOKUP(Table2[[#This Row],[Tulu/kulu liik2]],Table5[],6,FALSE)</f>
        <v>Majandamiskulud</v>
      </c>
      <c r="P445" s="3" t="str">
        <f>VLOOKUP(Table2[[#This Row],[Tulu/kulu liik2]],Table5[],5,FALSE)</f>
        <v>Põhitegevuse kulu</v>
      </c>
    </row>
    <row r="446" spans="1:16" hidden="1" x14ac:dyDescent="0.25">
      <c r="A446" t="str">
        <f t="shared" si="12"/>
        <v>08</v>
      </c>
      <c r="B446" t="s">
        <v>296</v>
      </c>
      <c r="C446" s="3" t="str">
        <f>VLOOKUP(Table2[[#This Row],[Tegevusala]],Table4[],2,FALSE)</f>
        <v>Laekvere Raamatukogu</v>
      </c>
      <c r="D446" s="3" t="str">
        <f>VLOOKUP(Table2[[#This Row],[Tegevusala]],Table4[[Tegevusala kood]:[Tegevusala alanimetus]],4,FALSE)</f>
        <v>Raamatukogud</v>
      </c>
      <c r="E446" s="3" t="str">
        <f>VLOOKUP(Table2[[#This Row],[Tegevusala nimetus2]],Table4[[Tegevusala nimetus]:[Tegevusala koondnimetus]],2,FALSE)</f>
        <v>Vabaaeg, kultuur ja religioon</v>
      </c>
      <c r="F446" t="s">
        <v>2220</v>
      </c>
      <c r="G446" t="s">
        <v>745</v>
      </c>
      <c r="H446" s="40">
        <v>250</v>
      </c>
      <c r="J446">
        <v>5525</v>
      </c>
      <c r="K446" s="3" t="str">
        <f>VLOOKUP(Table2[[#This Row],[Konto]],Table5[[Konto]:[Konto nimetus]],2,FALSE)</f>
        <v>Kommunikatsiooni-, kultuuri- ja vaba aja sisustamise kulud</v>
      </c>
      <c r="L446">
        <v>55</v>
      </c>
      <c r="M446" t="str">
        <f t="shared" si="13"/>
        <v>55</v>
      </c>
      <c r="N446" s="3" t="str">
        <f>VLOOKUP(Table2[[#This Row],[Tulu/kulu liik2]],Table5[[Tulu/kulu liik]:[Kontode koondnimetus]],4,FALSE)</f>
        <v>Muud tegevuskulud</v>
      </c>
      <c r="O446" s="3" t="str">
        <f>VLOOKUP(Table2[[#This Row],[Tulu/kulu liik2]],Table5[],6,FALSE)</f>
        <v>Majandamiskulud</v>
      </c>
      <c r="P446" s="3" t="str">
        <f>VLOOKUP(Table2[[#This Row],[Tulu/kulu liik2]],Table5[],5,FALSE)</f>
        <v>Põhitegevuse kulu</v>
      </c>
    </row>
    <row r="447" spans="1:16" hidden="1" x14ac:dyDescent="0.25">
      <c r="A447" t="str">
        <f t="shared" ref="A447:A510" si="14">LEFT(B447,2)</f>
        <v>08</v>
      </c>
      <c r="B447" t="s">
        <v>296</v>
      </c>
      <c r="C447" s="3" t="str">
        <f>VLOOKUP(Table2[[#This Row],[Tegevusala]],Table4[],2,FALSE)</f>
        <v>Laekvere Raamatukogu</v>
      </c>
      <c r="D447" s="3" t="str">
        <f>VLOOKUP(Table2[[#This Row],[Tegevusala]],Table4[[Tegevusala kood]:[Tegevusala alanimetus]],4,FALSE)</f>
        <v>Raamatukogud</v>
      </c>
      <c r="E447" s="3" t="str">
        <f>VLOOKUP(Table2[[#This Row],[Tegevusala nimetus2]],Table4[[Tegevusala nimetus]:[Tegevusala koondnimetus]],2,FALSE)</f>
        <v>Vabaaeg, kultuur ja religioon</v>
      </c>
      <c r="F447" t="s">
        <v>2220</v>
      </c>
      <c r="G447" t="s">
        <v>747</v>
      </c>
      <c r="H447" s="40">
        <v>150</v>
      </c>
      <c r="J447">
        <v>5525</v>
      </c>
      <c r="K447" s="3" t="str">
        <f>VLOOKUP(Table2[[#This Row],[Konto]],Table5[[Konto]:[Konto nimetus]],2,FALSE)</f>
        <v>Kommunikatsiooni-, kultuuri- ja vaba aja sisustamise kulud</v>
      </c>
      <c r="L447">
        <v>55</v>
      </c>
      <c r="M447" t="str">
        <f t="shared" ref="M447:M510" si="15">LEFT(J447,2)</f>
        <v>55</v>
      </c>
      <c r="N447" s="3" t="str">
        <f>VLOOKUP(Table2[[#This Row],[Tulu/kulu liik2]],Table5[[Tulu/kulu liik]:[Kontode koondnimetus]],4,FALSE)</f>
        <v>Muud tegevuskulud</v>
      </c>
      <c r="O447" s="3" t="str">
        <f>VLOOKUP(Table2[[#This Row],[Tulu/kulu liik2]],Table5[],6,FALSE)</f>
        <v>Majandamiskulud</v>
      </c>
      <c r="P447" s="3" t="str">
        <f>VLOOKUP(Table2[[#This Row],[Tulu/kulu liik2]],Table5[],5,FALSE)</f>
        <v>Põhitegevuse kulu</v>
      </c>
    </row>
    <row r="448" spans="1:16" hidden="1" x14ac:dyDescent="0.25">
      <c r="A448" t="str">
        <f t="shared" si="14"/>
        <v>08</v>
      </c>
      <c r="B448" t="s">
        <v>296</v>
      </c>
      <c r="C448" s="3" t="str">
        <f>VLOOKUP(Table2[[#This Row],[Tegevusala]],Table4[],2,FALSE)</f>
        <v>Laekvere Raamatukogu</v>
      </c>
      <c r="D448" s="3" t="str">
        <f>VLOOKUP(Table2[[#This Row],[Tegevusala]],Table4[[Tegevusala kood]:[Tegevusala alanimetus]],4,FALSE)</f>
        <v>Raamatukogud</v>
      </c>
      <c r="E448" s="3" t="str">
        <f>VLOOKUP(Table2[[#This Row],[Tegevusala nimetus2]],Table4[[Tegevusala nimetus]:[Tegevusala koondnimetus]],2,FALSE)</f>
        <v>Vabaaeg, kultuur ja religioon</v>
      </c>
      <c r="F448" t="s">
        <v>2220</v>
      </c>
      <c r="G448" t="s">
        <v>735</v>
      </c>
      <c r="H448" s="40">
        <v>250</v>
      </c>
      <c r="J448">
        <v>5511</v>
      </c>
      <c r="K448" s="3" t="str">
        <f>VLOOKUP(Table2[[#This Row],[Konto]],Table5[[Konto]:[Konto nimetus]],2,FALSE)</f>
        <v>Kinnistute, hoonete ja ruumide majandamiskulud</v>
      </c>
      <c r="L448">
        <v>55</v>
      </c>
      <c r="M448" t="str">
        <f t="shared" si="15"/>
        <v>55</v>
      </c>
      <c r="N448" s="3" t="str">
        <f>VLOOKUP(Table2[[#This Row],[Tulu/kulu liik2]],Table5[[Tulu/kulu liik]:[Kontode koondnimetus]],4,FALSE)</f>
        <v>Muud tegevuskulud</v>
      </c>
      <c r="O448" s="3" t="str">
        <f>VLOOKUP(Table2[[#This Row],[Tulu/kulu liik2]],Table5[],6,FALSE)</f>
        <v>Majandamiskulud</v>
      </c>
      <c r="P448" s="3" t="str">
        <f>VLOOKUP(Table2[[#This Row],[Tulu/kulu liik2]],Table5[],5,FALSE)</f>
        <v>Põhitegevuse kulu</v>
      </c>
    </row>
    <row r="449" spans="1:16" hidden="1" x14ac:dyDescent="0.25">
      <c r="A449" t="str">
        <f t="shared" si="14"/>
        <v>08</v>
      </c>
      <c r="B449" t="s">
        <v>296</v>
      </c>
      <c r="C449" s="3" t="str">
        <f>VLOOKUP(Table2[[#This Row],[Tegevusala]],Table4[],2,FALSE)</f>
        <v>Laekvere Raamatukogu</v>
      </c>
      <c r="D449" s="3" t="str">
        <f>VLOOKUP(Table2[[#This Row],[Tegevusala]],Table4[[Tegevusala kood]:[Tegevusala alanimetus]],4,FALSE)</f>
        <v>Raamatukogud</v>
      </c>
      <c r="E449" s="3" t="str">
        <f>VLOOKUP(Table2[[#This Row],[Tegevusala nimetus2]],Table4[[Tegevusala nimetus]:[Tegevusala koondnimetus]],2,FALSE)</f>
        <v>Vabaaeg, kultuur ja religioon</v>
      </c>
      <c r="F449" t="s">
        <v>2220</v>
      </c>
      <c r="G449" t="s">
        <v>736</v>
      </c>
      <c r="H449" s="40">
        <v>200</v>
      </c>
      <c r="J449">
        <v>5511</v>
      </c>
      <c r="K449" s="3" t="str">
        <f>VLOOKUP(Table2[[#This Row],[Konto]],Table5[[Konto]:[Konto nimetus]],2,FALSE)</f>
        <v>Kinnistute, hoonete ja ruumide majandamiskulud</v>
      </c>
      <c r="L449">
        <v>55</v>
      </c>
      <c r="M449" t="str">
        <f t="shared" si="15"/>
        <v>55</v>
      </c>
      <c r="N449" s="3" t="str">
        <f>VLOOKUP(Table2[[#This Row],[Tulu/kulu liik2]],Table5[[Tulu/kulu liik]:[Kontode koondnimetus]],4,FALSE)</f>
        <v>Muud tegevuskulud</v>
      </c>
      <c r="O449" s="3" t="str">
        <f>VLOOKUP(Table2[[#This Row],[Tulu/kulu liik2]],Table5[],6,FALSE)</f>
        <v>Majandamiskulud</v>
      </c>
      <c r="P449" s="3" t="str">
        <f>VLOOKUP(Table2[[#This Row],[Tulu/kulu liik2]],Table5[],5,FALSE)</f>
        <v>Põhitegevuse kulu</v>
      </c>
    </row>
    <row r="450" spans="1:16" hidden="1" x14ac:dyDescent="0.25">
      <c r="A450" t="str">
        <f t="shared" si="14"/>
        <v>08</v>
      </c>
      <c r="B450" t="s">
        <v>296</v>
      </c>
      <c r="C450" s="3" t="str">
        <f>VLOOKUP(Table2[[#This Row],[Tegevusala]],Table4[],2,FALSE)</f>
        <v>Laekvere Raamatukogu</v>
      </c>
      <c r="D450" s="3" t="str">
        <f>VLOOKUP(Table2[[#This Row],[Tegevusala]],Table4[[Tegevusala kood]:[Tegevusala alanimetus]],4,FALSE)</f>
        <v>Raamatukogud</v>
      </c>
      <c r="E450" s="3" t="str">
        <f>VLOOKUP(Table2[[#This Row],[Tegevusala nimetus2]],Table4[[Tegevusala nimetus]:[Tegevusala koondnimetus]],2,FALSE)</f>
        <v>Vabaaeg, kultuur ja religioon</v>
      </c>
      <c r="F450" t="s">
        <v>2220</v>
      </c>
      <c r="G450" t="s">
        <v>738</v>
      </c>
      <c r="H450" s="40">
        <v>250</v>
      </c>
      <c r="J450">
        <v>5514</v>
      </c>
      <c r="K450" s="3" t="str">
        <f>VLOOKUP(Table2[[#This Row],[Konto]],Table5[[Konto]:[Konto nimetus]],2,FALSE)</f>
        <v>Info- ja kommunikatsioonitehnoliigised kulud</v>
      </c>
      <c r="L450">
        <v>55</v>
      </c>
      <c r="M450" t="str">
        <f t="shared" si="15"/>
        <v>55</v>
      </c>
      <c r="N450" s="3" t="str">
        <f>VLOOKUP(Table2[[#This Row],[Tulu/kulu liik2]],Table5[[Tulu/kulu liik]:[Kontode koondnimetus]],4,FALSE)</f>
        <v>Muud tegevuskulud</v>
      </c>
      <c r="O450" s="3" t="str">
        <f>VLOOKUP(Table2[[#This Row],[Tulu/kulu liik2]],Table5[],6,FALSE)</f>
        <v>Majandamiskulud</v>
      </c>
      <c r="P450" s="3" t="str">
        <f>VLOOKUP(Table2[[#This Row],[Tulu/kulu liik2]],Table5[],5,FALSE)</f>
        <v>Põhitegevuse kulu</v>
      </c>
    </row>
    <row r="451" spans="1:16" hidden="1" x14ac:dyDescent="0.25">
      <c r="A451" t="str">
        <f t="shared" si="14"/>
        <v>08</v>
      </c>
      <c r="B451" t="s">
        <v>296</v>
      </c>
      <c r="C451" s="3" t="str">
        <f>VLOOKUP(Table2[[#This Row],[Tegevusala]],Table4[],2,FALSE)</f>
        <v>Laekvere Raamatukogu</v>
      </c>
      <c r="D451" s="3" t="str">
        <f>VLOOKUP(Table2[[#This Row],[Tegevusala]],Table4[[Tegevusala kood]:[Tegevusala alanimetus]],4,FALSE)</f>
        <v>Raamatukogud</v>
      </c>
      <c r="E451" s="3" t="str">
        <f>VLOOKUP(Table2[[#This Row],[Tegevusala nimetus2]],Table4[[Tegevusala nimetus]:[Tegevusala koondnimetus]],2,FALSE)</f>
        <v>Vabaaeg, kultuur ja religioon</v>
      </c>
      <c r="F451" t="s">
        <v>2220</v>
      </c>
      <c r="G451" t="s">
        <v>740</v>
      </c>
      <c r="H451" s="40">
        <v>1200</v>
      </c>
      <c r="J451">
        <v>5514</v>
      </c>
      <c r="K451" s="3" t="str">
        <f>VLOOKUP(Table2[[#This Row],[Konto]],Table5[[Konto]:[Konto nimetus]],2,FALSE)</f>
        <v>Info- ja kommunikatsioonitehnoliigised kulud</v>
      </c>
      <c r="L451">
        <v>55</v>
      </c>
      <c r="M451" t="str">
        <f t="shared" si="15"/>
        <v>55</v>
      </c>
      <c r="N451" s="3" t="str">
        <f>VLOOKUP(Table2[[#This Row],[Tulu/kulu liik2]],Table5[[Tulu/kulu liik]:[Kontode koondnimetus]],4,FALSE)</f>
        <v>Muud tegevuskulud</v>
      </c>
      <c r="O451" s="3" t="str">
        <f>VLOOKUP(Table2[[#This Row],[Tulu/kulu liik2]],Table5[],6,FALSE)</f>
        <v>Majandamiskulud</v>
      </c>
      <c r="P451" s="3" t="str">
        <f>VLOOKUP(Table2[[#This Row],[Tulu/kulu liik2]],Table5[],5,FALSE)</f>
        <v>Põhitegevuse kulu</v>
      </c>
    </row>
    <row r="452" spans="1:16" hidden="1" x14ac:dyDescent="0.25">
      <c r="A452" t="str">
        <f t="shared" si="14"/>
        <v>08</v>
      </c>
      <c r="B452" t="s">
        <v>296</v>
      </c>
      <c r="C452" s="3" t="str">
        <f>VLOOKUP(Table2[[#This Row],[Tegevusala]],Table4[],2,FALSE)</f>
        <v>Laekvere Raamatukogu</v>
      </c>
      <c r="D452" s="3" t="str">
        <f>VLOOKUP(Table2[[#This Row],[Tegevusala]],Table4[[Tegevusala kood]:[Tegevusala alanimetus]],4,FALSE)</f>
        <v>Raamatukogud</v>
      </c>
      <c r="E452" s="3" t="str">
        <f>VLOOKUP(Table2[[#This Row],[Tegevusala nimetus2]],Table4[[Tegevusala nimetus]:[Tegevusala koondnimetus]],2,FALSE)</f>
        <v>Vabaaeg, kultuur ja religioon</v>
      </c>
      <c r="F452" t="s">
        <v>2220</v>
      </c>
      <c r="G452" t="s">
        <v>733</v>
      </c>
      <c r="H452" s="40">
        <v>500</v>
      </c>
      <c r="J452">
        <v>5500</v>
      </c>
      <c r="K452" s="3" t="str">
        <f>VLOOKUP(Table2[[#This Row],[Konto]],Table5[[Konto]:[Konto nimetus]],2,FALSE)</f>
        <v>Administreerimiskulud</v>
      </c>
      <c r="L452">
        <v>55</v>
      </c>
      <c r="M452" t="str">
        <f t="shared" si="15"/>
        <v>55</v>
      </c>
      <c r="N452" s="3" t="str">
        <f>VLOOKUP(Table2[[#This Row],[Tulu/kulu liik2]],Table5[[Tulu/kulu liik]:[Kontode koondnimetus]],4,FALSE)</f>
        <v>Muud tegevuskulud</v>
      </c>
      <c r="O452" s="34" t="str">
        <f>VLOOKUP(Table2[[#This Row],[Tulu/kulu liik2]],Table5[],6,FALSE)</f>
        <v>Majandamiskulud</v>
      </c>
      <c r="P452" s="3" t="str">
        <f>VLOOKUP(Table2[[#This Row],[Tulu/kulu liik2]],Table5[],5,FALSE)</f>
        <v>Põhitegevuse kulu</v>
      </c>
    </row>
    <row r="453" spans="1:16" hidden="1" x14ac:dyDescent="0.25">
      <c r="A453" t="str">
        <f t="shared" si="14"/>
        <v>08</v>
      </c>
      <c r="B453" t="s">
        <v>296</v>
      </c>
      <c r="C453" s="3" t="str">
        <f>VLOOKUP(Table2[[#This Row],[Tegevusala]],Table4[],2,FALSE)</f>
        <v>Laekvere Raamatukogu</v>
      </c>
      <c r="D453" s="3" t="str">
        <f>VLOOKUP(Table2[[#This Row],[Tegevusala]],Table4[[Tegevusala kood]:[Tegevusala alanimetus]],4,FALSE)</f>
        <v>Raamatukogud</v>
      </c>
      <c r="E453" s="3" t="str">
        <f>VLOOKUP(Table2[[#This Row],[Tegevusala nimetus2]],Table4[[Tegevusala nimetus]:[Tegevusala koondnimetus]],2,FALSE)</f>
        <v>Vabaaeg, kultuur ja religioon</v>
      </c>
      <c r="F453" t="s">
        <v>2221</v>
      </c>
      <c r="G453" t="s">
        <v>734</v>
      </c>
      <c r="H453" s="40">
        <v>1300</v>
      </c>
      <c r="J453">
        <v>5500</v>
      </c>
      <c r="K453" s="3" t="str">
        <f>VLOOKUP(Table2[[#This Row],[Konto]],Table5[[Konto]:[Konto nimetus]],2,FALSE)</f>
        <v>Administreerimiskulud</v>
      </c>
      <c r="L453">
        <v>55</v>
      </c>
      <c r="M453" t="str">
        <f t="shared" si="15"/>
        <v>55</v>
      </c>
      <c r="N453" s="3" t="str">
        <f>VLOOKUP(Table2[[#This Row],[Tulu/kulu liik2]],Table5[[Tulu/kulu liik]:[Kontode koondnimetus]],4,FALSE)</f>
        <v>Muud tegevuskulud</v>
      </c>
      <c r="O453" s="3" t="str">
        <f>VLOOKUP(Table2[[#This Row],[Tulu/kulu liik2]],Table5[],6,FALSE)</f>
        <v>Majandamiskulud</v>
      </c>
      <c r="P453" s="3" t="str">
        <f>VLOOKUP(Table2[[#This Row],[Tulu/kulu liik2]],Table5[],5,FALSE)</f>
        <v>Põhitegevuse kulu</v>
      </c>
    </row>
    <row r="454" spans="1:16" hidden="1" x14ac:dyDescent="0.25">
      <c r="A454" t="str">
        <f t="shared" si="14"/>
        <v>08</v>
      </c>
      <c r="B454" t="s">
        <v>296</v>
      </c>
      <c r="C454" s="3" t="str">
        <f>VLOOKUP(Table2[[#This Row],[Tegevusala]],Table4[],2,FALSE)</f>
        <v>Laekvere Raamatukogu</v>
      </c>
      <c r="D454" s="3" t="str">
        <f>VLOOKUP(Table2[[#This Row],[Tegevusala]],Table4[[Tegevusala kood]:[Tegevusala alanimetus]],4,FALSE)</f>
        <v>Raamatukogud</v>
      </c>
      <c r="E454" s="3" t="str">
        <f>VLOOKUP(Table2[[#This Row],[Tegevusala nimetus2]],Table4[[Tegevusala nimetus]:[Tegevusala koondnimetus]],2,FALSE)</f>
        <v>Vabaaeg, kultuur ja religioon</v>
      </c>
      <c r="F454" t="s">
        <v>2221</v>
      </c>
      <c r="G454" t="s">
        <v>743</v>
      </c>
      <c r="H454" s="40">
        <v>2500</v>
      </c>
      <c r="J454">
        <v>5523</v>
      </c>
      <c r="K454" s="3" t="str">
        <f>VLOOKUP(Table2[[#This Row],[Konto]],Table5[[Konto]:[Konto nimetus]],2,FALSE)</f>
        <v>Teavikud ja kunstiesemed</v>
      </c>
      <c r="L454">
        <v>55</v>
      </c>
      <c r="M454" t="str">
        <f t="shared" si="15"/>
        <v>55</v>
      </c>
      <c r="N454" s="3" t="str">
        <f>VLOOKUP(Table2[[#This Row],[Tulu/kulu liik2]],Table5[[Tulu/kulu liik]:[Kontode koondnimetus]],4,FALSE)</f>
        <v>Muud tegevuskulud</v>
      </c>
      <c r="O454" s="3" t="str">
        <f>VLOOKUP(Table2[[#This Row],[Tulu/kulu liik2]],Table5[],6,FALSE)</f>
        <v>Majandamiskulud</v>
      </c>
      <c r="P454" s="3" t="str">
        <f>VLOOKUP(Table2[[#This Row],[Tulu/kulu liik2]],Table5[],5,FALSE)</f>
        <v>Põhitegevuse kulu</v>
      </c>
    </row>
    <row r="455" spans="1:16" hidden="1" x14ac:dyDescent="0.25">
      <c r="A455" t="str">
        <f t="shared" si="14"/>
        <v>08</v>
      </c>
      <c r="B455" t="s">
        <v>296</v>
      </c>
      <c r="C455" s="3" t="str">
        <f>VLOOKUP(Table2[[#This Row],[Tegevusala]],Table4[],2,FALSE)</f>
        <v>Laekvere Raamatukogu</v>
      </c>
      <c r="D455" s="3" t="str">
        <f>VLOOKUP(Table2[[#This Row],[Tegevusala]],Table4[[Tegevusala kood]:[Tegevusala alanimetus]],4,FALSE)</f>
        <v>Raamatukogud</v>
      </c>
      <c r="E455" s="3" t="str">
        <f>VLOOKUP(Table2[[#This Row],[Tegevusala nimetus2]],Table4[[Tegevusala nimetus]:[Tegevusala koondnimetus]],2,FALSE)</f>
        <v>Vabaaeg, kultuur ja religioon</v>
      </c>
      <c r="F455" t="s">
        <v>2221</v>
      </c>
      <c r="G455" t="s">
        <v>747</v>
      </c>
      <c r="H455" s="40">
        <v>200</v>
      </c>
      <c r="J455">
        <v>5525</v>
      </c>
      <c r="K455" s="3" t="str">
        <f>VLOOKUP(Table2[[#This Row],[Konto]],Table5[[Konto]:[Konto nimetus]],2,FALSE)</f>
        <v>Kommunikatsiooni-, kultuuri- ja vaba aja sisustamise kulud</v>
      </c>
      <c r="L455">
        <v>55</v>
      </c>
      <c r="M455" t="str">
        <f t="shared" si="15"/>
        <v>55</v>
      </c>
      <c r="N455" s="3" t="str">
        <f>VLOOKUP(Table2[[#This Row],[Tulu/kulu liik2]],Table5[[Tulu/kulu liik]:[Kontode koondnimetus]],4,FALSE)</f>
        <v>Muud tegevuskulud</v>
      </c>
      <c r="O455" s="3" t="str">
        <f>VLOOKUP(Table2[[#This Row],[Tulu/kulu liik2]],Table5[],6,FALSE)</f>
        <v>Majandamiskulud</v>
      </c>
      <c r="P455" s="3" t="str">
        <f>VLOOKUP(Table2[[#This Row],[Tulu/kulu liik2]],Table5[],5,FALSE)</f>
        <v>Põhitegevuse kulu</v>
      </c>
    </row>
    <row r="456" spans="1:16" hidden="1" x14ac:dyDescent="0.25">
      <c r="A456" t="str">
        <f t="shared" si="14"/>
        <v>08</v>
      </c>
      <c r="B456" t="s">
        <v>296</v>
      </c>
      <c r="C456" s="3" t="str">
        <f>VLOOKUP(Table2[[#This Row],[Tegevusala]],Table4[],2,FALSE)</f>
        <v>Laekvere Raamatukogu</v>
      </c>
      <c r="D456" s="3" t="str">
        <f>VLOOKUP(Table2[[#This Row],[Tegevusala]],Table4[[Tegevusala kood]:[Tegevusala alanimetus]],4,FALSE)</f>
        <v>Raamatukogud</v>
      </c>
      <c r="E456" s="3" t="str">
        <f>VLOOKUP(Table2[[#This Row],[Tegevusala nimetus2]],Table4[[Tegevusala nimetus]:[Tegevusala koondnimetus]],2,FALSE)</f>
        <v>Vabaaeg, kultuur ja religioon</v>
      </c>
      <c r="F456" t="s">
        <v>2221</v>
      </c>
      <c r="G456" t="s">
        <v>735</v>
      </c>
      <c r="H456" s="40">
        <v>100</v>
      </c>
      <c r="J456">
        <v>5511</v>
      </c>
      <c r="K456" s="3" t="str">
        <f>VLOOKUP(Table2[[#This Row],[Konto]],Table5[[Konto]:[Konto nimetus]],2,FALSE)</f>
        <v>Kinnistute, hoonete ja ruumide majandamiskulud</v>
      </c>
      <c r="L456">
        <v>55</v>
      </c>
      <c r="M456" t="str">
        <f t="shared" si="15"/>
        <v>55</v>
      </c>
      <c r="N456" s="3" t="str">
        <f>VLOOKUP(Table2[[#This Row],[Tulu/kulu liik2]],Table5[[Tulu/kulu liik]:[Kontode koondnimetus]],4,FALSE)</f>
        <v>Muud tegevuskulud</v>
      </c>
      <c r="O456" s="3" t="str">
        <f>VLOOKUP(Table2[[#This Row],[Tulu/kulu liik2]],Table5[],6,FALSE)</f>
        <v>Majandamiskulud</v>
      </c>
      <c r="P456" s="3" t="str">
        <f>VLOOKUP(Table2[[#This Row],[Tulu/kulu liik2]],Table5[],5,FALSE)</f>
        <v>Põhitegevuse kulu</v>
      </c>
    </row>
    <row r="457" spans="1:16" hidden="1" x14ac:dyDescent="0.25">
      <c r="A457" t="str">
        <f t="shared" si="14"/>
        <v>08</v>
      </c>
      <c r="B457" t="s">
        <v>296</v>
      </c>
      <c r="C457" s="3" t="str">
        <f>VLOOKUP(Table2[[#This Row],[Tegevusala]],Table4[],2,FALSE)</f>
        <v>Laekvere Raamatukogu</v>
      </c>
      <c r="D457" s="3" t="str">
        <f>VLOOKUP(Table2[[#This Row],[Tegevusala]],Table4[[Tegevusala kood]:[Tegevusala alanimetus]],4,FALSE)</f>
        <v>Raamatukogud</v>
      </c>
      <c r="E457" s="3" t="str">
        <f>VLOOKUP(Table2[[#This Row],[Tegevusala nimetus2]],Table4[[Tegevusala nimetus]:[Tegevusala koondnimetus]],2,FALSE)</f>
        <v>Vabaaeg, kultuur ja religioon</v>
      </c>
      <c r="F457" t="s">
        <v>2221</v>
      </c>
      <c r="G457" t="s">
        <v>736</v>
      </c>
      <c r="H457" s="40">
        <v>200</v>
      </c>
      <c r="J457">
        <v>5511</v>
      </c>
      <c r="K457" s="3" t="str">
        <f>VLOOKUP(Table2[[#This Row],[Konto]],Table5[[Konto]:[Konto nimetus]],2,FALSE)</f>
        <v>Kinnistute, hoonete ja ruumide majandamiskulud</v>
      </c>
      <c r="L457">
        <v>55</v>
      </c>
      <c r="M457" t="str">
        <f t="shared" si="15"/>
        <v>55</v>
      </c>
      <c r="N457" s="3" t="str">
        <f>VLOOKUP(Table2[[#This Row],[Tulu/kulu liik2]],Table5[[Tulu/kulu liik]:[Kontode koondnimetus]],4,FALSE)</f>
        <v>Muud tegevuskulud</v>
      </c>
      <c r="O457" s="3" t="str">
        <f>VLOOKUP(Table2[[#This Row],[Tulu/kulu liik2]],Table5[],6,FALSE)</f>
        <v>Majandamiskulud</v>
      </c>
      <c r="P457" s="3" t="str">
        <f>VLOOKUP(Table2[[#This Row],[Tulu/kulu liik2]],Table5[],5,FALSE)</f>
        <v>Põhitegevuse kulu</v>
      </c>
    </row>
    <row r="458" spans="1:16" hidden="1" x14ac:dyDescent="0.25">
      <c r="A458" t="str">
        <f t="shared" si="14"/>
        <v>08</v>
      </c>
      <c r="B458" t="s">
        <v>296</v>
      </c>
      <c r="C458" s="3" t="str">
        <f>VLOOKUP(Table2[[#This Row],[Tegevusala]],Table4[],2,FALSE)</f>
        <v>Laekvere Raamatukogu</v>
      </c>
      <c r="D458" s="3" t="str">
        <f>VLOOKUP(Table2[[#This Row],[Tegevusala]],Table4[[Tegevusala kood]:[Tegevusala alanimetus]],4,FALSE)</f>
        <v>Raamatukogud</v>
      </c>
      <c r="E458" s="3" t="str">
        <f>VLOOKUP(Table2[[#This Row],[Tegevusala nimetus2]],Table4[[Tegevusala nimetus]:[Tegevusala koondnimetus]],2,FALSE)</f>
        <v>Vabaaeg, kultuur ja religioon</v>
      </c>
      <c r="F458" t="s">
        <v>2221</v>
      </c>
      <c r="G458" t="s">
        <v>738</v>
      </c>
      <c r="H458" s="40">
        <v>250</v>
      </c>
      <c r="J458">
        <v>5514</v>
      </c>
      <c r="K458" s="3" t="str">
        <f>VLOOKUP(Table2[[#This Row],[Konto]],Table5[[Konto]:[Konto nimetus]],2,FALSE)</f>
        <v>Info- ja kommunikatsioonitehnoliigised kulud</v>
      </c>
      <c r="L458">
        <v>55</v>
      </c>
      <c r="M458" t="str">
        <f t="shared" si="15"/>
        <v>55</v>
      </c>
      <c r="N458" s="3" t="str">
        <f>VLOOKUP(Table2[[#This Row],[Tulu/kulu liik2]],Table5[[Tulu/kulu liik]:[Kontode koondnimetus]],4,FALSE)</f>
        <v>Muud tegevuskulud</v>
      </c>
      <c r="O458" s="3" t="str">
        <f>VLOOKUP(Table2[[#This Row],[Tulu/kulu liik2]],Table5[],6,FALSE)</f>
        <v>Majandamiskulud</v>
      </c>
      <c r="P458" s="3" t="str">
        <f>VLOOKUP(Table2[[#This Row],[Tulu/kulu liik2]],Table5[],5,FALSE)</f>
        <v>Põhitegevuse kulu</v>
      </c>
    </row>
    <row r="459" spans="1:16" hidden="1" x14ac:dyDescent="0.25">
      <c r="A459" t="str">
        <f t="shared" si="14"/>
        <v>08</v>
      </c>
      <c r="B459" t="s">
        <v>296</v>
      </c>
      <c r="C459" s="3" t="str">
        <f>VLOOKUP(Table2[[#This Row],[Tegevusala]],Table4[],2,FALSE)</f>
        <v>Laekvere Raamatukogu</v>
      </c>
      <c r="D459" s="3" t="str">
        <f>VLOOKUP(Table2[[#This Row],[Tegevusala]],Table4[[Tegevusala kood]:[Tegevusala alanimetus]],4,FALSE)</f>
        <v>Raamatukogud</v>
      </c>
      <c r="E459" s="3" t="str">
        <f>VLOOKUP(Table2[[#This Row],[Tegevusala nimetus2]],Table4[[Tegevusala nimetus]:[Tegevusala koondnimetus]],2,FALSE)</f>
        <v>Vabaaeg, kultuur ja religioon</v>
      </c>
      <c r="F459" t="s">
        <v>2221</v>
      </c>
      <c r="G459" t="s">
        <v>733</v>
      </c>
      <c r="H459" s="40">
        <v>300</v>
      </c>
      <c r="J459">
        <v>5500</v>
      </c>
      <c r="K459" s="3" t="str">
        <f>VLOOKUP(Table2[[#This Row],[Konto]],Table5[[Konto]:[Konto nimetus]],2,FALSE)</f>
        <v>Administreerimiskulud</v>
      </c>
      <c r="L459">
        <v>55</v>
      </c>
      <c r="M459" t="str">
        <f t="shared" si="15"/>
        <v>55</v>
      </c>
      <c r="N459" s="3" t="str">
        <f>VLOOKUP(Table2[[#This Row],[Tulu/kulu liik2]],Table5[[Tulu/kulu liik]:[Kontode koondnimetus]],4,FALSE)</f>
        <v>Muud tegevuskulud</v>
      </c>
      <c r="O459" s="34" t="str">
        <f>VLOOKUP(Table2[[#This Row],[Tulu/kulu liik2]],Table5[],6,FALSE)</f>
        <v>Majandamiskulud</v>
      </c>
      <c r="P459" s="3" t="str">
        <f>VLOOKUP(Table2[[#This Row],[Tulu/kulu liik2]],Table5[],5,FALSE)</f>
        <v>Põhitegevuse kulu</v>
      </c>
    </row>
    <row r="460" spans="1:16" hidden="1" x14ac:dyDescent="0.25">
      <c r="A460" t="str">
        <f t="shared" si="14"/>
        <v>08</v>
      </c>
      <c r="B460" t="s">
        <v>299</v>
      </c>
      <c r="C460" s="3" t="str">
        <f>VLOOKUP(Table2[[#This Row],[Tegevusala]],Table4[],2,FALSE)</f>
        <v xml:space="preserve"> Kadila Seltsimaja</v>
      </c>
      <c r="D460" s="3" t="str">
        <f>VLOOKUP(Table2[[#This Row],[Tegevusala]],Table4[[Tegevusala kood]:[Tegevusala alanimetus]],4,FALSE)</f>
        <v>Rahvakultuur</v>
      </c>
      <c r="E460" s="3" t="str">
        <f>VLOOKUP(Table2[[#This Row],[Tegevusala nimetus2]],Table4[[Tegevusala nimetus]:[Tegevusala koondnimetus]],2,FALSE)</f>
        <v>Vabaaeg, kultuur ja religioon</v>
      </c>
      <c r="F460" t="s">
        <v>1817</v>
      </c>
      <c r="G460" t="s">
        <v>924</v>
      </c>
      <c r="H460" s="40">
        <v>1500</v>
      </c>
      <c r="J460">
        <v>5511</v>
      </c>
      <c r="K460" s="3" t="str">
        <f>VLOOKUP(Table2[[#This Row],[Konto]],Table5[[Konto]:[Konto nimetus]],2,FALSE)</f>
        <v>Kinnistute, hoonete ja ruumide majandamiskulud</v>
      </c>
      <c r="L460">
        <v>55</v>
      </c>
      <c r="M460" t="str">
        <f t="shared" si="15"/>
        <v>55</v>
      </c>
      <c r="N460" s="3" t="str">
        <f>VLOOKUP(Table2[[#This Row],[Tulu/kulu liik2]],Table5[[Tulu/kulu liik]:[Kontode koondnimetus]],4,FALSE)</f>
        <v>Muud tegevuskulud</v>
      </c>
      <c r="O460" s="3" t="str">
        <f>VLOOKUP(Table2[[#This Row],[Tulu/kulu liik2]],Table5[],6,FALSE)</f>
        <v>Majandamiskulud</v>
      </c>
      <c r="P460" s="3" t="str">
        <f>VLOOKUP(Table2[[#This Row],[Tulu/kulu liik2]],Table5[],5,FALSE)</f>
        <v>Põhitegevuse kulu</v>
      </c>
    </row>
    <row r="461" spans="1:16" hidden="1" x14ac:dyDescent="0.25">
      <c r="A461" t="str">
        <f t="shared" si="14"/>
        <v>08</v>
      </c>
      <c r="B461" t="s">
        <v>299</v>
      </c>
      <c r="C461" s="3" t="str">
        <f>VLOOKUP(Table2[[#This Row],[Tegevusala]],Table4[],2,FALSE)</f>
        <v xml:space="preserve"> Kadila Seltsimaja</v>
      </c>
      <c r="D461" s="3" t="str">
        <f>VLOOKUP(Table2[[#This Row],[Tegevusala]],Table4[[Tegevusala kood]:[Tegevusala alanimetus]],4,FALSE)</f>
        <v>Rahvakultuur</v>
      </c>
      <c r="E461" s="3" t="str">
        <f>VLOOKUP(Table2[[#This Row],[Tegevusala nimetus2]],Table4[[Tegevusala nimetus]:[Tegevusala koondnimetus]],2,FALSE)</f>
        <v>Vabaaeg, kultuur ja religioon</v>
      </c>
      <c r="F461" t="s">
        <v>1817</v>
      </c>
      <c r="G461" t="s">
        <v>1818</v>
      </c>
      <c r="H461" s="40">
        <v>170</v>
      </c>
      <c r="J461">
        <v>5511</v>
      </c>
      <c r="K461" s="3" t="str">
        <f>VLOOKUP(Table2[[#This Row],[Konto]],Table5[[Konto]:[Konto nimetus]],2,FALSE)</f>
        <v>Kinnistute, hoonete ja ruumide majandamiskulud</v>
      </c>
      <c r="L461">
        <v>55</v>
      </c>
      <c r="M461" t="str">
        <f t="shared" si="15"/>
        <v>55</v>
      </c>
      <c r="N461" s="3" t="str">
        <f>VLOOKUP(Table2[[#This Row],[Tulu/kulu liik2]],Table5[[Tulu/kulu liik]:[Kontode koondnimetus]],4,FALSE)</f>
        <v>Muud tegevuskulud</v>
      </c>
      <c r="O461" s="3" t="str">
        <f>VLOOKUP(Table2[[#This Row],[Tulu/kulu liik2]],Table5[],6,FALSE)</f>
        <v>Majandamiskulud</v>
      </c>
      <c r="P461" s="3" t="str">
        <f>VLOOKUP(Table2[[#This Row],[Tulu/kulu liik2]],Table5[],5,FALSE)</f>
        <v>Põhitegevuse kulu</v>
      </c>
    </row>
    <row r="462" spans="1:16" hidden="1" x14ac:dyDescent="0.25">
      <c r="A462" t="str">
        <f t="shared" si="14"/>
        <v>08</v>
      </c>
      <c r="B462" t="s">
        <v>299</v>
      </c>
      <c r="C462" s="3" t="str">
        <f>VLOOKUP(Table2[[#This Row],[Tegevusala]],Table4[],2,FALSE)</f>
        <v xml:space="preserve"> Kadila Seltsimaja</v>
      </c>
      <c r="D462" s="3" t="str">
        <f>VLOOKUP(Table2[[#This Row],[Tegevusala]],Table4[[Tegevusala kood]:[Tegevusala alanimetus]],4,FALSE)</f>
        <v>Rahvakultuur</v>
      </c>
      <c r="E462" s="3" t="str">
        <f>VLOOKUP(Table2[[#This Row],[Tegevusala nimetus2]],Table4[[Tegevusala nimetus]:[Tegevusala koondnimetus]],2,FALSE)</f>
        <v>Vabaaeg, kultuur ja religioon</v>
      </c>
      <c r="F462" t="s">
        <v>1817</v>
      </c>
      <c r="G462" t="s">
        <v>951</v>
      </c>
      <c r="H462" s="40">
        <v>85</v>
      </c>
      <c r="J462">
        <v>5511</v>
      </c>
      <c r="K462" s="3" t="str">
        <f>VLOOKUP(Table2[[#This Row],[Konto]],Table5[[Konto]:[Konto nimetus]],2,FALSE)</f>
        <v>Kinnistute, hoonete ja ruumide majandamiskulud</v>
      </c>
      <c r="L462">
        <v>55</v>
      </c>
      <c r="M462" t="str">
        <f t="shared" si="15"/>
        <v>55</v>
      </c>
      <c r="N462" s="3" t="str">
        <f>VLOOKUP(Table2[[#This Row],[Tulu/kulu liik2]],Table5[[Tulu/kulu liik]:[Kontode koondnimetus]],4,FALSE)</f>
        <v>Muud tegevuskulud</v>
      </c>
      <c r="O462" s="3" t="str">
        <f>VLOOKUP(Table2[[#This Row],[Tulu/kulu liik2]],Table5[],6,FALSE)</f>
        <v>Majandamiskulud</v>
      </c>
      <c r="P462" s="3" t="str">
        <f>VLOOKUP(Table2[[#This Row],[Tulu/kulu liik2]],Table5[],5,FALSE)</f>
        <v>Põhitegevuse kulu</v>
      </c>
    </row>
    <row r="463" spans="1:16" hidden="1" x14ac:dyDescent="0.25">
      <c r="A463" t="str">
        <f t="shared" si="14"/>
        <v>08</v>
      </c>
      <c r="B463" t="s">
        <v>299</v>
      </c>
      <c r="C463" s="3" t="str">
        <f>VLOOKUP(Table2[[#This Row],[Tegevusala]],Table4[],2,FALSE)</f>
        <v xml:space="preserve"> Kadila Seltsimaja</v>
      </c>
      <c r="D463" s="3" t="str">
        <f>VLOOKUP(Table2[[#This Row],[Tegevusala]],Table4[[Tegevusala kood]:[Tegevusala alanimetus]],4,FALSE)</f>
        <v>Rahvakultuur</v>
      </c>
      <c r="E463" s="3" t="str">
        <f>VLOOKUP(Table2[[#This Row],[Tegevusala nimetus2]],Table4[[Tegevusala nimetus]:[Tegevusala koondnimetus]],2,FALSE)</f>
        <v>Vabaaeg, kultuur ja religioon</v>
      </c>
      <c r="F463" t="s">
        <v>1817</v>
      </c>
      <c r="G463" t="s">
        <v>1819</v>
      </c>
      <c r="H463" s="40">
        <v>92.4</v>
      </c>
      <c r="J463">
        <v>5511</v>
      </c>
      <c r="K463" s="3" t="str">
        <f>VLOOKUP(Table2[[#This Row],[Konto]],Table5[[Konto]:[Konto nimetus]],2,FALSE)</f>
        <v>Kinnistute, hoonete ja ruumide majandamiskulud</v>
      </c>
      <c r="L463">
        <v>55</v>
      </c>
      <c r="M463" t="str">
        <f t="shared" si="15"/>
        <v>55</v>
      </c>
      <c r="N463" s="3" t="str">
        <f>VLOOKUP(Table2[[#This Row],[Tulu/kulu liik2]],Table5[[Tulu/kulu liik]:[Kontode koondnimetus]],4,FALSE)</f>
        <v>Muud tegevuskulud</v>
      </c>
      <c r="O463" s="3" t="str">
        <f>VLOOKUP(Table2[[#This Row],[Tulu/kulu liik2]],Table5[],6,FALSE)</f>
        <v>Majandamiskulud</v>
      </c>
      <c r="P463" s="3" t="str">
        <f>VLOOKUP(Table2[[#This Row],[Tulu/kulu liik2]],Table5[],5,FALSE)</f>
        <v>Põhitegevuse kulu</v>
      </c>
    </row>
    <row r="464" spans="1:16" hidden="1" x14ac:dyDescent="0.25">
      <c r="A464" t="str">
        <f t="shared" si="14"/>
        <v>08</v>
      </c>
      <c r="B464" t="s">
        <v>299</v>
      </c>
      <c r="C464" s="3" t="str">
        <f>VLOOKUP(Table2[[#This Row],[Tegevusala]],Table4[],2,FALSE)</f>
        <v xml:space="preserve"> Kadila Seltsimaja</v>
      </c>
      <c r="D464" s="3" t="str">
        <f>VLOOKUP(Table2[[#This Row],[Tegevusala]],Table4[[Tegevusala kood]:[Tegevusala alanimetus]],4,FALSE)</f>
        <v>Rahvakultuur</v>
      </c>
      <c r="E464" s="3" t="str">
        <f>VLOOKUP(Table2[[#This Row],[Tegevusala nimetus2]],Table4[[Tegevusala nimetus]:[Tegevusala koondnimetus]],2,FALSE)</f>
        <v>Vabaaeg, kultuur ja religioon</v>
      </c>
      <c r="F464" t="s">
        <v>1817</v>
      </c>
      <c r="G464" t="s">
        <v>1001</v>
      </c>
      <c r="H464" s="40">
        <v>1800</v>
      </c>
      <c r="J464">
        <v>5511</v>
      </c>
      <c r="K464" s="3" t="str">
        <f>VLOOKUP(Table2[[#This Row],[Konto]],Table5[[Konto]:[Konto nimetus]],2,FALSE)</f>
        <v>Kinnistute, hoonete ja ruumide majandamiskulud</v>
      </c>
      <c r="L464">
        <v>55</v>
      </c>
      <c r="M464" t="str">
        <f t="shared" si="15"/>
        <v>55</v>
      </c>
      <c r="N464" s="3" t="str">
        <f>VLOOKUP(Table2[[#This Row],[Tulu/kulu liik2]],Table5[[Tulu/kulu liik]:[Kontode koondnimetus]],4,FALSE)</f>
        <v>Muud tegevuskulud</v>
      </c>
      <c r="O464" s="3" t="str">
        <f>VLOOKUP(Table2[[#This Row],[Tulu/kulu liik2]],Table5[],6,FALSE)</f>
        <v>Majandamiskulud</v>
      </c>
      <c r="P464" s="3" t="str">
        <f>VLOOKUP(Table2[[#This Row],[Tulu/kulu liik2]],Table5[],5,FALSE)</f>
        <v>Põhitegevuse kulu</v>
      </c>
    </row>
    <row r="465" spans="1:16" hidden="1" x14ac:dyDescent="0.25">
      <c r="A465" t="str">
        <f t="shared" si="14"/>
        <v>08</v>
      </c>
      <c r="B465" t="s">
        <v>299</v>
      </c>
      <c r="C465" s="3" t="str">
        <f>VLOOKUP(Table2[[#This Row],[Tegevusala]],Table4[],2,FALSE)</f>
        <v xml:space="preserve"> Kadila Seltsimaja</v>
      </c>
      <c r="D465" s="3" t="str">
        <f>VLOOKUP(Table2[[#This Row],[Tegevusala]],Table4[[Tegevusala kood]:[Tegevusala alanimetus]],4,FALSE)</f>
        <v>Rahvakultuur</v>
      </c>
      <c r="E465" s="3" t="str">
        <f>VLOOKUP(Table2[[#This Row],[Tegevusala nimetus2]],Table4[[Tegevusala nimetus]:[Tegevusala koondnimetus]],2,FALSE)</f>
        <v>Vabaaeg, kultuur ja religioon</v>
      </c>
      <c r="F465" t="s">
        <v>1817</v>
      </c>
      <c r="G465" t="s">
        <v>1151</v>
      </c>
      <c r="H465" s="40">
        <v>200</v>
      </c>
      <c r="J465">
        <v>5511</v>
      </c>
      <c r="K465" s="3" t="str">
        <f>VLOOKUP(Table2[[#This Row],[Konto]],Table5[[Konto]:[Konto nimetus]],2,FALSE)</f>
        <v>Kinnistute, hoonete ja ruumide majandamiskulud</v>
      </c>
      <c r="L465">
        <v>55</v>
      </c>
      <c r="M465" t="str">
        <f t="shared" si="15"/>
        <v>55</v>
      </c>
      <c r="N465" s="3" t="str">
        <f>VLOOKUP(Table2[[#This Row],[Tulu/kulu liik2]],Table5[[Tulu/kulu liik]:[Kontode koondnimetus]],4,FALSE)</f>
        <v>Muud tegevuskulud</v>
      </c>
      <c r="O465" s="3" t="str">
        <f>VLOOKUP(Table2[[#This Row],[Tulu/kulu liik2]],Table5[],6,FALSE)</f>
        <v>Majandamiskulud</v>
      </c>
      <c r="P465" s="3" t="str">
        <f>VLOOKUP(Table2[[#This Row],[Tulu/kulu liik2]],Table5[],5,FALSE)</f>
        <v>Põhitegevuse kulu</v>
      </c>
    </row>
    <row r="466" spans="1:16" hidden="1" x14ac:dyDescent="0.25">
      <c r="A466" t="str">
        <f t="shared" si="14"/>
        <v>08</v>
      </c>
      <c r="B466" t="s">
        <v>299</v>
      </c>
      <c r="C466" s="3" t="str">
        <f>VLOOKUP(Table2[[#This Row],[Tegevusala]],Table4[],2,FALSE)</f>
        <v xml:space="preserve"> Kadila Seltsimaja</v>
      </c>
      <c r="D466" s="3" t="str">
        <f>VLOOKUP(Table2[[#This Row],[Tegevusala]],Table4[[Tegevusala kood]:[Tegevusala alanimetus]],4,FALSE)</f>
        <v>Rahvakultuur</v>
      </c>
      <c r="E466" s="3" t="str">
        <f>VLOOKUP(Table2[[#This Row],[Tegevusala nimetus2]],Table4[[Tegevusala nimetus]:[Tegevusala koondnimetus]],2,FALSE)</f>
        <v>Vabaaeg, kultuur ja religioon</v>
      </c>
      <c r="F466" t="s">
        <v>1817</v>
      </c>
      <c r="G466" t="s">
        <v>775</v>
      </c>
      <c r="H466" s="40">
        <v>600</v>
      </c>
      <c r="J466">
        <v>5500</v>
      </c>
      <c r="K466" s="3" t="str">
        <f>VLOOKUP(Table2[[#This Row],[Konto]],Table5[[Konto]:[Konto nimetus]],2,FALSE)</f>
        <v>Administreerimiskulud</v>
      </c>
      <c r="L466">
        <v>55</v>
      </c>
      <c r="M466" t="str">
        <f t="shared" si="15"/>
        <v>55</v>
      </c>
      <c r="N466" s="3" t="str">
        <f>VLOOKUP(Table2[[#This Row],[Tulu/kulu liik2]],Table5[[Tulu/kulu liik]:[Kontode koondnimetus]],4,FALSE)</f>
        <v>Muud tegevuskulud</v>
      </c>
      <c r="O466" s="3" t="str">
        <f>VLOOKUP(Table2[[#This Row],[Tulu/kulu liik2]],Table5[],6,FALSE)</f>
        <v>Majandamiskulud</v>
      </c>
      <c r="P466" s="3" t="str">
        <f>VLOOKUP(Table2[[#This Row],[Tulu/kulu liik2]],Table5[],5,FALSE)</f>
        <v>Põhitegevuse kulu</v>
      </c>
    </row>
    <row r="467" spans="1:16" hidden="1" x14ac:dyDescent="0.25">
      <c r="A467" t="str">
        <f t="shared" si="14"/>
        <v>08</v>
      </c>
      <c r="B467" t="s">
        <v>299</v>
      </c>
      <c r="C467" s="3" t="str">
        <f>VLOOKUP(Table2[[#This Row],[Tegevusala]],Table4[],2,FALSE)</f>
        <v xml:space="preserve"> Kadila Seltsimaja</v>
      </c>
      <c r="D467" s="3" t="str">
        <f>VLOOKUP(Table2[[#This Row],[Tegevusala]],Table4[[Tegevusala kood]:[Tegevusala alanimetus]],4,FALSE)</f>
        <v>Rahvakultuur</v>
      </c>
      <c r="E467" s="3" t="str">
        <f>VLOOKUP(Table2[[#This Row],[Tegevusala nimetus2]],Table4[[Tegevusala nimetus]:[Tegevusala koondnimetus]],2,FALSE)</f>
        <v>Vabaaeg, kultuur ja religioon</v>
      </c>
      <c r="F467" t="s">
        <v>1817</v>
      </c>
      <c r="G467" t="s">
        <v>768</v>
      </c>
      <c r="H467" s="40">
        <v>250</v>
      </c>
      <c r="J467">
        <v>5525</v>
      </c>
      <c r="K467" s="3" t="str">
        <f>VLOOKUP(Table2[[#This Row],[Konto]],Table5[[Konto]:[Konto nimetus]],2,FALSE)</f>
        <v>Kommunikatsiooni-, kultuuri- ja vaba aja sisustamise kulud</v>
      </c>
      <c r="L467">
        <v>55</v>
      </c>
      <c r="M467" t="str">
        <f t="shared" si="15"/>
        <v>55</v>
      </c>
      <c r="N467" s="3" t="str">
        <f>VLOOKUP(Table2[[#This Row],[Tulu/kulu liik2]],Table5[[Tulu/kulu liik]:[Kontode koondnimetus]],4,FALSE)</f>
        <v>Muud tegevuskulud</v>
      </c>
      <c r="O467" s="3" t="str">
        <f>VLOOKUP(Table2[[#This Row],[Tulu/kulu liik2]],Table5[],6,FALSE)</f>
        <v>Majandamiskulud</v>
      </c>
      <c r="P467" s="3" t="str">
        <f>VLOOKUP(Table2[[#This Row],[Tulu/kulu liik2]],Table5[],5,FALSE)</f>
        <v>Põhitegevuse kulu</v>
      </c>
    </row>
    <row r="468" spans="1:16" hidden="1" x14ac:dyDescent="0.25">
      <c r="A468" t="str">
        <f t="shared" si="14"/>
        <v>08</v>
      </c>
      <c r="B468" t="s">
        <v>299</v>
      </c>
      <c r="C468" s="3" t="str">
        <f>VLOOKUP(Table2[[#This Row],[Tegevusala]],Table4[],2,FALSE)</f>
        <v xml:space="preserve"> Kadila Seltsimaja</v>
      </c>
      <c r="D468" s="3" t="str">
        <f>VLOOKUP(Table2[[#This Row],[Tegevusala]],Table4[[Tegevusala kood]:[Tegevusala alanimetus]],4,FALSE)</f>
        <v>Rahvakultuur</v>
      </c>
      <c r="E468" s="3" t="str">
        <f>VLOOKUP(Table2[[#This Row],[Tegevusala nimetus2]],Table4[[Tegevusala nimetus]:[Tegevusala koondnimetus]],2,FALSE)</f>
        <v>Vabaaeg, kultuur ja religioon</v>
      </c>
      <c r="F468" t="s">
        <v>1817</v>
      </c>
      <c r="G468" t="s">
        <v>954</v>
      </c>
      <c r="H468" s="40">
        <v>160</v>
      </c>
      <c r="J468">
        <v>5511</v>
      </c>
      <c r="K468" s="3" t="str">
        <f>VLOOKUP(Table2[[#This Row],[Konto]],Table5[[Konto]:[Konto nimetus]],2,FALSE)</f>
        <v>Kinnistute, hoonete ja ruumide majandamiskulud</v>
      </c>
      <c r="L468">
        <v>55</v>
      </c>
      <c r="M468" t="str">
        <f t="shared" si="15"/>
        <v>55</v>
      </c>
      <c r="N468" s="3" t="str">
        <f>VLOOKUP(Table2[[#This Row],[Tulu/kulu liik2]],Table5[[Tulu/kulu liik]:[Kontode koondnimetus]],4,FALSE)</f>
        <v>Muud tegevuskulud</v>
      </c>
      <c r="O468" s="34" t="str">
        <f>VLOOKUP(Table2[[#This Row],[Tulu/kulu liik2]],Table5[],6,FALSE)</f>
        <v>Majandamiskulud</v>
      </c>
      <c r="P468" s="3" t="str">
        <f>VLOOKUP(Table2[[#This Row],[Tulu/kulu liik2]],Table5[],5,FALSE)</f>
        <v>Põhitegevuse kulu</v>
      </c>
    </row>
    <row r="469" spans="1:16" hidden="1" x14ac:dyDescent="0.25">
      <c r="A469" t="str">
        <f t="shared" si="14"/>
        <v>08</v>
      </c>
      <c r="B469" t="s">
        <v>299</v>
      </c>
      <c r="C469" s="3" t="str">
        <f>VLOOKUP(Table2[[#This Row],[Tegevusala]],Table4[],2,FALSE)</f>
        <v xml:space="preserve"> Kadila Seltsimaja</v>
      </c>
      <c r="D469" s="3" t="str">
        <f>VLOOKUP(Table2[[#This Row],[Tegevusala]],Table4[[Tegevusala kood]:[Tegevusala alanimetus]],4,FALSE)</f>
        <v>Rahvakultuur</v>
      </c>
      <c r="E469" s="3" t="str">
        <f>VLOOKUP(Table2[[#This Row],[Tegevusala nimetus2]],Table4[[Tegevusala nimetus]:[Tegevusala koondnimetus]],2,FALSE)</f>
        <v>Vabaaeg, kultuur ja religioon</v>
      </c>
      <c r="F469" t="s">
        <v>1817</v>
      </c>
      <c r="G469" t="s">
        <v>1851</v>
      </c>
      <c r="H469" s="40">
        <v>500</v>
      </c>
      <c r="J469">
        <v>5511</v>
      </c>
      <c r="K469" s="3" t="str">
        <f>VLOOKUP(Table2[[#This Row],[Konto]],Table5[[Konto]:[Konto nimetus]],2,FALSE)</f>
        <v>Kinnistute, hoonete ja ruumide majandamiskulud</v>
      </c>
      <c r="L469">
        <v>55</v>
      </c>
      <c r="M469" t="str">
        <f t="shared" si="15"/>
        <v>55</v>
      </c>
      <c r="N469" s="3" t="str">
        <f>VLOOKUP(Table2[[#This Row],[Tulu/kulu liik2]],Table5[[Tulu/kulu liik]:[Kontode koondnimetus]],4,FALSE)</f>
        <v>Muud tegevuskulud</v>
      </c>
      <c r="O469" s="34" t="str">
        <f>VLOOKUP(Table2[[#This Row],[Tulu/kulu liik2]],Table5[],6,FALSE)</f>
        <v>Majandamiskulud</v>
      </c>
      <c r="P469" s="3" t="str">
        <f>VLOOKUP(Table2[[#This Row],[Tulu/kulu liik2]],Table5[],5,FALSE)</f>
        <v>Põhitegevuse kulu</v>
      </c>
    </row>
    <row r="470" spans="1:16" ht="60" hidden="1" x14ac:dyDescent="0.25">
      <c r="A470" t="str">
        <f t="shared" si="14"/>
        <v>08</v>
      </c>
      <c r="B470" t="s">
        <v>301</v>
      </c>
      <c r="C470" s="3" t="str">
        <f>VLOOKUP(Table2[[#This Row],[Tegevusala]],Table4[],2,FALSE)</f>
        <v xml:space="preserve"> Pajusti klubi</v>
      </c>
      <c r="D470" s="3" t="str">
        <f>VLOOKUP(Table2[[#This Row],[Tegevusala]],Table4[[Tegevusala kood]:[Tegevusala alanimetus]],4,FALSE)</f>
        <v>Rahvakultuur</v>
      </c>
      <c r="E470" s="3" t="str">
        <f>VLOOKUP(Table2[[#This Row],[Tegevusala nimetus2]],Table4[[Tegevusala nimetus]:[Tegevusala koondnimetus]],2,FALSE)</f>
        <v>Vabaaeg, kultuur ja religioon</v>
      </c>
      <c r="F470" t="s">
        <v>1823</v>
      </c>
      <c r="G470" s="73" t="s">
        <v>2130</v>
      </c>
      <c r="H470" s="40">
        <f>15000</f>
        <v>15000</v>
      </c>
      <c r="J470">
        <v>5511</v>
      </c>
      <c r="K470" s="3" t="str">
        <f>VLOOKUP(Table2[[#This Row],[Konto]],Table5[[Konto]:[Konto nimetus]],2,FALSE)</f>
        <v>Kinnistute, hoonete ja ruumide majandamiskulud</v>
      </c>
      <c r="L470">
        <v>55</v>
      </c>
      <c r="M470" t="str">
        <f t="shared" si="15"/>
        <v>55</v>
      </c>
      <c r="N470" s="3" t="str">
        <f>VLOOKUP(Table2[[#This Row],[Tulu/kulu liik2]],Table5[[Tulu/kulu liik]:[Kontode koondnimetus]],4,FALSE)</f>
        <v>Muud tegevuskulud</v>
      </c>
      <c r="O470" s="3" t="str">
        <f>VLOOKUP(Table2[[#This Row],[Tulu/kulu liik2]],Table5[],6,FALSE)</f>
        <v>Majandamiskulud</v>
      </c>
      <c r="P470" s="3" t="str">
        <f>VLOOKUP(Table2[[#This Row],[Tulu/kulu liik2]],Table5[],5,FALSE)</f>
        <v>Põhitegevuse kulu</v>
      </c>
    </row>
    <row r="471" spans="1:16" hidden="1" x14ac:dyDescent="0.25">
      <c r="A471" t="str">
        <f t="shared" si="14"/>
        <v>08</v>
      </c>
      <c r="B471" t="s">
        <v>301</v>
      </c>
      <c r="C471" s="3" t="str">
        <f>VLOOKUP(Table2[[#This Row],[Tegevusala]],Table4[],2,FALSE)</f>
        <v xml:space="preserve"> Pajusti klubi</v>
      </c>
      <c r="D471" s="3" t="str">
        <f>VLOOKUP(Table2[[#This Row],[Tegevusala]],Table4[[Tegevusala kood]:[Tegevusala alanimetus]],4,FALSE)</f>
        <v>Rahvakultuur</v>
      </c>
      <c r="E471" s="3" t="str">
        <f>VLOOKUP(Table2[[#This Row],[Tegevusala nimetus2]],Table4[[Tegevusala nimetus]:[Tegevusala koondnimetus]],2,FALSE)</f>
        <v>Vabaaeg, kultuur ja religioon</v>
      </c>
      <c r="F471" t="s">
        <v>1823</v>
      </c>
      <c r="G471" t="s">
        <v>391</v>
      </c>
      <c r="H471" s="40">
        <v>800</v>
      </c>
      <c r="I471" s="2" t="s">
        <v>1825</v>
      </c>
      <c r="J471">
        <v>5504</v>
      </c>
      <c r="K471" s="3" t="str">
        <f>VLOOKUP(Table2[[#This Row],[Konto]],Table5[[Konto]:[Konto nimetus]],2,FALSE)</f>
        <v>Koolituskulud</v>
      </c>
      <c r="L471">
        <v>55</v>
      </c>
      <c r="M471" t="str">
        <f t="shared" si="15"/>
        <v>55</v>
      </c>
      <c r="N471" s="3" t="str">
        <f>VLOOKUP(Table2[[#This Row],[Tulu/kulu liik2]],Table5[[Tulu/kulu liik]:[Kontode koondnimetus]],4,FALSE)</f>
        <v>Muud tegevuskulud</v>
      </c>
      <c r="O471" s="3" t="str">
        <f>VLOOKUP(Table2[[#This Row],[Tulu/kulu liik2]],Table5[],6,FALSE)</f>
        <v>Majandamiskulud</v>
      </c>
      <c r="P471" s="3" t="str">
        <f>VLOOKUP(Table2[[#This Row],[Tulu/kulu liik2]],Table5[],5,FALSE)</f>
        <v>Põhitegevuse kulu</v>
      </c>
    </row>
    <row r="472" spans="1:16" hidden="1" x14ac:dyDescent="0.25">
      <c r="A472" t="str">
        <f t="shared" si="14"/>
        <v>08</v>
      </c>
      <c r="B472" t="s">
        <v>301</v>
      </c>
      <c r="C472" s="3" t="str">
        <f>VLOOKUP(Table2[[#This Row],[Tegevusala]],Table4[],2,FALSE)</f>
        <v xml:space="preserve"> Pajusti klubi</v>
      </c>
      <c r="D472" s="3" t="str">
        <f>VLOOKUP(Table2[[#This Row],[Tegevusala]],Table4[[Tegevusala kood]:[Tegevusala alanimetus]],4,FALSE)</f>
        <v>Rahvakultuur</v>
      </c>
      <c r="E472" s="3" t="str">
        <f>VLOOKUP(Table2[[#This Row],[Tegevusala nimetus2]],Table4[[Tegevusala nimetus]:[Tegevusala koondnimetus]],2,FALSE)</f>
        <v>Vabaaeg, kultuur ja religioon</v>
      </c>
      <c r="F472" t="s">
        <v>1823</v>
      </c>
      <c r="G472" t="s">
        <v>1628</v>
      </c>
      <c r="H472" s="40">
        <v>1440</v>
      </c>
      <c r="I472" s="2" t="s">
        <v>1797</v>
      </c>
      <c r="J472">
        <v>5513</v>
      </c>
      <c r="K472" s="3" t="str">
        <f>VLOOKUP(Table2[[#This Row],[Konto]],Table5[[Konto]:[Konto nimetus]],2,FALSE)</f>
        <v>Sõidukite ülalpidamise kulud</v>
      </c>
      <c r="L472">
        <v>55</v>
      </c>
      <c r="M472" t="str">
        <f t="shared" si="15"/>
        <v>55</v>
      </c>
      <c r="N472" s="3" t="str">
        <f>VLOOKUP(Table2[[#This Row],[Tulu/kulu liik2]],Table5[[Tulu/kulu liik]:[Kontode koondnimetus]],4,FALSE)</f>
        <v>Muud tegevuskulud</v>
      </c>
      <c r="O472" s="3" t="str">
        <f>VLOOKUP(Table2[[#This Row],[Tulu/kulu liik2]],Table5[],6,FALSE)</f>
        <v>Majandamiskulud</v>
      </c>
      <c r="P472" s="3" t="str">
        <f>VLOOKUP(Table2[[#This Row],[Tulu/kulu liik2]],Table5[],5,FALSE)</f>
        <v>Põhitegevuse kulu</v>
      </c>
    </row>
    <row r="473" spans="1:16" hidden="1" x14ac:dyDescent="0.25">
      <c r="A473" t="str">
        <f t="shared" si="14"/>
        <v>08</v>
      </c>
      <c r="B473" t="s">
        <v>301</v>
      </c>
      <c r="C473" s="3" t="str">
        <f>VLOOKUP(Table2[[#This Row],[Tegevusala]],Table4[],2,FALSE)</f>
        <v xml:space="preserve"> Pajusti klubi</v>
      </c>
      <c r="D473" s="3" t="str">
        <f>VLOOKUP(Table2[[#This Row],[Tegevusala]],Table4[[Tegevusala kood]:[Tegevusala alanimetus]],4,FALSE)</f>
        <v>Rahvakultuur</v>
      </c>
      <c r="E473" s="3" t="str">
        <f>VLOOKUP(Table2[[#This Row],[Tegevusala nimetus2]],Table4[[Tegevusala nimetus]:[Tegevusala koondnimetus]],2,FALSE)</f>
        <v>Vabaaeg, kultuur ja religioon</v>
      </c>
      <c r="F473" t="s">
        <v>1823</v>
      </c>
      <c r="G473" t="s">
        <v>1826</v>
      </c>
      <c r="H473" s="40">
        <v>1000</v>
      </c>
      <c r="J473">
        <v>5514</v>
      </c>
      <c r="K473" s="3" t="str">
        <f>VLOOKUP(Table2[[#This Row],[Konto]],Table5[[Konto]:[Konto nimetus]],2,FALSE)</f>
        <v>Info- ja kommunikatsioonitehnoliigised kulud</v>
      </c>
      <c r="L473">
        <v>55</v>
      </c>
      <c r="M473" t="str">
        <f t="shared" si="15"/>
        <v>55</v>
      </c>
      <c r="N473" s="3" t="str">
        <f>VLOOKUP(Table2[[#This Row],[Tulu/kulu liik2]],Table5[[Tulu/kulu liik]:[Kontode koondnimetus]],4,FALSE)</f>
        <v>Muud tegevuskulud</v>
      </c>
      <c r="O473" s="3" t="str">
        <f>VLOOKUP(Table2[[#This Row],[Tulu/kulu liik2]],Table5[],6,FALSE)</f>
        <v>Majandamiskulud</v>
      </c>
      <c r="P473" s="3" t="str">
        <f>VLOOKUP(Table2[[#This Row],[Tulu/kulu liik2]],Table5[],5,FALSE)</f>
        <v>Põhitegevuse kulu</v>
      </c>
    </row>
    <row r="474" spans="1:16" hidden="1" x14ac:dyDescent="0.25">
      <c r="A474" t="str">
        <f t="shared" si="14"/>
        <v>08</v>
      </c>
      <c r="B474" t="s">
        <v>301</v>
      </c>
      <c r="C474" s="3" t="str">
        <f>VLOOKUP(Table2[[#This Row],[Tegevusala]],Table4[],2,FALSE)</f>
        <v xml:space="preserve"> Pajusti klubi</v>
      </c>
      <c r="D474" s="3" t="str">
        <f>VLOOKUP(Table2[[#This Row],[Tegevusala]],Table4[[Tegevusala kood]:[Tegevusala alanimetus]],4,FALSE)</f>
        <v>Rahvakultuur</v>
      </c>
      <c r="E474" s="3" t="str">
        <f>VLOOKUP(Table2[[#This Row],[Tegevusala nimetus2]],Table4[[Tegevusala nimetus]:[Tegevusala koondnimetus]],2,FALSE)</f>
        <v>Vabaaeg, kultuur ja religioon</v>
      </c>
      <c r="F474" t="s">
        <v>822</v>
      </c>
      <c r="G474" t="s">
        <v>2029</v>
      </c>
      <c r="H474" s="40">
        <v>40000</v>
      </c>
      <c r="J474">
        <v>1551</v>
      </c>
      <c r="K474" s="3" t="str">
        <f>VLOOKUP(Table2[[#This Row],[Konto]],Table5[[Konto]:[Konto nimetus]],2,FALSE)</f>
        <v>Rajatiste ja hoonete soetamine ja renoveerimine</v>
      </c>
      <c r="L474">
        <v>15</v>
      </c>
      <c r="M474" t="str">
        <f t="shared" si="15"/>
        <v>15</v>
      </c>
      <c r="N474" s="3" t="str">
        <f>VLOOKUP(Table2[[#This Row],[Tulu/kulu liik2]],Table5[[Tulu/kulu liik]:[Kontode koondnimetus]],4,FALSE)</f>
        <v>Põhivara soetus (-)</v>
      </c>
      <c r="O474" s="34" t="str">
        <f>VLOOKUP(Table2[[#This Row],[Tulu/kulu liik2]],Table5[],6,FALSE)</f>
        <v>Põhivara soetus (-)</v>
      </c>
      <c r="P474" s="3" t="str">
        <f>VLOOKUP(Table2[[#This Row],[Tulu/kulu liik2]],Table5[],5,FALSE)</f>
        <v>Investeerimistegevus</v>
      </c>
    </row>
    <row r="475" spans="1:16" hidden="1" x14ac:dyDescent="0.25">
      <c r="A475" t="str">
        <f t="shared" si="14"/>
        <v>08</v>
      </c>
      <c r="B475" t="s">
        <v>301</v>
      </c>
      <c r="C475" s="3" t="str">
        <f>VLOOKUP(Table2[[#This Row],[Tegevusala]],Table4[],2,FALSE)</f>
        <v xml:space="preserve"> Pajusti klubi</v>
      </c>
      <c r="D475" s="3" t="str">
        <f>VLOOKUP(Table2[[#This Row],[Tegevusala]],Table4[[Tegevusala kood]:[Tegevusala alanimetus]],4,FALSE)</f>
        <v>Rahvakultuur</v>
      </c>
      <c r="E475" s="3" t="str">
        <f>VLOOKUP(Table2[[#This Row],[Tegevusala nimetus2]],Table4[[Tegevusala nimetus]:[Tegevusala koondnimetus]],2,FALSE)</f>
        <v>Vabaaeg, kultuur ja religioon</v>
      </c>
      <c r="F475" t="s">
        <v>1823</v>
      </c>
      <c r="G475" t="s">
        <v>2075</v>
      </c>
      <c r="H475" s="40">
        <f>12240-270-270-2500-2000</f>
        <v>7200</v>
      </c>
      <c r="I475" s="2" t="s">
        <v>2166</v>
      </c>
      <c r="J475">
        <v>5525</v>
      </c>
      <c r="K475" s="3" t="str">
        <f>VLOOKUP(Table2[[#This Row],[Konto]],Table5[[Konto]:[Konto nimetus]],2,FALSE)</f>
        <v>Kommunikatsiooni-, kultuuri- ja vaba aja sisustamise kulud</v>
      </c>
      <c r="L475">
        <v>55</v>
      </c>
      <c r="M475" t="str">
        <f t="shared" si="15"/>
        <v>55</v>
      </c>
      <c r="N475" s="3" t="str">
        <f>VLOOKUP(Table2[[#This Row],[Tulu/kulu liik2]],Table5[[Tulu/kulu liik]:[Kontode koondnimetus]],4,FALSE)</f>
        <v>Muud tegevuskulud</v>
      </c>
      <c r="O475" s="34" t="str">
        <f>VLOOKUP(Table2[[#This Row],[Tulu/kulu liik2]],Table5[],6,FALSE)</f>
        <v>Majandamiskulud</v>
      </c>
      <c r="P475" s="3" t="str">
        <f>VLOOKUP(Table2[[#This Row],[Tulu/kulu liik2]],Table5[],5,FALSE)</f>
        <v>Põhitegevuse kulu</v>
      </c>
    </row>
    <row r="476" spans="1:16" hidden="1" x14ac:dyDescent="0.25">
      <c r="A476" t="str">
        <f t="shared" si="14"/>
        <v>08</v>
      </c>
      <c r="B476" t="s">
        <v>301</v>
      </c>
      <c r="C476" s="3" t="str">
        <f>VLOOKUP(Table2[[#This Row],[Tegevusala]],Table4[],2,FALSE)</f>
        <v xml:space="preserve"> Pajusti klubi</v>
      </c>
      <c r="D476" s="3" t="str">
        <f>VLOOKUP(Table2[[#This Row],[Tegevusala]],Table4[[Tegevusala kood]:[Tegevusala alanimetus]],4,FALSE)</f>
        <v>Rahvakultuur</v>
      </c>
      <c r="E476" s="3" t="str">
        <f>VLOOKUP(Table2[[#This Row],[Tegevusala nimetus2]],Table4[[Tegevusala nimetus]:[Tegevusala koondnimetus]],2,FALSE)</f>
        <v>Vabaaeg, kultuur ja religioon</v>
      </c>
      <c r="F476" t="s">
        <v>1823</v>
      </c>
      <c r="G476" t="s">
        <v>775</v>
      </c>
      <c r="H476" s="40">
        <v>560.04999999999995</v>
      </c>
      <c r="J476">
        <v>5500</v>
      </c>
      <c r="K476" s="3" t="str">
        <f>VLOOKUP(Table2[[#This Row],[Konto]],Table5[[Konto]:[Konto nimetus]],2,FALSE)</f>
        <v>Administreerimiskulud</v>
      </c>
      <c r="L476">
        <v>55</v>
      </c>
      <c r="M476" t="str">
        <f t="shared" si="15"/>
        <v>55</v>
      </c>
      <c r="N476" s="3" t="str">
        <f>VLOOKUP(Table2[[#This Row],[Tulu/kulu liik2]],Table5[[Tulu/kulu liik]:[Kontode koondnimetus]],4,FALSE)</f>
        <v>Muud tegevuskulud</v>
      </c>
      <c r="O476" s="34" t="str">
        <f>VLOOKUP(Table2[[#This Row],[Tulu/kulu liik2]],Table5[],6,FALSE)</f>
        <v>Majandamiskulud</v>
      </c>
      <c r="P476" s="3" t="str">
        <f>VLOOKUP(Table2[[#This Row],[Tulu/kulu liik2]],Table5[],5,FALSE)</f>
        <v>Põhitegevuse kulu</v>
      </c>
    </row>
    <row r="477" spans="1:16" hidden="1" x14ac:dyDescent="0.25">
      <c r="A477" t="str">
        <f t="shared" si="14"/>
        <v>08</v>
      </c>
      <c r="B477" t="s">
        <v>301</v>
      </c>
      <c r="C477" s="3" t="str">
        <f>VLOOKUP(Table2[[#This Row],[Tegevusala]],Table4[],2,FALSE)</f>
        <v xml:space="preserve"> Pajusti klubi</v>
      </c>
      <c r="D477" s="3" t="str">
        <f>VLOOKUP(Table2[[#This Row],[Tegevusala]],Table4[[Tegevusala kood]:[Tegevusala alanimetus]],4,FALSE)</f>
        <v>Rahvakultuur</v>
      </c>
      <c r="E477" s="3" t="str">
        <f>VLOOKUP(Table2[[#This Row],[Tegevusala nimetus2]],Table4[[Tegevusala nimetus]:[Tegevusala koondnimetus]],2,FALSE)</f>
        <v>Vabaaeg, kultuur ja religioon</v>
      </c>
      <c r="F477" t="s">
        <v>1823</v>
      </c>
      <c r="G477" t="s">
        <v>1499</v>
      </c>
      <c r="H477" s="40">
        <v>300</v>
      </c>
      <c r="J477">
        <v>5500</v>
      </c>
      <c r="K477" s="3" t="str">
        <f>VLOOKUP(Table2[[#This Row],[Konto]],Table5[[Konto]:[Konto nimetus]],2,FALSE)</f>
        <v>Administreerimiskulud</v>
      </c>
      <c r="L477">
        <v>55</v>
      </c>
      <c r="M477" t="str">
        <f t="shared" si="15"/>
        <v>55</v>
      </c>
      <c r="N477" s="3" t="str">
        <f>VLOOKUP(Table2[[#This Row],[Tulu/kulu liik2]],Table5[[Tulu/kulu liik]:[Kontode koondnimetus]],4,FALSE)</f>
        <v>Muud tegevuskulud</v>
      </c>
      <c r="O477" s="34" t="str">
        <f>VLOOKUP(Table2[[#This Row],[Tulu/kulu liik2]],Table5[],6,FALSE)</f>
        <v>Majandamiskulud</v>
      </c>
      <c r="P477" s="3" t="str">
        <f>VLOOKUP(Table2[[#This Row],[Tulu/kulu liik2]],Table5[],5,FALSE)</f>
        <v>Põhitegevuse kulu</v>
      </c>
    </row>
    <row r="478" spans="1:16" hidden="1" x14ac:dyDescent="0.25">
      <c r="A478" t="str">
        <f t="shared" si="14"/>
        <v>08</v>
      </c>
      <c r="B478" t="s">
        <v>301</v>
      </c>
      <c r="C478" s="3" t="str">
        <f>VLOOKUP(Table2[[#This Row],[Tegevusala]],Table4[],2,FALSE)</f>
        <v xml:space="preserve"> Pajusti klubi</v>
      </c>
      <c r="D478" s="3" t="str">
        <f>VLOOKUP(Table2[[#This Row],[Tegevusala]],Table4[[Tegevusala kood]:[Tegevusala alanimetus]],4,FALSE)</f>
        <v>Rahvakultuur</v>
      </c>
      <c r="E478" s="3" t="str">
        <f>VLOOKUP(Table2[[#This Row],[Tegevusala nimetus2]],Table4[[Tegevusala nimetus]:[Tegevusala koondnimetus]],2,FALSE)</f>
        <v>Vabaaeg, kultuur ja religioon</v>
      </c>
      <c r="F478" t="s">
        <v>1823</v>
      </c>
      <c r="G478" t="s">
        <v>2131</v>
      </c>
      <c r="H478" s="40">
        <v>270</v>
      </c>
      <c r="J478">
        <v>5525</v>
      </c>
      <c r="K478" s="3" t="str">
        <f>VLOOKUP(Table2[[#This Row],[Konto]],Table5[[Konto]:[Konto nimetus]],2,FALSE)</f>
        <v>Kommunikatsiooni-, kultuuri- ja vaba aja sisustamise kulud</v>
      </c>
      <c r="L478">
        <v>55</v>
      </c>
      <c r="M478" t="str">
        <f t="shared" si="15"/>
        <v>55</v>
      </c>
      <c r="N478" s="3" t="str">
        <f>VLOOKUP(Table2[[#This Row],[Tulu/kulu liik2]],Table5[[Tulu/kulu liik]:[Kontode koondnimetus]],4,FALSE)</f>
        <v>Muud tegevuskulud</v>
      </c>
      <c r="O478" s="34" t="str">
        <f>VLOOKUP(Table2[[#This Row],[Tulu/kulu liik2]],Table5[],6,FALSE)</f>
        <v>Majandamiskulud</v>
      </c>
      <c r="P478" s="3" t="str">
        <f>VLOOKUP(Table2[[#This Row],[Tulu/kulu liik2]],Table5[],5,FALSE)</f>
        <v>Põhitegevuse kulu</v>
      </c>
    </row>
    <row r="479" spans="1:16" hidden="1" x14ac:dyDescent="0.25">
      <c r="A479" t="str">
        <f t="shared" si="14"/>
        <v>08</v>
      </c>
      <c r="B479" t="s">
        <v>301</v>
      </c>
      <c r="C479" s="3" t="str">
        <f>VLOOKUP(Table2[[#This Row],[Tegevusala]],Table4[],2,FALSE)</f>
        <v xml:space="preserve"> Pajusti klubi</v>
      </c>
      <c r="D479" s="3" t="str">
        <f>VLOOKUP(Table2[[#This Row],[Tegevusala]],Table4[[Tegevusala kood]:[Tegevusala alanimetus]],4,FALSE)</f>
        <v>Rahvakultuur</v>
      </c>
      <c r="E479" s="3" t="str">
        <f>VLOOKUP(Table2[[#This Row],[Tegevusala nimetus2]],Table4[[Tegevusala nimetus]:[Tegevusala koondnimetus]],2,FALSE)</f>
        <v>Vabaaeg, kultuur ja religioon</v>
      </c>
      <c r="F479" t="s">
        <v>1823</v>
      </c>
      <c r="G479" t="s">
        <v>2132</v>
      </c>
      <c r="H479" s="40">
        <v>270</v>
      </c>
      <c r="J479">
        <v>5525</v>
      </c>
      <c r="K479" s="3" t="str">
        <f>VLOOKUP(Table2[[#This Row],[Konto]],Table5[[Konto]:[Konto nimetus]],2,FALSE)</f>
        <v>Kommunikatsiooni-, kultuuri- ja vaba aja sisustamise kulud</v>
      </c>
      <c r="L479">
        <v>55</v>
      </c>
      <c r="M479" t="str">
        <f t="shared" si="15"/>
        <v>55</v>
      </c>
      <c r="N479" s="3" t="str">
        <f>VLOOKUP(Table2[[#This Row],[Tulu/kulu liik2]],Table5[[Tulu/kulu liik]:[Kontode koondnimetus]],4,FALSE)</f>
        <v>Muud tegevuskulud</v>
      </c>
      <c r="O479" s="34" t="str">
        <f>VLOOKUP(Table2[[#This Row],[Tulu/kulu liik2]],Table5[],6,FALSE)</f>
        <v>Majandamiskulud</v>
      </c>
      <c r="P479" s="3" t="str">
        <f>VLOOKUP(Table2[[#This Row],[Tulu/kulu liik2]],Table5[],5,FALSE)</f>
        <v>Põhitegevuse kulu</v>
      </c>
    </row>
    <row r="480" spans="1:16" hidden="1" x14ac:dyDescent="0.25">
      <c r="A480" t="str">
        <f t="shared" si="14"/>
        <v>08</v>
      </c>
      <c r="B480" t="s">
        <v>303</v>
      </c>
      <c r="C480" s="3" t="str">
        <f>VLOOKUP(Table2[[#This Row],[Tegevusala]],Table4[],2,FALSE)</f>
        <v xml:space="preserve"> Roela Rahvamaja</v>
      </c>
      <c r="D480" s="3" t="str">
        <f>VLOOKUP(Table2[[#This Row],[Tegevusala]],Table4[[Tegevusala kood]:[Tegevusala alanimetus]],4,FALSE)</f>
        <v>Rahvakultuur</v>
      </c>
      <c r="E480" s="3" t="str">
        <f>VLOOKUP(Table2[[#This Row],[Tegevusala nimetus2]],Table4[[Tegevusala nimetus]:[Tegevusala koondnimetus]],2,FALSE)</f>
        <v>Vabaaeg, kultuur ja religioon</v>
      </c>
      <c r="F480" t="s">
        <v>1766</v>
      </c>
      <c r="G480" t="s">
        <v>177</v>
      </c>
      <c r="H480" s="40">
        <v>16000</v>
      </c>
      <c r="I480" s="2" t="s">
        <v>1787</v>
      </c>
      <c r="J480">
        <v>5511</v>
      </c>
      <c r="K480" s="3" t="str">
        <f>VLOOKUP(Table2[[#This Row],[Konto]],Table5[[Konto]:[Konto nimetus]],2,FALSE)</f>
        <v>Kinnistute, hoonete ja ruumide majandamiskulud</v>
      </c>
      <c r="L480">
        <v>55</v>
      </c>
      <c r="M480" t="str">
        <f t="shared" si="15"/>
        <v>55</v>
      </c>
      <c r="N480" s="3" t="str">
        <f>VLOOKUP(Table2[[#This Row],[Tulu/kulu liik2]],Table5[[Tulu/kulu liik]:[Kontode koondnimetus]],4,FALSE)</f>
        <v>Muud tegevuskulud</v>
      </c>
      <c r="O480" s="3" t="str">
        <f>VLOOKUP(Table2[[#This Row],[Tulu/kulu liik2]],Table5[],6,FALSE)</f>
        <v>Majandamiskulud</v>
      </c>
      <c r="P480" s="3" t="str">
        <f>VLOOKUP(Table2[[#This Row],[Tulu/kulu liik2]],Table5[],5,FALSE)</f>
        <v>Põhitegevuse kulu</v>
      </c>
    </row>
    <row r="481" spans="1:16" hidden="1" x14ac:dyDescent="0.25">
      <c r="A481" t="str">
        <f t="shared" si="14"/>
        <v>08</v>
      </c>
      <c r="B481" t="s">
        <v>303</v>
      </c>
      <c r="C481" s="3" t="str">
        <f>VLOOKUP(Table2[[#This Row],[Tegevusala]],Table4[],2,FALSE)</f>
        <v xml:space="preserve"> Roela Rahvamaja</v>
      </c>
      <c r="D481" s="3" t="str">
        <f>VLOOKUP(Table2[[#This Row],[Tegevusala]],Table4[[Tegevusala kood]:[Tegevusala alanimetus]],4,FALSE)</f>
        <v>Rahvakultuur</v>
      </c>
      <c r="E481" s="3" t="str">
        <f>VLOOKUP(Table2[[#This Row],[Tegevusala nimetus2]],Table4[[Tegevusala nimetus]:[Tegevusala koondnimetus]],2,FALSE)</f>
        <v>Vabaaeg, kultuur ja religioon</v>
      </c>
      <c r="F481" t="s">
        <v>1766</v>
      </c>
      <c r="G481" t="s">
        <v>178</v>
      </c>
      <c r="H481" s="40">
        <v>4800</v>
      </c>
      <c r="I481" s="2" t="s">
        <v>1788</v>
      </c>
      <c r="J481">
        <v>5511</v>
      </c>
      <c r="K481" s="3" t="str">
        <f>VLOOKUP(Table2[[#This Row],[Konto]],Table5[[Konto]:[Konto nimetus]],2,FALSE)</f>
        <v>Kinnistute, hoonete ja ruumide majandamiskulud</v>
      </c>
      <c r="L481">
        <v>55</v>
      </c>
      <c r="M481" t="str">
        <f t="shared" si="15"/>
        <v>55</v>
      </c>
      <c r="N481" s="3" t="str">
        <f>VLOOKUP(Table2[[#This Row],[Tulu/kulu liik2]],Table5[[Tulu/kulu liik]:[Kontode koondnimetus]],4,FALSE)</f>
        <v>Muud tegevuskulud</v>
      </c>
      <c r="O481" s="3" t="str">
        <f>VLOOKUP(Table2[[#This Row],[Tulu/kulu liik2]],Table5[],6,FALSE)</f>
        <v>Majandamiskulud</v>
      </c>
      <c r="P481" s="3" t="str">
        <f>VLOOKUP(Table2[[#This Row],[Tulu/kulu liik2]],Table5[],5,FALSE)</f>
        <v>Põhitegevuse kulu</v>
      </c>
    </row>
    <row r="482" spans="1:16" hidden="1" x14ac:dyDescent="0.25">
      <c r="A482" t="str">
        <f t="shared" si="14"/>
        <v>08</v>
      </c>
      <c r="B482" t="s">
        <v>303</v>
      </c>
      <c r="C482" s="3" t="str">
        <f>VLOOKUP(Table2[[#This Row],[Tegevusala]],Table4[],2,FALSE)</f>
        <v xml:space="preserve"> Roela Rahvamaja</v>
      </c>
      <c r="D482" s="3" t="str">
        <f>VLOOKUP(Table2[[#This Row],[Tegevusala]],Table4[[Tegevusala kood]:[Tegevusala alanimetus]],4,FALSE)</f>
        <v>Rahvakultuur</v>
      </c>
      <c r="E482" s="3" t="str">
        <f>VLOOKUP(Table2[[#This Row],[Tegevusala nimetus2]],Table4[[Tegevusala nimetus]:[Tegevusala koondnimetus]],2,FALSE)</f>
        <v>Vabaaeg, kultuur ja religioon</v>
      </c>
      <c r="F482" t="s">
        <v>1766</v>
      </c>
      <c r="G482" t="s">
        <v>425</v>
      </c>
      <c r="H482" s="40">
        <v>2575</v>
      </c>
      <c r="I482" s="2" t="s">
        <v>1789</v>
      </c>
      <c r="J482">
        <v>5511</v>
      </c>
      <c r="K482" s="3" t="str">
        <f>VLOOKUP(Table2[[#This Row],[Konto]],Table5[[Konto]:[Konto nimetus]],2,FALSE)</f>
        <v>Kinnistute, hoonete ja ruumide majandamiskulud</v>
      </c>
      <c r="L482">
        <v>55</v>
      </c>
      <c r="M482" t="str">
        <f t="shared" si="15"/>
        <v>55</v>
      </c>
      <c r="N482" s="3" t="str">
        <f>VLOOKUP(Table2[[#This Row],[Tulu/kulu liik2]],Table5[[Tulu/kulu liik]:[Kontode koondnimetus]],4,FALSE)</f>
        <v>Muud tegevuskulud</v>
      </c>
      <c r="O482" s="3" t="str">
        <f>VLOOKUP(Table2[[#This Row],[Tulu/kulu liik2]],Table5[],6,FALSE)</f>
        <v>Majandamiskulud</v>
      </c>
      <c r="P482" s="3" t="str">
        <f>VLOOKUP(Table2[[#This Row],[Tulu/kulu liik2]],Table5[],5,FALSE)</f>
        <v>Põhitegevuse kulu</v>
      </c>
    </row>
    <row r="483" spans="1:16" hidden="1" x14ac:dyDescent="0.25">
      <c r="A483" t="str">
        <f t="shared" si="14"/>
        <v>08</v>
      </c>
      <c r="B483" t="s">
        <v>303</v>
      </c>
      <c r="C483" s="3" t="str">
        <f>VLOOKUP(Table2[[#This Row],[Tegevusala]],Table4[],2,FALSE)</f>
        <v xml:space="preserve"> Roela Rahvamaja</v>
      </c>
      <c r="D483" s="3" t="str">
        <f>VLOOKUP(Table2[[#This Row],[Tegevusala]],Table4[[Tegevusala kood]:[Tegevusala alanimetus]],4,FALSE)</f>
        <v>Rahvakultuur</v>
      </c>
      <c r="E483" s="3" t="str">
        <f>VLOOKUP(Table2[[#This Row],[Tegevusala nimetus2]],Table4[[Tegevusala nimetus]:[Tegevusala koondnimetus]],2,FALSE)</f>
        <v>Vabaaeg, kultuur ja religioon</v>
      </c>
      <c r="F483" t="s">
        <v>1766</v>
      </c>
      <c r="G483" t="s">
        <v>1268</v>
      </c>
      <c r="H483" s="40">
        <v>460</v>
      </c>
      <c r="I483" s="2" t="s">
        <v>1790</v>
      </c>
      <c r="J483">
        <v>5511</v>
      </c>
      <c r="K483" s="3" t="str">
        <f>VLOOKUP(Table2[[#This Row],[Konto]],Table5[[Konto]:[Konto nimetus]],2,FALSE)</f>
        <v>Kinnistute, hoonete ja ruumide majandamiskulud</v>
      </c>
      <c r="L483">
        <v>55</v>
      </c>
      <c r="M483" t="str">
        <f t="shared" si="15"/>
        <v>55</v>
      </c>
      <c r="N483" s="3" t="str">
        <f>VLOOKUP(Table2[[#This Row],[Tulu/kulu liik2]],Table5[[Tulu/kulu liik]:[Kontode koondnimetus]],4,FALSE)</f>
        <v>Muud tegevuskulud</v>
      </c>
      <c r="O483" s="3" t="str">
        <f>VLOOKUP(Table2[[#This Row],[Tulu/kulu liik2]],Table5[],6,FALSE)</f>
        <v>Majandamiskulud</v>
      </c>
      <c r="P483" s="3" t="str">
        <f>VLOOKUP(Table2[[#This Row],[Tulu/kulu liik2]],Table5[],5,FALSE)</f>
        <v>Põhitegevuse kulu</v>
      </c>
    </row>
    <row r="484" spans="1:16" hidden="1" x14ac:dyDescent="0.25">
      <c r="A484" t="str">
        <f t="shared" si="14"/>
        <v>08</v>
      </c>
      <c r="B484" t="s">
        <v>303</v>
      </c>
      <c r="C484" s="3" t="str">
        <f>VLOOKUP(Table2[[#This Row],[Tegevusala]],Table4[],2,FALSE)</f>
        <v xml:space="preserve"> Roela Rahvamaja</v>
      </c>
      <c r="D484" s="3" t="str">
        <f>VLOOKUP(Table2[[#This Row],[Tegevusala]],Table4[[Tegevusala kood]:[Tegevusala alanimetus]],4,FALSE)</f>
        <v>Rahvakultuur</v>
      </c>
      <c r="E484" s="3" t="str">
        <f>VLOOKUP(Table2[[#This Row],[Tegevusala nimetus2]],Table4[[Tegevusala nimetus]:[Tegevusala koondnimetus]],2,FALSE)</f>
        <v>Vabaaeg, kultuur ja religioon</v>
      </c>
      <c r="F484" t="s">
        <v>1766</v>
      </c>
      <c r="G484" t="s">
        <v>194</v>
      </c>
      <c r="H484" s="40">
        <v>360</v>
      </c>
      <c r="I484" s="2" t="s">
        <v>1791</v>
      </c>
      <c r="J484">
        <v>5511</v>
      </c>
      <c r="K484" s="3" t="str">
        <f>VLOOKUP(Table2[[#This Row],[Konto]],Table5[[Konto]:[Konto nimetus]],2,FALSE)</f>
        <v>Kinnistute, hoonete ja ruumide majandamiskulud</v>
      </c>
      <c r="L484">
        <v>55</v>
      </c>
      <c r="M484" t="str">
        <f t="shared" si="15"/>
        <v>55</v>
      </c>
      <c r="N484" s="3" t="str">
        <f>VLOOKUP(Table2[[#This Row],[Tulu/kulu liik2]],Table5[[Tulu/kulu liik]:[Kontode koondnimetus]],4,FALSE)</f>
        <v>Muud tegevuskulud</v>
      </c>
      <c r="O484" s="3" t="str">
        <f>VLOOKUP(Table2[[#This Row],[Tulu/kulu liik2]],Table5[],6,FALSE)</f>
        <v>Majandamiskulud</v>
      </c>
      <c r="P484" s="3" t="str">
        <f>VLOOKUP(Table2[[#This Row],[Tulu/kulu liik2]],Table5[],5,FALSE)</f>
        <v>Põhitegevuse kulu</v>
      </c>
    </row>
    <row r="485" spans="1:16" hidden="1" x14ac:dyDescent="0.25">
      <c r="A485" t="str">
        <f t="shared" si="14"/>
        <v>08</v>
      </c>
      <c r="B485" t="s">
        <v>303</v>
      </c>
      <c r="C485" s="3" t="str">
        <f>VLOOKUP(Table2[[#This Row],[Tegevusala]],Table4[],2,FALSE)</f>
        <v xml:space="preserve"> Roela Rahvamaja</v>
      </c>
      <c r="D485" s="3" t="str">
        <f>VLOOKUP(Table2[[#This Row],[Tegevusala]],Table4[[Tegevusala kood]:[Tegevusala alanimetus]],4,FALSE)</f>
        <v>Rahvakultuur</v>
      </c>
      <c r="E485" s="3" t="str">
        <f>VLOOKUP(Table2[[#This Row],[Tegevusala nimetus2]],Table4[[Tegevusala nimetus]:[Tegevusala koondnimetus]],2,FALSE)</f>
        <v>Vabaaeg, kultuur ja religioon</v>
      </c>
      <c r="F485" t="s">
        <v>1766</v>
      </c>
      <c r="G485" t="s">
        <v>1792</v>
      </c>
      <c r="H485" s="40">
        <v>400</v>
      </c>
      <c r="I485" s="2" t="s">
        <v>1793</v>
      </c>
      <c r="J485">
        <v>5511</v>
      </c>
      <c r="K485" s="3" t="str">
        <f>VLOOKUP(Table2[[#This Row],[Konto]],Table5[[Konto]:[Konto nimetus]],2,FALSE)</f>
        <v>Kinnistute, hoonete ja ruumide majandamiskulud</v>
      </c>
      <c r="L485">
        <v>55</v>
      </c>
      <c r="M485" t="str">
        <f t="shared" si="15"/>
        <v>55</v>
      </c>
      <c r="N485" s="3" t="str">
        <f>VLOOKUP(Table2[[#This Row],[Tulu/kulu liik2]],Table5[[Tulu/kulu liik]:[Kontode koondnimetus]],4,FALSE)</f>
        <v>Muud tegevuskulud</v>
      </c>
      <c r="O485" s="3" t="str">
        <f>VLOOKUP(Table2[[#This Row],[Tulu/kulu liik2]],Table5[],6,FALSE)</f>
        <v>Majandamiskulud</v>
      </c>
      <c r="P485" s="3" t="str">
        <f>VLOOKUP(Table2[[#This Row],[Tulu/kulu liik2]],Table5[],5,FALSE)</f>
        <v>Põhitegevuse kulu</v>
      </c>
    </row>
    <row r="486" spans="1:16" hidden="1" x14ac:dyDescent="0.25">
      <c r="A486" t="str">
        <f t="shared" si="14"/>
        <v>08</v>
      </c>
      <c r="B486" t="s">
        <v>303</v>
      </c>
      <c r="C486" s="3" t="str">
        <f>VLOOKUP(Table2[[#This Row],[Tegevusala]],Table4[],2,FALSE)</f>
        <v xml:space="preserve"> Roela Rahvamaja</v>
      </c>
      <c r="D486" s="3" t="str">
        <f>VLOOKUP(Table2[[#This Row],[Tegevusala]],Table4[[Tegevusala kood]:[Tegevusala alanimetus]],4,FALSE)</f>
        <v>Rahvakultuur</v>
      </c>
      <c r="E486" s="3" t="str">
        <f>VLOOKUP(Table2[[#This Row],[Tegevusala nimetus2]],Table4[[Tegevusala nimetus]:[Tegevusala koondnimetus]],2,FALSE)</f>
        <v>Vabaaeg, kultuur ja religioon</v>
      </c>
      <c r="F486" t="s">
        <v>1766</v>
      </c>
      <c r="G486" t="s">
        <v>1794</v>
      </c>
      <c r="H486" s="40">
        <v>100</v>
      </c>
      <c r="I486" s="2" t="s">
        <v>1795</v>
      </c>
      <c r="J486">
        <v>5511</v>
      </c>
      <c r="K486" s="3" t="str">
        <f>VLOOKUP(Table2[[#This Row],[Konto]],Table5[[Konto]:[Konto nimetus]],2,FALSE)</f>
        <v>Kinnistute, hoonete ja ruumide majandamiskulud</v>
      </c>
      <c r="L486">
        <v>55</v>
      </c>
      <c r="M486" t="str">
        <f t="shared" si="15"/>
        <v>55</v>
      </c>
      <c r="N486" s="3" t="str">
        <f>VLOOKUP(Table2[[#This Row],[Tulu/kulu liik2]],Table5[[Tulu/kulu liik]:[Kontode koondnimetus]],4,FALSE)</f>
        <v>Muud tegevuskulud</v>
      </c>
      <c r="O486" s="3" t="str">
        <f>VLOOKUP(Table2[[#This Row],[Tulu/kulu liik2]],Table5[],6,FALSE)</f>
        <v>Majandamiskulud</v>
      </c>
      <c r="P486" s="3" t="str">
        <f>VLOOKUP(Table2[[#This Row],[Tulu/kulu liik2]],Table5[],5,FALSE)</f>
        <v>Põhitegevuse kulu</v>
      </c>
    </row>
    <row r="487" spans="1:16" hidden="1" x14ac:dyDescent="0.25">
      <c r="A487" t="str">
        <f t="shared" si="14"/>
        <v>08</v>
      </c>
      <c r="B487" t="s">
        <v>303</v>
      </c>
      <c r="C487" s="3" t="str">
        <f>VLOOKUP(Table2[[#This Row],[Tegevusala]],Table4[],2,FALSE)</f>
        <v xml:space="preserve"> Roela Rahvamaja</v>
      </c>
      <c r="D487" s="3" t="str">
        <f>VLOOKUP(Table2[[#This Row],[Tegevusala]],Table4[[Tegevusala kood]:[Tegevusala alanimetus]],4,FALSE)</f>
        <v>Rahvakultuur</v>
      </c>
      <c r="E487" s="3" t="str">
        <f>VLOOKUP(Table2[[#This Row],[Tegevusala nimetus2]],Table4[[Tegevusala nimetus]:[Tegevusala koondnimetus]],2,FALSE)</f>
        <v>Vabaaeg, kultuur ja religioon</v>
      </c>
      <c r="F487" t="s">
        <v>1766</v>
      </c>
      <c r="G487" t="s">
        <v>1468</v>
      </c>
      <c r="H487" s="40">
        <v>220</v>
      </c>
      <c r="I487" s="2" t="s">
        <v>1796</v>
      </c>
      <c r="J487">
        <v>5511</v>
      </c>
      <c r="K487" s="3" t="str">
        <f>VLOOKUP(Table2[[#This Row],[Konto]],Table5[[Konto]:[Konto nimetus]],2,FALSE)</f>
        <v>Kinnistute, hoonete ja ruumide majandamiskulud</v>
      </c>
      <c r="L487">
        <v>55</v>
      </c>
      <c r="M487" t="str">
        <f t="shared" si="15"/>
        <v>55</v>
      </c>
      <c r="N487" s="3" t="str">
        <f>VLOOKUP(Table2[[#This Row],[Tulu/kulu liik2]],Table5[[Tulu/kulu liik]:[Kontode koondnimetus]],4,FALSE)</f>
        <v>Muud tegevuskulud</v>
      </c>
      <c r="O487" s="3" t="str">
        <f>VLOOKUP(Table2[[#This Row],[Tulu/kulu liik2]],Table5[],6,FALSE)</f>
        <v>Majandamiskulud</v>
      </c>
      <c r="P487" s="3" t="str">
        <f>VLOOKUP(Table2[[#This Row],[Tulu/kulu liik2]],Table5[],5,FALSE)</f>
        <v>Põhitegevuse kulu</v>
      </c>
    </row>
    <row r="488" spans="1:16" hidden="1" x14ac:dyDescent="0.25">
      <c r="A488" t="str">
        <f t="shared" si="14"/>
        <v>08</v>
      </c>
      <c r="B488" t="s">
        <v>303</v>
      </c>
      <c r="C488" s="3" t="str">
        <f>VLOOKUP(Table2[[#This Row],[Tegevusala]],Table4[],2,FALSE)</f>
        <v xml:space="preserve"> Roela Rahvamaja</v>
      </c>
      <c r="D488" s="3" t="str">
        <f>VLOOKUP(Table2[[#This Row],[Tegevusala]],Table4[[Tegevusala kood]:[Tegevusala alanimetus]],4,FALSE)</f>
        <v>Rahvakultuur</v>
      </c>
      <c r="E488" s="3" t="str">
        <f>VLOOKUP(Table2[[#This Row],[Tegevusala nimetus2]],Table4[[Tegevusala nimetus]:[Tegevusala koondnimetus]],2,FALSE)</f>
        <v>Vabaaeg, kultuur ja religioon</v>
      </c>
      <c r="F488" t="s">
        <v>1766</v>
      </c>
      <c r="G488" t="s">
        <v>1780</v>
      </c>
      <c r="H488" s="40">
        <v>730</v>
      </c>
      <c r="I488" s="2" t="s">
        <v>1781</v>
      </c>
      <c r="J488">
        <v>5500</v>
      </c>
      <c r="K488" s="3" t="str">
        <f>VLOOKUP(Table2[[#This Row],[Konto]],Table5[[Konto]:[Konto nimetus]],2,FALSE)</f>
        <v>Administreerimiskulud</v>
      </c>
      <c r="L488">
        <v>55</v>
      </c>
      <c r="M488" t="str">
        <f t="shared" si="15"/>
        <v>55</v>
      </c>
      <c r="N488" s="3" t="str">
        <f>VLOOKUP(Table2[[#This Row],[Tulu/kulu liik2]],Table5[[Tulu/kulu liik]:[Kontode koondnimetus]],4,FALSE)</f>
        <v>Muud tegevuskulud</v>
      </c>
      <c r="O488" s="3" t="str">
        <f>VLOOKUP(Table2[[#This Row],[Tulu/kulu liik2]],Table5[],6,FALSE)</f>
        <v>Majandamiskulud</v>
      </c>
      <c r="P488" s="3" t="str">
        <f>VLOOKUP(Table2[[#This Row],[Tulu/kulu liik2]],Table5[],5,FALSE)</f>
        <v>Põhitegevuse kulu</v>
      </c>
    </row>
    <row r="489" spans="1:16" hidden="1" x14ac:dyDescent="0.25">
      <c r="A489" t="str">
        <f t="shared" si="14"/>
        <v>08</v>
      </c>
      <c r="B489" t="s">
        <v>303</v>
      </c>
      <c r="C489" s="3" t="str">
        <f>VLOOKUP(Table2[[#This Row],[Tegevusala]],Table4[],2,FALSE)</f>
        <v xml:space="preserve"> Roela Rahvamaja</v>
      </c>
      <c r="D489" s="3" t="str">
        <f>VLOOKUP(Table2[[#This Row],[Tegevusala]],Table4[[Tegevusala kood]:[Tegevusala alanimetus]],4,FALSE)</f>
        <v>Rahvakultuur</v>
      </c>
      <c r="E489" s="3" t="str">
        <f>VLOOKUP(Table2[[#This Row],[Tegevusala nimetus2]],Table4[[Tegevusala nimetus]:[Tegevusala koondnimetus]],2,FALSE)</f>
        <v>Vabaaeg, kultuur ja religioon</v>
      </c>
      <c r="F489" t="s">
        <v>1766</v>
      </c>
      <c r="G489" t="s">
        <v>1782</v>
      </c>
      <c r="H489" s="40">
        <v>120</v>
      </c>
      <c r="I489" s="3">
        <v>5273878</v>
      </c>
      <c r="J489">
        <v>5500</v>
      </c>
      <c r="K489" s="3" t="str">
        <f>VLOOKUP(Table2[[#This Row],[Konto]],Table5[[Konto]:[Konto nimetus]],2,FALSE)</f>
        <v>Administreerimiskulud</v>
      </c>
      <c r="L489">
        <v>55</v>
      </c>
      <c r="M489" t="str">
        <f t="shared" si="15"/>
        <v>55</v>
      </c>
      <c r="N489" s="3" t="str">
        <f>VLOOKUP(Table2[[#This Row],[Tulu/kulu liik2]],Table5[[Tulu/kulu liik]:[Kontode koondnimetus]],4,FALSE)</f>
        <v>Muud tegevuskulud</v>
      </c>
      <c r="O489" s="3" t="str">
        <f>VLOOKUP(Table2[[#This Row],[Tulu/kulu liik2]],Table5[],6,FALSE)</f>
        <v>Majandamiskulud</v>
      </c>
      <c r="P489" s="3" t="str">
        <f>VLOOKUP(Table2[[#This Row],[Tulu/kulu liik2]],Table5[],5,FALSE)</f>
        <v>Põhitegevuse kulu</v>
      </c>
    </row>
    <row r="490" spans="1:16" hidden="1" x14ac:dyDescent="0.25">
      <c r="A490" t="str">
        <f t="shared" si="14"/>
        <v>08</v>
      </c>
      <c r="B490" t="s">
        <v>303</v>
      </c>
      <c r="C490" s="3" t="str">
        <f>VLOOKUP(Table2[[#This Row],[Tegevusala]],Table4[],2,FALSE)</f>
        <v xml:space="preserve"> Roela Rahvamaja</v>
      </c>
      <c r="D490" s="3" t="str">
        <f>VLOOKUP(Table2[[#This Row],[Tegevusala]],Table4[[Tegevusala kood]:[Tegevusala alanimetus]],4,FALSE)</f>
        <v>Rahvakultuur</v>
      </c>
      <c r="E490" s="3" t="str">
        <f>VLOOKUP(Table2[[#This Row],[Tegevusala nimetus2]],Table4[[Tegevusala nimetus]:[Tegevusala koondnimetus]],2,FALSE)</f>
        <v>Vabaaeg, kultuur ja religioon</v>
      </c>
      <c r="F490" t="s">
        <v>1766</v>
      </c>
      <c r="G490" t="s">
        <v>169</v>
      </c>
      <c r="H490" s="40">
        <v>110</v>
      </c>
      <c r="I490" s="2" t="s">
        <v>1783</v>
      </c>
      <c r="J490">
        <v>5500</v>
      </c>
      <c r="K490" s="3" t="str">
        <f>VLOOKUP(Table2[[#This Row],[Konto]],Table5[[Konto]:[Konto nimetus]],2,FALSE)</f>
        <v>Administreerimiskulud</v>
      </c>
      <c r="L490">
        <v>55</v>
      </c>
      <c r="M490" t="str">
        <f t="shared" si="15"/>
        <v>55</v>
      </c>
      <c r="N490" s="3" t="str">
        <f>VLOOKUP(Table2[[#This Row],[Tulu/kulu liik2]],Table5[[Tulu/kulu liik]:[Kontode koondnimetus]],4,FALSE)</f>
        <v>Muud tegevuskulud</v>
      </c>
      <c r="O490" s="3" t="str">
        <f>VLOOKUP(Table2[[#This Row],[Tulu/kulu liik2]],Table5[],6,FALSE)</f>
        <v>Majandamiskulud</v>
      </c>
      <c r="P490" s="3" t="str">
        <f>VLOOKUP(Table2[[#This Row],[Tulu/kulu liik2]],Table5[],5,FALSE)</f>
        <v>Põhitegevuse kulu</v>
      </c>
    </row>
    <row r="491" spans="1:16" hidden="1" x14ac:dyDescent="0.25">
      <c r="A491" t="str">
        <f t="shared" si="14"/>
        <v>08</v>
      </c>
      <c r="B491" t="s">
        <v>303</v>
      </c>
      <c r="C491" s="3" t="str">
        <f>VLOOKUP(Table2[[#This Row],[Tegevusala]],Table4[],2,FALSE)</f>
        <v xml:space="preserve"> Roela Rahvamaja</v>
      </c>
      <c r="D491" s="3" t="str">
        <f>VLOOKUP(Table2[[#This Row],[Tegevusala]],Table4[[Tegevusala kood]:[Tegevusala alanimetus]],4,FALSE)</f>
        <v>Rahvakultuur</v>
      </c>
      <c r="E491" s="3" t="str">
        <f>VLOOKUP(Table2[[#This Row],[Tegevusala nimetus2]],Table4[[Tegevusala nimetus]:[Tegevusala koondnimetus]],2,FALSE)</f>
        <v>Vabaaeg, kultuur ja religioon</v>
      </c>
      <c r="F491" t="s">
        <v>1766</v>
      </c>
      <c r="G491" t="s">
        <v>1784</v>
      </c>
      <c r="H491" s="40">
        <v>190</v>
      </c>
      <c r="I491" s="2" t="s">
        <v>1785</v>
      </c>
      <c r="J491">
        <v>5500</v>
      </c>
      <c r="K491" s="3" t="str">
        <f>VLOOKUP(Table2[[#This Row],[Konto]],Table5[[Konto]:[Konto nimetus]],2,FALSE)</f>
        <v>Administreerimiskulud</v>
      </c>
      <c r="L491">
        <v>55</v>
      </c>
      <c r="M491" t="str">
        <f t="shared" si="15"/>
        <v>55</v>
      </c>
      <c r="N491" s="3" t="str">
        <f>VLOOKUP(Table2[[#This Row],[Tulu/kulu liik2]],Table5[[Tulu/kulu liik]:[Kontode koondnimetus]],4,FALSE)</f>
        <v>Muud tegevuskulud</v>
      </c>
      <c r="O491" s="3" t="str">
        <f>VLOOKUP(Table2[[#This Row],[Tulu/kulu liik2]],Table5[],6,FALSE)</f>
        <v>Majandamiskulud</v>
      </c>
      <c r="P491" s="3" t="str">
        <f>VLOOKUP(Table2[[#This Row],[Tulu/kulu liik2]],Table5[],5,FALSE)</f>
        <v>Põhitegevuse kulu</v>
      </c>
    </row>
    <row r="492" spans="1:16" hidden="1" x14ac:dyDescent="0.25">
      <c r="A492" t="str">
        <f t="shared" si="14"/>
        <v>08</v>
      </c>
      <c r="B492" t="s">
        <v>303</v>
      </c>
      <c r="C492" s="3" t="str">
        <f>VLOOKUP(Table2[[#This Row],[Tegevusala]],Table4[],2,FALSE)</f>
        <v xml:space="preserve"> Roela Rahvamaja</v>
      </c>
      <c r="D492" s="3" t="str">
        <f>VLOOKUP(Table2[[#This Row],[Tegevusala]],Table4[[Tegevusala kood]:[Tegevusala alanimetus]],4,FALSE)</f>
        <v>Rahvakultuur</v>
      </c>
      <c r="E492" s="3" t="str">
        <f>VLOOKUP(Table2[[#This Row],[Tegevusala nimetus2]],Table4[[Tegevusala nimetus]:[Tegevusala koondnimetus]],2,FALSE)</f>
        <v>Vabaaeg, kultuur ja religioon</v>
      </c>
      <c r="F492" t="s">
        <v>1766</v>
      </c>
      <c r="G492" t="s">
        <v>1500</v>
      </c>
      <c r="H492" s="40">
        <v>560</v>
      </c>
      <c r="I492" s="2" t="s">
        <v>1786</v>
      </c>
      <c r="J492">
        <v>5504</v>
      </c>
      <c r="K492" s="3" t="str">
        <f>VLOOKUP(Table2[[#This Row],[Konto]],Table5[[Konto]:[Konto nimetus]],2,FALSE)</f>
        <v>Koolituskulud</v>
      </c>
      <c r="L492">
        <v>55</v>
      </c>
      <c r="M492" t="str">
        <f t="shared" si="15"/>
        <v>55</v>
      </c>
      <c r="N492" s="3" t="str">
        <f>VLOOKUP(Table2[[#This Row],[Tulu/kulu liik2]],Table5[[Tulu/kulu liik]:[Kontode koondnimetus]],4,FALSE)</f>
        <v>Muud tegevuskulud</v>
      </c>
      <c r="O492" s="3" t="str">
        <f>VLOOKUP(Table2[[#This Row],[Tulu/kulu liik2]],Table5[],6,FALSE)</f>
        <v>Majandamiskulud</v>
      </c>
      <c r="P492" s="3" t="str">
        <f>VLOOKUP(Table2[[#This Row],[Tulu/kulu liik2]],Table5[],5,FALSE)</f>
        <v>Põhitegevuse kulu</v>
      </c>
    </row>
    <row r="493" spans="1:16" hidden="1" x14ac:dyDescent="0.25">
      <c r="A493" t="str">
        <f t="shared" si="14"/>
        <v>08</v>
      </c>
      <c r="B493" t="s">
        <v>303</v>
      </c>
      <c r="C493" s="3" t="str">
        <f>VLOOKUP(Table2[[#This Row],[Tegevusala]],Table4[],2,FALSE)</f>
        <v xml:space="preserve"> Roela Rahvamaja</v>
      </c>
      <c r="D493" s="3" t="str">
        <f>VLOOKUP(Table2[[#This Row],[Tegevusala]],Table4[[Tegevusala kood]:[Tegevusala alanimetus]],4,FALSE)</f>
        <v>Rahvakultuur</v>
      </c>
      <c r="E493" s="3" t="str">
        <f>VLOOKUP(Table2[[#This Row],[Tegevusala nimetus2]],Table4[[Tegevusala nimetus]:[Tegevusala koondnimetus]],2,FALSE)</f>
        <v>Vabaaeg, kultuur ja religioon</v>
      </c>
      <c r="F493" t="s">
        <v>1766</v>
      </c>
      <c r="G493" t="s">
        <v>1628</v>
      </c>
      <c r="H493" s="40">
        <v>1536</v>
      </c>
      <c r="I493" s="2" t="s">
        <v>1797</v>
      </c>
      <c r="J493">
        <v>5513</v>
      </c>
      <c r="K493" s="3" t="str">
        <f>VLOOKUP(Table2[[#This Row],[Konto]],Table5[[Konto]:[Konto nimetus]],2,FALSE)</f>
        <v>Sõidukite ülalpidamise kulud</v>
      </c>
      <c r="L493">
        <v>55</v>
      </c>
      <c r="M493" t="str">
        <f t="shared" si="15"/>
        <v>55</v>
      </c>
      <c r="N493" s="3" t="str">
        <f>VLOOKUP(Table2[[#This Row],[Tulu/kulu liik2]],Table5[[Tulu/kulu liik]:[Kontode koondnimetus]],4,FALSE)</f>
        <v>Muud tegevuskulud</v>
      </c>
      <c r="O493" s="3" t="str">
        <f>VLOOKUP(Table2[[#This Row],[Tulu/kulu liik2]],Table5[],6,FALSE)</f>
        <v>Majandamiskulud</v>
      </c>
      <c r="P493" s="3" t="str">
        <f>VLOOKUP(Table2[[#This Row],[Tulu/kulu liik2]],Table5[],5,FALSE)</f>
        <v>Põhitegevuse kulu</v>
      </c>
    </row>
    <row r="494" spans="1:16" hidden="1" x14ac:dyDescent="0.25">
      <c r="A494" t="str">
        <f t="shared" si="14"/>
        <v>08</v>
      </c>
      <c r="B494" t="s">
        <v>303</v>
      </c>
      <c r="C494" s="3" t="str">
        <f>VLOOKUP(Table2[[#This Row],[Tegevusala]],Table4[],2,FALSE)</f>
        <v xml:space="preserve"> Roela Rahvamaja</v>
      </c>
      <c r="D494" s="3" t="str">
        <f>VLOOKUP(Table2[[#This Row],[Tegevusala]],Table4[[Tegevusala kood]:[Tegevusala alanimetus]],4,FALSE)</f>
        <v>Rahvakultuur</v>
      </c>
      <c r="E494" s="3" t="str">
        <f>VLOOKUP(Table2[[#This Row],[Tegevusala nimetus2]],Table4[[Tegevusala nimetus]:[Tegevusala koondnimetus]],2,FALSE)</f>
        <v>Vabaaeg, kultuur ja religioon</v>
      </c>
      <c r="F494" t="s">
        <v>1766</v>
      </c>
      <c r="G494" t="s">
        <v>1770</v>
      </c>
      <c r="H494" s="40">
        <v>400</v>
      </c>
      <c r="I494" s="2" t="s">
        <v>1771</v>
      </c>
      <c r="J494">
        <v>5525</v>
      </c>
      <c r="K494" s="3" t="str">
        <f>VLOOKUP(Table2[[#This Row],[Konto]],Table5[[Konto]:[Konto nimetus]],2,FALSE)</f>
        <v>Kommunikatsiooni-, kultuuri- ja vaba aja sisustamise kulud</v>
      </c>
      <c r="L494">
        <v>55</v>
      </c>
      <c r="M494" t="str">
        <f t="shared" si="15"/>
        <v>55</v>
      </c>
      <c r="N494" s="3" t="str">
        <f>VLOOKUP(Table2[[#This Row],[Tulu/kulu liik2]],Table5[[Tulu/kulu liik]:[Kontode koondnimetus]],4,FALSE)</f>
        <v>Muud tegevuskulud</v>
      </c>
      <c r="O494" s="3" t="str">
        <f>VLOOKUP(Table2[[#This Row],[Tulu/kulu liik2]],Table5[],6,FALSE)</f>
        <v>Majandamiskulud</v>
      </c>
      <c r="P494" s="3" t="str">
        <f>VLOOKUP(Table2[[#This Row],[Tulu/kulu liik2]],Table5[],5,FALSE)</f>
        <v>Põhitegevuse kulu</v>
      </c>
    </row>
    <row r="495" spans="1:16" hidden="1" x14ac:dyDescent="0.25">
      <c r="A495" t="str">
        <f t="shared" si="14"/>
        <v>08</v>
      </c>
      <c r="B495" t="s">
        <v>303</v>
      </c>
      <c r="C495" s="3" t="str">
        <f>VLOOKUP(Table2[[#This Row],[Tegevusala]],Table4[],2,FALSE)</f>
        <v xml:space="preserve"> Roela Rahvamaja</v>
      </c>
      <c r="D495" s="3" t="str">
        <f>VLOOKUP(Table2[[#This Row],[Tegevusala]],Table4[[Tegevusala kood]:[Tegevusala alanimetus]],4,FALSE)</f>
        <v>Rahvakultuur</v>
      </c>
      <c r="E495" s="3" t="str">
        <f>VLOOKUP(Table2[[#This Row],[Tegevusala nimetus2]],Table4[[Tegevusala nimetus]:[Tegevusala koondnimetus]],2,FALSE)</f>
        <v>Vabaaeg, kultuur ja religioon</v>
      </c>
      <c r="F495" t="s">
        <v>1766</v>
      </c>
      <c r="G495" t="s">
        <v>1800</v>
      </c>
      <c r="H495" s="40">
        <v>3200</v>
      </c>
      <c r="J495">
        <v>5515</v>
      </c>
      <c r="K495" s="3" t="str">
        <f>VLOOKUP(Table2[[#This Row],[Konto]],Table5[[Konto]:[Konto nimetus]],2,FALSE)</f>
        <v>Inventari kulud, v.a infotehnoloogia ja kaitseotstarbelised kulud</v>
      </c>
      <c r="L495">
        <v>55</v>
      </c>
      <c r="M495" t="str">
        <f t="shared" si="15"/>
        <v>55</v>
      </c>
      <c r="N495" s="3" t="str">
        <f>VLOOKUP(Table2[[#This Row],[Tulu/kulu liik2]],Table5[[Tulu/kulu liik]:[Kontode koondnimetus]],4,FALSE)</f>
        <v>Muud tegevuskulud</v>
      </c>
      <c r="O495" s="3" t="str">
        <f>VLOOKUP(Table2[[#This Row],[Tulu/kulu liik2]],Table5[],6,FALSE)</f>
        <v>Majandamiskulud</v>
      </c>
      <c r="P495" s="3" t="str">
        <f>VLOOKUP(Table2[[#This Row],[Tulu/kulu liik2]],Table5[],5,FALSE)</f>
        <v>Põhitegevuse kulu</v>
      </c>
    </row>
    <row r="496" spans="1:16" hidden="1" x14ac:dyDescent="0.25">
      <c r="A496" t="str">
        <f t="shared" si="14"/>
        <v>08</v>
      </c>
      <c r="B496" t="s">
        <v>303</v>
      </c>
      <c r="C496" s="3" t="str">
        <f>VLOOKUP(Table2[[#This Row],[Tegevusala]],Table4[],2,FALSE)</f>
        <v xml:space="preserve"> Roela Rahvamaja</v>
      </c>
      <c r="D496" s="3" t="str">
        <f>VLOOKUP(Table2[[#This Row],[Tegevusala]],Table4[[Tegevusala kood]:[Tegevusala alanimetus]],4,FALSE)</f>
        <v>Rahvakultuur</v>
      </c>
      <c r="E496" s="3" t="str">
        <f>VLOOKUP(Table2[[#This Row],[Tegevusala nimetus2]],Table4[[Tegevusala nimetus]:[Tegevusala koondnimetus]],2,FALSE)</f>
        <v>Vabaaeg, kultuur ja religioon</v>
      </c>
      <c r="F496" t="s">
        <v>1766</v>
      </c>
      <c r="G496" t="s">
        <v>1801</v>
      </c>
      <c r="H496" s="40">
        <v>400</v>
      </c>
      <c r="J496">
        <v>5522</v>
      </c>
      <c r="K496" s="3" t="str">
        <f>VLOOKUP(Table2[[#This Row],[Konto]],Table5[[Konto]:[Konto nimetus]],2,FALSE)</f>
        <v>Meditsiinikulud ja hügieenitarbed</v>
      </c>
      <c r="L496">
        <v>55</v>
      </c>
      <c r="M496" t="str">
        <f t="shared" si="15"/>
        <v>55</v>
      </c>
      <c r="N496" s="3" t="str">
        <f>VLOOKUP(Table2[[#This Row],[Tulu/kulu liik2]],Table5[[Tulu/kulu liik]:[Kontode koondnimetus]],4,FALSE)</f>
        <v>Muud tegevuskulud</v>
      </c>
      <c r="O496" s="3" t="str">
        <f>VLOOKUP(Table2[[#This Row],[Tulu/kulu liik2]],Table5[],6,FALSE)</f>
        <v>Majandamiskulud</v>
      </c>
      <c r="P496" s="3" t="str">
        <f>VLOOKUP(Table2[[#This Row],[Tulu/kulu liik2]],Table5[],5,FALSE)</f>
        <v>Põhitegevuse kulu</v>
      </c>
    </row>
    <row r="497" spans="1:16" hidden="1" x14ac:dyDescent="0.25">
      <c r="A497" t="str">
        <f t="shared" si="14"/>
        <v>08</v>
      </c>
      <c r="B497" t="s">
        <v>303</v>
      </c>
      <c r="C497" s="3" t="str">
        <f>VLOOKUP(Table2[[#This Row],[Tegevusala]],Table4[],2,FALSE)</f>
        <v xml:space="preserve"> Roela Rahvamaja</v>
      </c>
      <c r="D497" s="3" t="str">
        <f>VLOOKUP(Table2[[#This Row],[Tegevusala]],Table4[[Tegevusala kood]:[Tegevusala alanimetus]],4,FALSE)</f>
        <v>Rahvakultuur</v>
      </c>
      <c r="E497" s="3" t="str">
        <f>VLOOKUP(Table2[[#This Row],[Tegevusala nimetus2]],Table4[[Tegevusala nimetus]:[Tegevusala koondnimetus]],2,FALSE)</f>
        <v>Vabaaeg, kultuur ja religioon</v>
      </c>
      <c r="F497" t="s">
        <v>1766</v>
      </c>
      <c r="G497" t="s">
        <v>1802</v>
      </c>
      <c r="H497" s="40">
        <v>390</v>
      </c>
      <c r="J497">
        <v>5524</v>
      </c>
      <c r="K497" s="3" t="str">
        <f>VLOOKUP(Table2[[#This Row],[Konto]],Table5[[Konto]:[Konto nimetus]],2,FALSE)</f>
        <v>Õppevahendid</v>
      </c>
      <c r="L497">
        <v>55</v>
      </c>
      <c r="M497" t="str">
        <f t="shared" si="15"/>
        <v>55</v>
      </c>
      <c r="N497" s="3" t="str">
        <f>VLOOKUP(Table2[[#This Row],[Tulu/kulu liik2]],Table5[[Tulu/kulu liik]:[Kontode koondnimetus]],4,FALSE)</f>
        <v>Muud tegevuskulud</v>
      </c>
      <c r="O497" s="3" t="str">
        <f>VLOOKUP(Table2[[#This Row],[Tulu/kulu liik2]],Table5[],6,FALSE)</f>
        <v>Majandamiskulud</v>
      </c>
      <c r="P497" s="3" t="str">
        <f>VLOOKUP(Table2[[#This Row],[Tulu/kulu liik2]],Table5[],5,FALSE)</f>
        <v>Põhitegevuse kulu</v>
      </c>
    </row>
    <row r="498" spans="1:16" hidden="1" x14ac:dyDescent="0.25">
      <c r="A498" t="str">
        <f t="shared" si="14"/>
        <v>08</v>
      </c>
      <c r="B498" t="s">
        <v>303</v>
      </c>
      <c r="C498" s="3" t="str">
        <f>VLOOKUP(Table2[[#This Row],[Tegevusala]],Table4[],2,FALSE)</f>
        <v xml:space="preserve"> Roela Rahvamaja</v>
      </c>
      <c r="D498" s="3" t="str">
        <f>VLOOKUP(Table2[[#This Row],[Tegevusala]],Table4[[Tegevusala kood]:[Tegevusala alanimetus]],4,FALSE)</f>
        <v>Rahvakultuur</v>
      </c>
      <c r="E498" s="3" t="str">
        <f>VLOOKUP(Table2[[#This Row],[Tegevusala nimetus2]],Table4[[Tegevusala nimetus]:[Tegevusala koondnimetus]],2,FALSE)</f>
        <v>Vabaaeg, kultuur ja religioon</v>
      </c>
      <c r="F498" t="s">
        <v>1766</v>
      </c>
      <c r="G498" t="s">
        <v>242</v>
      </c>
      <c r="H498" s="40">
        <v>100</v>
      </c>
      <c r="J498">
        <v>5514</v>
      </c>
      <c r="K498" s="3" t="str">
        <f>VLOOKUP(Table2[[#This Row],[Konto]],Table5[[Konto]:[Konto nimetus]],2,FALSE)</f>
        <v>Info- ja kommunikatsioonitehnoliigised kulud</v>
      </c>
      <c r="L498">
        <v>55</v>
      </c>
      <c r="M498" t="str">
        <f t="shared" si="15"/>
        <v>55</v>
      </c>
      <c r="N498" s="3" t="str">
        <f>VLOOKUP(Table2[[#This Row],[Tulu/kulu liik2]],Table5[[Tulu/kulu liik]:[Kontode koondnimetus]],4,FALSE)</f>
        <v>Muud tegevuskulud</v>
      </c>
      <c r="O498" s="34" t="str">
        <f>VLOOKUP(Table2[[#This Row],[Tulu/kulu liik2]],Table5[],6,FALSE)</f>
        <v>Majandamiskulud</v>
      </c>
      <c r="P498" s="3" t="str">
        <f>VLOOKUP(Table2[[#This Row],[Tulu/kulu liik2]],Table5[],5,FALSE)</f>
        <v>Põhitegevuse kulu</v>
      </c>
    </row>
    <row r="499" spans="1:16" hidden="1" x14ac:dyDescent="0.25">
      <c r="A499" t="str">
        <f t="shared" si="14"/>
        <v>08</v>
      </c>
      <c r="B499" t="s">
        <v>303</v>
      </c>
      <c r="C499" s="3" t="str">
        <f>VLOOKUP(Table2[[#This Row],[Tegevusala]],Table4[],2,FALSE)</f>
        <v xml:space="preserve"> Roela Rahvamaja</v>
      </c>
      <c r="D499" s="3" t="str">
        <f>VLOOKUP(Table2[[#This Row],[Tegevusala]],Table4[[Tegevusala kood]:[Tegevusala alanimetus]],4,FALSE)</f>
        <v>Rahvakultuur</v>
      </c>
      <c r="E499" s="3" t="str">
        <f>VLOOKUP(Table2[[#This Row],[Tegevusala nimetus2]],Table4[[Tegevusala nimetus]:[Tegevusala koondnimetus]],2,FALSE)</f>
        <v>Vabaaeg, kultuur ja religioon</v>
      </c>
      <c r="F499" t="s">
        <v>1766</v>
      </c>
      <c r="G499" t="s">
        <v>1772</v>
      </c>
      <c r="H499" s="40">
        <v>1200</v>
      </c>
      <c r="I499" s="2" t="s">
        <v>1774</v>
      </c>
      <c r="J499">
        <v>5525</v>
      </c>
      <c r="K499" s="3" t="str">
        <f>VLOOKUP(Table2[[#This Row],[Konto]],Table5[[Konto]:[Konto nimetus]],2,FALSE)</f>
        <v>Kommunikatsiooni-, kultuuri- ja vaba aja sisustamise kulud</v>
      </c>
      <c r="L499">
        <v>55</v>
      </c>
      <c r="M499" t="str">
        <f t="shared" si="15"/>
        <v>55</v>
      </c>
      <c r="N499" s="3" t="str">
        <f>VLOOKUP(Table2[[#This Row],[Tulu/kulu liik2]],Table5[[Tulu/kulu liik]:[Kontode koondnimetus]],4,FALSE)</f>
        <v>Muud tegevuskulud</v>
      </c>
      <c r="O499" s="34" t="str">
        <f>VLOOKUP(Table2[[#This Row],[Tulu/kulu liik2]],Table5[],6,FALSE)</f>
        <v>Majandamiskulud</v>
      </c>
      <c r="P499" s="3" t="str">
        <f>VLOOKUP(Table2[[#This Row],[Tulu/kulu liik2]],Table5[],5,FALSE)</f>
        <v>Põhitegevuse kulu</v>
      </c>
    </row>
    <row r="500" spans="1:16" hidden="1" x14ac:dyDescent="0.25">
      <c r="A500" t="str">
        <f t="shared" si="14"/>
        <v>08</v>
      </c>
      <c r="B500" t="s">
        <v>303</v>
      </c>
      <c r="C500" s="3" t="str">
        <f>VLOOKUP(Table2[[#This Row],[Tegevusala]],Table4[],2,FALSE)</f>
        <v xml:space="preserve"> Roela Rahvamaja</v>
      </c>
      <c r="D500" s="3" t="str">
        <f>VLOOKUP(Table2[[#This Row],[Tegevusala]],Table4[[Tegevusala kood]:[Tegevusala alanimetus]],4,FALSE)</f>
        <v>Rahvakultuur</v>
      </c>
      <c r="E500" s="3" t="str">
        <f>VLOOKUP(Table2[[#This Row],[Tegevusala nimetus2]],Table4[[Tegevusala nimetus]:[Tegevusala koondnimetus]],2,FALSE)</f>
        <v>Vabaaeg, kultuur ja religioon</v>
      </c>
      <c r="F500" t="s">
        <v>1766</v>
      </c>
      <c r="G500" t="s">
        <v>1773</v>
      </c>
      <c r="H500" s="40">
        <v>1500</v>
      </c>
      <c r="I500" s="2" t="s">
        <v>1775</v>
      </c>
      <c r="J500">
        <v>5525</v>
      </c>
      <c r="K500" s="3" t="str">
        <f>VLOOKUP(Table2[[#This Row],[Konto]],Table5[[Konto]:[Konto nimetus]],2,FALSE)</f>
        <v>Kommunikatsiooni-, kultuuri- ja vaba aja sisustamise kulud</v>
      </c>
      <c r="L500">
        <v>55</v>
      </c>
      <c r="M500" t="str">
        <f t="shared" si="15"/>
        <v>55</v>
      </c>
      <c r="N500" s="3" t="str">
        <f>VLOOKUP(Table2[[#This Row],[Tulu/kulu liik2]],Table5[[Tulu/kulu liik]:[Kontode koondnimetus]],4,FALSE)</f>
        <v>Muud tegevuskulud</v>
      </c>
      <c r="O500" s="34" t="str">
        <f>VLOOKUP(Table2[[#This Row],[Tulu/kulu liik2]],Table5[],6,FALSE)</f>
        <v>Majandamiskulud</v>
      </c>
      <c r="P500" s="3" t="str">
        <f>VLOOKUP(Table2[[#This Row],[Tulu/kulu liik2]],Table5[],5,FALSE)</f>
        <v>Põhitegevuse kulu</v>
      </c>
    </row>
    <row r="501" spans="1:16" hidden="1" x14ac:dyDescent="0.25">
      <c r="A501" t="str">
        <f t="shared" si="14"/>
        <v>08</v>
      </c>
      <c r="B501" t="s">
        <v>303</v>
      </c>
      <c r="C501" s="3" t="str">
        <f>VLOOKUP(Table2[[#This Row],[Tegevusala]],Table4[],2,FALSE)</f>
        <v xml:space="preserve"> Roela Rahvamaja</v>
      </c>
      <c r="D501" s="3" t="str">
        <f>VLOOKUP(Table2[[#This Row],[Tegevusala]],Table4[[Tegevusala kood]:[Tegevusala alanimetus]],4,FALSE)</f>
        <v>Rahvakultuur</v>
      </c>
      <c r="E501" s="3" t="str">
        <f>VLOOKUP(Table2[[#This Row],[Tegevusala nimetus2]],Table4[[Tegevusala nimetus]:[Tegevusala koondnimetus]],2,FALSE)</f>
        <v>Vabaaeg, kultuur ja religioon</v>
      </c>
      <c r="F501" t="s">
        <v>1766</v>
      </c>
      <c r="G501" t="s">
        <v>1776</v>
      </c>
      <c r="H501" s="40">
        <v>1000</v>
      </c>
      <c r="I501" s="2" t="s">
        <v>1778</v>
      </c>
      <c r="J501">
        <v>5525</v>
      </c>
      <c r="K501" s="3" t="str">
        <f>VLOOKUP(Table2[[#This Row],[Konto]],Table5[[Konto]:[Konto nimetus]],2,FALSE)</f>
        <v>Kommunikatsiooni-, kultuuri- ja vaba aja sisustamise kulud</v>
      </c>
      <c r="L501">
        <v>55</v>
      </c>
      <c r="M501" t="str">
        <f t="shared" si="15"/>
        <v>55</v>
      </c>
      <c r="N501" s="3" t="str">
        <f>VLOOKUP(Table2[[#This Row],[Tulu/kulu liik2]],Table5[[Tulu/kulu liik]:[Kontode koondnimetus]],4,FALSE)</f>
        <v>Muud tegevuskulud</v>
      </c>
      <c r="O501" s="34" t="str">
        <f>VLOOKUP(Table2[[#This Row],[Tulu/kulu liik2]],Table5[],6,FALSE)</f>
        <v>Majandamiskulud</v>
      </c>
      <c r="P501" s="3" t="str">
        <f>VLOOKUP(Table2[[#This Row],[Tulu/kulu liik2]],Table5[],5,FALSE)</f>
        <v>Põhitegevuse kulu</v>
      </c>
    </row>
    <row r="502" spans="1:16" hidden="1" x14ac:dyDescent="0.25">
      <c r="A502" t="str">
        <f t="shared" si="14"/>
        <v>08</v>
      </c>
      <c r="B502" t="s">
        <v>303</v>
      </c>
      <c r="C502" s="3" t="str">
        <f>VLOOKUP(Table2[[#This Row],[Tegevusala]],Table4[],2,FALSE)</f>
        <v xml:space="preserve"> Roela Rahvamaja</v>
      </c>
      <c r="D502" s="3" t="str">
        <f>VLOOKUP(Table2[[#This Row],[Tegevusala]],Table4[[Tegevusala kood]:[Tegevusala alanimetus]],4,FALSE)</f>
        <v>Rahvakultuur</v>
      </c>
      <c r="E502" s="3" t="str">
        <f>VLOOKUP(Table2[[#This Row],[Tegevusala nimetus2]],Table4[[Tegevusala nimetus]:[Tegevusala koondnimetus]],2,FALSE)</f>
        <v>Vabaaeg, kultuur ja religioon</v>
      </c>
      <c r="F502" t="s">
        <v>1766</v>
      </c>
      <c r="G502" t="s">
        <v>1777</v>
      </c>
      <c r="H502" s="40">
        <v>2500</v>
      </c>
      <c r="I502" s="2" t="s">
        <v>1779</v>
      </c>
      <c r="J502">
        <v>5525</v>
      </c>
      <c r="K502" s="3" t="str">
        <f>VLOOKUP(Table2[[#This Row],[Konto]],Table5[[Konto]:[Konto nimetus]],2,FALSE)</f>
        <v>Kommunikatsiooni-, kultuuri- ja vaba aja sisustamise kulud</v>
      </c>
      <c r="L502">
        <v>55</v>
      </c>
      <c r="M502" t="str">
        <f t="shared" si="15"/>
        <v>55</v>
      </c>
      <c r="N502" s="3" t="str">
        <f>VLOOKUP(Table2[[#This Row],[Tulu/kulu liik2]],Table5[[Tulu/kulu liik]:[Kontode koondnimetus]],4,FALSE)</f>
        <v>Muud tegevuskulud</v>
      </c>
      <c r="O502" s="34" t="str">
        <f>VLOOKUP(Table2[[#This Row],[Tulu/kulu liik2]],Table5[],6,FALSE)</f>
        <v>Majandamiskulud</v>
      </c>
      <c r="P502" s="3" t="str">
        <f>VLOOKUP(Table2[[#This Row],[Tulu/kulu liik2]],Table5[],5,FALSE)</f>
        <v>Põhitegevuse kulu</v>
      </c>
    </row>
    <row r="503" spans="1:16" hidden="1" x14ac:dyDescent="0.25">
      <c r="A503" t="str">
        <f t="shared" si="14"/>
        <v>08</v>
      </c>
      <c r="B503" t="s">
        <v>303</v>
      </c>
      <c r="C503" s="3" t="str">
        <f>VLOOKUP(Table2[[#This Row],[Tegevusala]],Table4[],2,FALSE)</f>
        <v xml:space="preserve"> Roela Rahvamaja</v>
      </c>
      <c r="D503" s="3" t="str">
        <f>VLOOKUP(Table2[[#This Row],[Tegevusala]],Table4[[Tegevusala kood]:[Tegevusala alanimetus]],4,FALSE)</f>
        <v>Rahvakultuur</v>
      </c>
      <c r="E503" s="3" t="str">
        <f>VLOOKUP(Table2[[#This Row],[Tegevusala nimetus2]],Table4[[Tegevusala nimetus]:[Tegevusala koondnimetus]],2,FALSE)</f>
        <v>Vabaaeg, kultuur ja religioon</v>
      </c>
      <c r="F503" t="s">
        <v>1766</v>
      </c>
      <c r="G503" t="s">
        <v>2090</v>
      </c>
      <c r="H503" s="40">
        <v>50</v>
      </c>
      <c r="I503" s="2" t="s">
        <v>422</v>
      </c>
      <c r="J503">
        <v>5525</v>
      </c>
      <c r="K503" s="3" t="str">
        <f>VLOOKUP(Table2[[#This Row],[Konto]],Table5[[Konto]:[Konto nimetus]],2,FALSE)</f>
        <v>Kommunikatsiooni-, kultuuri- ja vaba aja sisustamise kulud</v>
      </c>
      <c r="L503">
        <v>55</v>
      </c>
      <c r="M503" t="str">
        <f t="shared" si="15"/>
        <v>55</v>
      </c>
      <c r="N503" s="3" t="str">
        <f>VLOOKUP(Table2[[#This Row],[Tulu/kulu liik2]],Table5[[Tulu/kulu liik]:[Kontode koondnimetus]],4,FALSE)</f>
        <v>Muud tegevuskulud</v>
      </c>
      <c r="O503" s="34" t="str">
        <f>VLOOKUP(Table2[[#This Row],[Tulu/kulu liik2]],Table5[],6,FALSE)</f>
        <v>Majandamiskulud</v>
      </c>
      <c r="P503" s="3" t="str">
        <f>VLOOKUP(Table2[[#This Row],[Tulu/kulu liik2]],Table5[],5,FALSE)</f>
        <v>Põhitegevuse kulu</v>
      </c>
    </row>
    <row r="504" spans="1:16" hidden="1" x14ac:dyDescent="0.25">
      <c r="A504" t="str">
        <f t="shared" si="14"/>
        <v>08</v>
      </c>
      <c r="B504" t="s">
        <v>303</v>
      </c>
      <c r="C504" s="3" t="str">
        <f>VLOOKUP(Table2[[#This Row],[Tegevusala]],Table4[],2,FALSE)</f>
        <v xml:space="preserve"> Roela Rahvamaja</v>
      </c>
      <c r="D504" s="3" t="str">
        <f>VLOOKUP(Table2[[#This Row],[Tegevusala]],Table4[[Tegevusala kood]:[Tegevusala alanimetus]],4,FALSE)</f>
        <v>Rahvakultuur</v>
      </c>
      <c r="E504" s="3" t="str">
        <f>VLOOKUP(Table2[[#This Row],[Tegevusala nimetus2]],Table4[[Tegevusala nimetus]:[Tegevusala koondnimetus]],2,FALSE)</f>
        <v>Vabaaeg, kultuur ja religioon</v>
      </c>
      <c r="F504" t="s">
        <v>1766</v>
      </c>
      <c r="G504" t="s">
        <v>1798</v>
      </c>
      <c r="H504" s="40">
        <v>400</v>
      </c>
      <c r="I504" s="2" t="s">
        <v>1799</v>
      </c>
      <c r="J504">
        <v>5540</v>
      </c>
      <c r="K504" s="3" t="str">
        <f>VLOOKUP(Table2[[#This Row],[Konto]],Table5[[Konto]:[Konto nimetus]],2,FALSE)</f>
        <v>Mitmesugused majanduskulud</v>
      </c>
      <c r="L504">
        <v>55</v>
      </c>
      <c r="M504" t="str">
        <f t="shared" si="15"/>
        <v>55</v>
      </c>
      <c r="N504" s="3" t="str">
        <f>VLOOKUP(Table2[[#This Row],[Tulu/kulu liik2]],Table5[[Tulu/kulu liik]:[Kontode koondnimetus]],4,FALSE)</f>
        <v>Muud tegevuskulud</v>
      </c>
      <c r="O504" s="34" t="str">
        <f>VLOOKUP(Table2[[#This Row],[Tulu/kulu liik2]],Table5[],6,FALSE)</f>
        <v>Majandamiskulud</v>
      </c>
      <c r="P504" s="3" t="str">
        <f>VLOOKUP(Table2[[#This Row],[Tulu/kulu liik2]],Table5[],5,FALSE)</f>
        <v>Põhitegevuse kulu</v>
      </c>
    </row>
    <row r="505" spans="1:16" hidden="1" x14ac:dyDescent="0.25">
      <c r="A505" t="str">
        <f t="shared" si="14"/>
        <v>08</v>
      </c>
      <c r="B505" t="s">
        <v>306</v>
      </c>
      <c r="C505" s="3" t="str">
        <f>VLOOKUP(Table2[[#This Row],[Tegevusala]],Table4[],2,FALSE)</f>
        <v>Laekvere Rahvamaja</v>
      </c>
      <c r="D505" s="3" t="str">
        <f>VLOOKUP(Table2[[#This Row],[Tegevusala]],Table4[[Tegevusala kood]:[Tegevusala alanimetus]],4,FALSE)</f>
        <v>Rahvakultuur</v>
      </c>
      <c r="E505" s="3" t="str">
        <f>VLOOKUP(Table2[[#This Row],[Tegevusala nimetus2]],Table4[[Tegevusala nimetus]:[Tegevusala koondnimetus]],2,FALSE)</f>
        <v>Vabaaeg, kultuur ja religioon</v>
      </c>
      <c r="F505" t="s">
        <v>1090</v>
      </c>
      <c r="G505" t="s">
        <v>1099</v>
      </c>
      <c r="H505" s="40">
        <v>300</v>
      </c>
      <c r="J505">
        <v>5500</v>
      </c>
      <c r="K505" s="3" t="str">
        <f>VLOOKUP(Table2[[#This Row],[Konto]],Table5[[Konto]:[Konto nimetus]],2,FALSE)</f>
        <v>Administreerimiskulud</v>
      </c>
      <c r="L505">
        <v>55</v>
      </c>
      <c r="M505" t="str">
        <f t="shared" si="15"/>
        <v>55</v>
      </c>
      <c r="N505" s="3" t="str">
        <f>VLOOKUP(Table2[[#This Row],[Tulu/kulu liik2]],Table5[[Tulu/kulu liik]:[Kontode koondnimetus]],4,FALSE)</f>
        <v>Muud tegevuskulud</v>
      </c>
      <c r="O505" s="34" t="str">
        <f>VLOOKUP(Table2[[#This Row],[Tulu/kulu liik2]],Table5[],6,FALSE)</f>
        <v>Majandamiskulud</v>
      </c>
      <c r="P505" s="3" t="str">
        <f>VLOOKUP(Table2[[#This Row],[Tulu/kulu liik2]],Table5[],5,FALSE)</f>
        <v>Põhitegevuse kulu</v>
      </c>
    </row>
    <row r="506" spans="1:16" hidden="1" x14ac:dyDescent="0.25">
      <c r="A506" t="str">
        <f t="shared" si="14"/>
        <v>08</v>
      </c>
      <c r="B506" t="s">
        <v>306</v>
      </c>
      <c r="C506" s="3" t="str">
        <f>VLOOKUP(Table2[[#This Row],[Tegevusala]],Table4[],2,FALSE)</f>
        <v>Laekvere Rahvamaja</v>
      </c>
      <c r="D506" s="3" t="str">
        <f>VLOOKUP(Table2[[#This Row],[Tegevusala]],Table4[[Tegevusala kood]:[Tegevusala alanimetus]],4,FALSE)</f>
        <v>Rahvakultuur</v>
      </c>
      <c r="E506" s="3" t="str">
        <f>VLOOKUP(Table2[[#This Row],[Tegevusala nimetus2]],Table4[[Tegevusala nimetus]:[Tegevusala koondnimetus]],2,FALSE)</f>
        <v>Vabaaeg, kultuur ja religioon</v>
      </c>
      <c r="F506" t="s">
        <v>1090</v>
      </c>
      <c r="G506" t="s">
        <v>1100</v>
      </c>
      <c r="H506" s="40">
        <v>500</v>
      </c>
      <c r="J506">
        <v>5500</v>
      </c>
      <c r="K506" s="3" t="str">
        <f>VLOOKUP(Table2[[#This Row],[Konto]],Table5[[Konto]:[Konto nimetus]],2,FALSE)</f>
        <v>Administreerimiskulud</v>
      </c>
      <c r="L506">
        <v>55</v>
      </c>
      <c r="M506" t="str">
        <f t="shared" si="15"/>
        <v>55</v>
      </c>
      <c r="N506" s="3" t="str">
        <f>VLOOKUP(Table2[[#This Row],[Tulu/kulu liik2]],Table5[[Tulu/kulu liik]:[Kontode koondnimetus]],4,FALSE)</f>
        <v>Muud tegevuskulud</v>
      </c>
      <c r="O506" s="3" t="str">
        <f>VLOOKUP(Table2[[#This Row],[Tulu/kulu liik2]],Table5[],6,FALSE)</f>
        <v>Majandamiskulud</v>
      </c>
      <c r="P506" s="3" t="str">
        <f>VLOOKUP(Table2[[#This Row],[Tulu/kulu liik2]],Table5[],5,FALSE)</f>
        <v>Põhitegevuse kulu</v>
      </c>
    </row>
    <row r="507" spans="1:16" hidden="1" x14ac:dyDescent="0.25">
      <c r="A507" t="str">
        <f t="shared" si="14"/>
        <v>08</v>
      </c>
      <c r="B507" t="s">
        <v>306</v>
      </c>
      <c r="C507" s="3" t="str">
        <f>VLOOKUP(Table2[[#This Row],[Tegevusala]],Table4[],2,FALSE)</f>
        <v>Laekvere Rahvamaja</v>
      </c>
      <c r="D507" s="3" t="str">
        <f>VLOOKUP(Table2[[#This Row],[Tegevusala]],Table4[[Tegevusala kood]:[Tegevusala alanimetus]],4,FALSE)</f>
        <v>Rahvakultuur</v>
      </c>
      <c r="E507" s="3" t="str">
        <f>VLOOKUP(Table2[[#This Row],[Tegevusala nimetus2]],Table4[[Tegevusala nimetus]:[Tegevusala koondnimetus]],2,FALSE)</f>
        <v>Vabaaeg, kultuur ja religioon</v>
      </c>
      <c r="F507" t="s">
        <v>1090</v>
      </c>
      <c r="G507" t="s">
        <v>1101</v>
      </c>
      <c r="H507" s="40">
        <v>300</v>
      </c>
      <c r="I507" s="2" t="s">
        <v>1102</v>
      </c>
      <c r="J507">
        <v>5500</v>
      </c>
      <c r="K507" s="3" t="str">
        <f>VLOOKUP(Table2[[#This Row],[Konto]],Table5[[Konto]:[Konto nimetus]],2,FALSE)</f>
        <v>Administreerimiskulud</v>
      </c>
      <c r="L507">
        <v>55</v>
      </c>
      <c r="M507" t="str">
        <f t="shared" si="15"/>
        <v>55</v>
      </c>
      <c r="N507" s="3" t="str">
        <f>VLOOKUP(Table2[[#This Row],[Tulu/kulu liik2]],Table5[[Tulu/kulu liik]:[Kontode koondnimetus]],4,FALSE)</f>
        <v>Muud tegevuskulud</v>
      </c>
      <c r="O507" s="3" t="str">
        <f>VLOOKUP(Table2[[#This Row],[Tulu/kulu liik2]],Table5[],6,FALSE)</f>
        <v>Majandamiskulud</v>
      </c>
      <c r="P507" s="3" t="str">
        <f>VLOOKUP(Table2[[#This Row],[Tulu/kulu liik2]],Table5[],5,FALSE)</f>
        <v>Põhitegevuse kulu</v>
      </c>
    </row>
    <row r="508" spans="1:16" hidden="1" x14ac:dyDescent="0.25">
      <c r="A508" t="str">
        <f t="shared" si="14"/>
        <v>08</v>
      </c>
      <c r="B508" t="s">
        <v>306</v>
      </c>
      <c r="C508" s="3" t="str">
        <f>VLOOKUP(Table2[[#This Row],[Tegevusala]],Table4[],2,FALSE)</f>
        <v>Laekvere Rahvamaja</v>
      </c>
      <c r="D508" s="3" t="str">
        <f>VLOOKUP(Table2[[#This Row],[Tegevusala]],Table4[[Tegevusala kood]:[Tegevusala alanimetus]],4,FALSE)</f>
        <v>Rahvakultuur</v>
      </c>
      <c r="E508" s="3" t="str">
        <f>VLOOKUP(Table2[[#This Row],[Tegevusala nimetus2]],Table4[[Tegevusala nimetus]:[Tegevusala koondnimetus]],2,FALSE)</f>
        <v>Vabaaeg, kultuur ja religioon</v>
      </c>
      <c r="F508" t="s">
        <v>1090</v>
      </c>
      <c r="G508" t="s">
        <v>1103</v>
      </c>
      <c r="H508" s="40">
        <v>100</v>
      </c>
      <c r="J508">
        <v>5500</v>
      </c>
      <c r="K508" s="3" t="str">
        <f>VLOOKUP(Table2[[#This Row],[Konto]],Table5[[Konto]:[Konto nimetus]],2,FALSE)</f>
        <v>Administreerimiskulud</v>
      </c>
      <c r="L508">
        <v>55</v>
      </c>
      <c r="M508" t="str">
        <f t="shared" si="15"/>
        <v>55</v>
      </c>
      <c r="N508" s="3" t="str">
        <f>VLOOKUP(Table2[[#This Row],[Tulu/kulu liik2]],Table5[[Tulu/kulu liik]:[Kontode koondnimetus]],4,FALSE)</f>
        <v>Muud tegevuskulud</v>
      </c>
      <c r="O508" s="3" t="str">
        <f>VLOOKUP(Table2[[#This Row],[Tulu/kulu liik2]],Table5[],6,FALSE)</f>
        <v>Majandamiskulud</v>
      </c>
      <c r="P508" s="3" t="str">
        <f>VLOOKUP(Table2[[#This Row],[Tulu/kulu liik2]],Table5[],5,FALSE)</f>
        <v>Põhitegevuse kulu</v>
      </c>
    </row>
    <row r="509" spans="1:16" hidden="1" x14ac:dyDescent="0.25">
      <c r="A509" t="str">
        <f t="shared" si="14"/>
        <v>08</v>
      </c>
      <c r="B509" t="s">
        <v>306</v>
      </c>
      <c r="C509" s="3" t="str">
        <f>VLOOKUP(Table2[[#This Row],[Tegevusala]],Table4[],2,FALSE)</f>
        <v>Laekvere Rahvamaja</v>
      </c>
      <c r="D509" s="3" t="str">
        <f>VLOOKUP(Table2[[#This Row],[Tegevusala]],Table4[[Tegevusala kood]:[Tegevusala alanimetus]],4,FALSE)</f>
        <v>Rahvakultuur</v>
      </c>
      <c r="E509" s="3" t="str">
        <f>VLOOKUP(Table2[[#This Row],[Tegevusala nimetus2]],Table4[[Tegevusala nimetus]:[Tegevusala koondnimetus]],2,FALSE)</f>
        <v>Vabaaeg, kultuur ja religioon</v>
      </c>
      <c r="F509" t="s">
        <v>1090</v>
      </c>
      <c r="G509" t="s">
        <v>1104</v>
      </c>
      <c r="H509" s="40">
        <v>400</v>
      </c>
      <c r="J509">
        <v>5500</v>
      </c>
      <c r="K509" s="3" t="str">
        <f>VLOOKUP(Table2[[#This Row],[Konto]],Table5[[Konto]:[Konto nimetus]],2,FALSE)</f>
        <v>Administreerimiskulud</v>
      </c>
      <c r="L509">
        <v>55</v>
      </c>
      <c r="M509" t="str">
        <f t="shared" si="15"/>
        <v>55</v>
      </c>
      <c r="N509" s="3" t="str">
        <f>VLOOKUP(Table2[[#This Row],[Tulu/kulu liik2]],Table5[[Tulu/kulu liik]:[Kontode koondnimetus]],4,FALSE)</f>
        <v>Muud tegevuskulud</v>
      </c>
      <c r="O509" s="3" t="str">
        <f>VLOOKUP(Table2[[#This Row],[Tulu/kulu liik2]],Table5[],6,FALSE)</f>
        <v>Majandamiskulud</v>
      </c>
      <c r="P509" s="3" t="str">
        <f>VLOOKUP(Table2[[#This Row],[Tulu/kulu liik2]],Table5[],5,FALSE)</f>
        <v>Põhitegevuse kulu</v>
      </c>
    </row>
    <row r="510" spans="1:16" hidden="1" x14ac:dyDescent="0.25">
      <c r="A510" t="str">
        <f t="shared" si="14"/>
        <v>08</v>
      </c>
      <c r="B510" t="s">
        <v>306</v>
      </c>
      <c r="C510" s="3" t="str">
        <f>VLOOKUP(Table2[[#This Row],[Tegevusala]],Table4[],2,FALSE)</f>
        <v>Laekvere Rahvamaja</v>
      </c>
      <c r="D510" s="3" t="str">
        <f>VLOOKUP(Table2[[#This Row],[Tegevusala]],Table4[[Tegevusala kood]:[Tegevusala alanimetus]],4,FALSE)</f>
        <v>Rahvakultuur</v>
      </c>
      <c r="E510" s="3" t="str">
        <f>VLOOKUP(Table2[[#This Row],[Tegevusala nimetus2]],Table4[[Tegevusala nimetus]:[Tegevusala koondnimetus]],2,FALSE)</f>
        <v>Vabaaeg, kultuur ja religioon</v>
      </c>
      <c r="F510" t="s">
        <v>1090</v>
      </c>
      <c r="G510" t="s">
        <v>391</v>
      </c>
      <c r="H510" s="40">
        <f>500-300</f>
        <v>200</v>
      </c>
      <c r="J510">
        <v>5504</v>
      </c>
      <c r="K510" s="3" t="str">
        <f>VLOOKUP(Table2[[#This Row],[Konto]],Table5[[Konto]:[Konto nimetus]],2,FALSE)</f>
        <v>Koolituskulud</v>
      </c>
      <c r="L510">
        <v>55</v>
      </c>
      <c r="M510" t="str">
        <f t="shared" si="15"/>
        <v>55</v>
      </c>
      <c r="N510" s="3" t="str">
        <f>VLOOKUP(Table2[[#This Row],[Tulu/kulu liik2]],Table5[[Tulu/kulu liik]:[Kontode koondnimetus]],4,FALSE)</f>
        <v>Muud tegevuskulud</v>
      </c>
      <c r="O510" s="3" t="str">
        <f>VLOOKUP(Table2[[#This Row],[Tulu/kulu liik2]],Table5[],6,FALSE)</f>
        <v>Majandamiskulud</v>
      </c>
      <c r="P510" s="3" t="str">
        <f>VLOOKUP(Table2[[#This Row],[Tulu/kulu liik2]],Table5[],5,FALSE)</f>
        <v>Põhitegevuse kulu</v>
      </c>
    </row>
    <row r="511" spans="1:16" hidden="1" x14ac:dyDescent="0.25">
      <c r="A511" t="str">
        <f t="shared" ref="A511:A573" si="16">LEFT(B511,2)</f>
        <v>08</v>
      </c>
      <c r="B511" t="s">
        <v>306</v>
      </c>
      <c r="C511" s="3" t="str">
        <f>VLOOKUP(Table2[[#This Row],[Tegevusala]],Table4[],2,FALSE)</f>
        <v>Laekvere Rahvamaja</v>
      </c>
      <c r="D511" s="3" t="str">
        <f>VLOOKUP(Table2[[#This Row],[Tegevusala]],Table4[[Tegevusala kood]:[Tegevusala alanimetus]],4,FALSE)</f>
        <v>Rahvakultuur</v>
      </c>
      <c r="E511" s="3" t="str">
        <f>VLOOKUP(Table2[[#This Row],[Tegevusala nimetus2]],Table4[[Tegevusala nimetus]:[Tegevusala koondnimetus]],2,FALSE)</f>
        <v>Vabaaeg, kultuur ja religioon</v>
      </c>
      <c r="F511" t="s">
        <v>1090</v>
      </c>
      <c r="G511" t="s">
        <v>424</v>
      </c>
      <c r="H511" s="40">
        <v>900</v>
      </c>
      <c r="J511">
        <v>5513</v>
      </c>
      <c r="K511" s="3" t="str">
        <f>VLOOKUP(Table2[[#This Row],[Konto]],Table5[[Konto]:[Konto nimetus]],2,FALSE)</f>
        <v>Sõidukite ülalpidamise kulud</v>
      </c>
      <c r="L511">
        <v>55</v>
      </c>
      <c r="M511" t="str">
        <f t="shared" ref="M511:M573" si="17">LEFT(J511,2)</f>
        <v>55</v>
      </c>
      <c r="N511" s="3" t="str">
        <f>VLOOKUP(Table2[[#This Row],[Tulu/kulu liik2]],Table5[[Tulu/kulu liik]:[Kontode koondnimetus]],4,FALSE)</f>
        <v>Muud tegevuskulud</v>
      </c>
      <c r="O511" s="3" t="str">
        <f>VLOOKUP(Table2[[#This Row],[Tulu/kulu liik2]],Table5[],6,FALSE)</f>
        <v>Majandamiskulud</v>
      </c>
      <c r="P511" s="3" t="str">
        <f>VLOOKUP(Table2[[#This Row],[Tulu/kulu liik2]],Table5[],5,FALSE)</f>
        <v>Põhitegevuse kulu</v>
      </c>
    </row>
    <row r="512" spans="1:16" hidden="1" x14ac:dyDescent="0.25">
      <c r="A512" t="str">
        <f t="shared" si="16"/>
        <v>08</v>
      </c>
      <c r="B512" t="s">
        <v>306</v>
      </c>
      <c r="C512" s="3" t="str">
        <f>VLOOKUP(Table2[[#This Row],[Tegevusala]],Table4[],2,FALSE)</f>
        <v>Laekvere Rahvamaja</v>
      </c>
      <c r="D512" s="3" t="str">
        <f>VLOOKUP(Table2[[#This Row],[Tegevusala]],Table4[[Tegevusala kood]:[Tegevusala alanimetus]],4,FALSE)</f>
        <v>Rahvakultuur</v>
      </c>
      <c r="E512" s="3" t="str">
        <f>VLOOKUP(Table2[[#This Row],[Tegevusala nimetus2]],Table4[[Tegevusala nimetus]:[Tegevusala koondnimetus]],2,FALSE)</f>
        <v>Vabaaeg, kultuur ja religioon</v>
      </c>
      <c r="F512" t="s">
        <v>1090</v>
      </c>
      <c r="G512" t="s">
        <v>1117</v>
      </c>
      <c r="H512" s="40">
        <v>400</v>
      </c>
      <c r="J512">
        <v>5522</v>
      </c>
      <c r="K512" s="3" t="str">
        <f>VLOOKUP(Table2[[#This Row],[Konto]],Table5[[Konto]:[Konto nimetus]],2,FALSE)</f>
        <v>Meditsiinikulud ja hügieenitarbed</v>
      </c>
      <c r="L512">
        <v>55</v>
      </c>
      <c r="M512" t="str">
        <f t="shared" si="17"/>
        <v>55</v>
      </c>
      <c r="N512" s="3" t="str">
        <f>VLOOKUP(Table2[[#This Row],[Tulu/kulu liik2]],Table5[[Tulu/kulu liik]:[Kontode koondnimetus]],4,FALSE)</f>
        <v>Muud tegevuskulud</v>
      </c>
      <c r="O512" s="3" t="str">
        <f>VLOOKUP(Table2[[#This Row],[Tulu/kulu liik2]],Table5[],6,FALSE)</f>
        <v>Majandamiskulud</v>
      </c>
      <c r="P512" s="3" t="str">
        <f>VLOOKUP(Table2[[#This Row],[Tulu/kulu liik2]],Table5[],5,FALSE)</f>
        <v>Põhitegevuse kulu</v>
      </c>
    </row>
    <row r="513" spans="1:16" hidden="1" x14ac:dyDescent="0.25">
      <c r="A513" t="str">
        <f t="shared" si="16"/>
        <v>08</v>
      </c>
      <c r="B513" t="s">
        <v>306</v>
      </c>
      <c r="C513" s="3" t="str">
        <f>VLOOKUP(Table2[[#This Row],[Tegevusala]],Table4[],2,FALSE)</f>
        <v>Laekvere Rahvamaja</v>
      </c>
      <c r="D513" s="3" t="str">
        <f>VLOOKUP(Table2[[#This Row],[Tegevusala]],Table4[[Tegevusala kood]:[Tegevusala alanimetus]],4,FALSE)</f>
        <v>Rahvakultuur</v>
      </c>
      <c r="E513" s="3" t="str">
        <f>VLOOKUP(Table2[[#This Row],[Tegevusala nimetus2]],Table4[[Tegevusala nimetus]:[Tegevusala koondnimetus]],2,FALSE)</f>
        <v>Vabaaeg, kultuur ja religioon</v>
      </c>
      <c r="F513" t="s">
        <v>1090</v>
      </c>
      <c r="G513" t="s">
        <v>768</v>
      </c>
      <c r="H513" s="40">
        <v>18800</v>
      </c>
      <c r="I513" s="2" t="s">
        <v>1116</v>
      </c>
      <c r="J513">
        <v>5525</v>
      </c>
      <c r="K513" s="3" t="str">
        <f>VLOOKUP(Table2[[#This Row],[Konto]],Table5[[Konto]:[Konto nimetus]],2,FALSE)</f>
        <v>Kommunikatsiooni-, kultuuri- ja vaba aja sisustamise kulud</v>
      </c>
      <c r="L513">
        <v>55</v>
      </c>
      <c r="M513" t="str">
        <f t="shared" si="17"/>
        <v>55</v>
      </c>
      <c r="N513" s="3" t="str">
        <f>VLOOKUP(Table2[[#This Row],[Tulu/kulu liik2]],Table5[[Tulu/kulu liik]:[Kontode koondnimetus]],4,FALSE)</f>
        <v>Muud tegevuskulud</v>
      </c>
      <c r="O513" s="3" t="str">
        <f>VLOOKUP(Table2[[#This Row],[Tulu/kulu liik2]],Table5[],6,FALSE)</f>
        <v>Majandamiskulud</v>
      </c>
      <c r="P513" s="3" t="str">
        <f>VLOOKUP(Table2[[#This Row],[Tulu/kulu liik2]],Table5[],5,FALSE)</f>
        <v>Põhitegevuse kulu</v>
      </c>
    </row>
    <row r="514" spans="1:16" hidden="1" x14ac:dyDescent="0.25">
      <c r="A514" t="str">
        <f t="shared" si="16"/>
        <v>08</v>
      </c>
      <c r="B514" t="s">
        <v>306</v>
      </c>
      <c r="C514" s="3" t="str">
        <f>VLOOKUP(Table2[[#This Row],[Tegevusala]],Table4[],2,FALSE)</f>
        <v>Laekvere Rahvamaja</v>
      </c>
      <c r="D514" s="3" t="str">
        <f>VLOOKUP(Table2[[#This Row],[Tegevusala]],Table4[[Tegevusala kood]:[Tegevusala alanimetus]],4,FALSE)</f>
        <v>Rahvakultuur</v>
      </c>
      <c r="E514" s="3" t="str">
        <f>VLOOKUP(Table2[[#This Row],[Tegevusala nimetus2]],Table4[[Tegevusala nimetus]:[Tegevusala koondnimetus]],2,FALSE)</f>
        <v>Vabaaeg, kultuur ja religioon</v>
      </c>
      <c r="F514" t="s">
        <v>1090</v>
      </c>
      <c r="G514" t="s">
        <v>1118</v>
      </c>
      <c r="H514" s="40">
        <v>1000</v>
      </c>
      <c r="J514">
        <v>5525</v>
      </c>
      <c r="K514" s="3" t="str">
        <f>VLOOKUP(Table2[[#This Row],[Konto]],Table5[[Konto]:[Konto nimetus]],2,FALSE)</f>
        <v>Kommunikatsiooni-, kultuuri- ja vaba aja sisustamise kulud</v>
      </c>
      <c r="L514">
        <v>55</v>
      </c>
      <c r="M514" t="str">
        <f t="shared" si="17"/>
        <v>55</v>
      </c>
      <c r="N514" s="3" t="str">
        <f>VLOOKUP(Table2[[#This Row],[Tulu/kulu liik2]],Table5[[Tulu/kulu liik]:[Kontode koondnimetus]],4,FALSE)</f>
        <v>Muud tegevuskulud</v>
      </c>
      <c r="O514" s="3" t="str">
        <f>VLOOKUP(Table2[[#This Row],[Tulu/kulu liik2]],Table5[],6,FALSE)</f>
        <v>Majandamiskulud</v>
      </c>
      <c r="P514" s="3" t="str">
        <f>VLOOKUP(Table2[[#This Row],[Tulu/kulu liik2]],Table5[],5,FALSE)</f>
        <v>Põhitegevuse kulu</v>
      </c>
    </row>
    <row r="515" spans="1:16" hidden="1" x14ac:dyDescent="0.25">
      <c r="A515" t="str">
        <f t="shared" si="16"/>
        <v>08</v>
      </c>
      <c r="B515" t="s">
        <v>306</v>
      </c>
      <c r="C515" s="3" t="str">
        <f>VLOOKUP(Table2[[#This Row],[Tegevusala]],Table4[],2,FALSE)</f>
        <v>Laekvere Rahvamaja</v>
      </c>
      <c r="D515" s="3" t="str">
        <f>VLOOKUP(Table2[[#This Row],[Tegevusala]],Table4[[Tegevusala kood]:[Tegevusala alanimetus]],4,FALSE)</f>
        <v>Rahvakultuur</v>
      </c>
      <c r="E515" s="3" t="str">
        <f>VLOOKUP(Table2[[#This Row],[Tegevusala nimetus2]],Table4[[Tegevusala nimetus]:[Tegevusala koondnimetus]],2,FALSE)</f>
        <v>Vabaaeg, kultuur ja religioon</v>
      </c>
      <c r="F515" t="s">
        <v>1090</v>
      </c>
      <c r="G515" t="s">
        <v>1105</v>
      </c>
      <c r="H515" s="40">
        <v>20000</v>
      </c>
      <c r="J515">
        <v>5511</v>
      </c>
      <c r="K515" s="3" t="str">
        <f>VLOOKUP(Table2[[#This Row],[Konto]],Table5[[Konto]:[Konto nimetus]],2,FALSE)</f>
        <v>Kinnistute, hoonete ja ruumide majandamiskulud</v>
      </c>
      <c r="L515">
        <v>55</v>
      </c>
      <c r="M515" t="str">
        <f t="shared" si="17"/>
        <v>55</v>
      </c>
      <c r="N515" s="3" t="str">
        <f>VLOOKUP(Table2[[#This Row],[Tulu/kulu liik2]],Table5[[Tulu/kulu liik]:[Kontode koondnimetus]],4,FALSE)</f>
        <v>Muud tegevuskulud</v>
      </c>
      <c r="O515" s="3" t="str">
        <f>VLOOKUP(Table2[[#This Row],[Tulu/kulu liik2]],Table5[],6,FALSE)</f>
        <v>Majandamiskulud</v>
      </c>
      <c r="P515" s="3" t="str">
        <f>VLOOKUP(Table2[[#This Row],[Tulu/kulu liik2]],Table5[],5,FALSE)</f>
        <v>Põhitegevuse kulu</v>
      </c>
    </row>
    <row r="516" spans="1:16" hidden="1" x14ac:dyDescent="0.25">
      <c r="A516" t="str">
        <f t="shared" si="16"/>
        <v>08</v>
      </c>
      <c r="B516" t="s">
        <v>306</v>
      </c>
      <c r="C516" s="3" t="str">
        <f>VLOOKUP(Table2[[#This Row],[Tegevusala]],Table4[],2,FALSE)</f>
        <v>Laekvere Rahvamaja</v>
      </c>
      <c r="D516" s="3" t="str">
        <f>VLOOKUP(Table2[[#This Row],[Tegevusala]],Table4[[Tegevusala kood]:[Tegevusala alanimetus]],4,FALSE)</f>
        <v>Rahvakultuur</v>
      </c>
      <c r="E516" s="3" t="str">
        <f>VLOOKUP(Table2[[#This Row],[Tegevusala nimetus2]],Table4[[Tegevusala nimetus]:[Tegevusala koondnimetus]],2,FALSE)</f>
        <v>Vabaaeg, kultuur ja religioon</v>
      </c>
      <c r="F516" t="s">
        <v>1090</v>
      </c>
      <c r="G516" t="s">
        <v>924</v>
      </c>
      <c r="H516" s="40">
        <v>3000</v>
      </c>
      <c r="J516">
        <v>5511</v>
      </c>
      <c r="K516" s="3" t="str">
        <f>VLOOKUP(Table2[[#This Row],[Konto]],Table5[[Konto]:[Konto nimetus]],2,FALSE)</f>
        <v>Kinnistute, hoonete ja ruumide majandamiskulud</v>
      </c>
      <c r="L516">
        <v>55</v>
      </c>
      <c r="M516" t="str">
        <f t="shared" si="17"/>
        <v>55</v>
      </c>
      <c r="N516" s="3" t="str">
        <f>VLOOKUP(Table2[[#This Row],[Tulu/kulu liik2]],Table5[[Tulu/kulu liik]:[Kontode koondnimetus]],4,FALSE)</f>
        <v>Muud tegevuskulud</v>
      </c>
      <c r="O516" s="3" t="str">
        <f>VLOOKUP(Table2[[#This Row],[Tulu/kulu liik2]],Table5[],6,FALSE)</f>
        <v>Majandamiskulud</v>
      </c>
      <c r="P516" s="3" t="str">
        <f>VLOOKUP(Table2[[#This Row],[Tulu/kulu liik2]],Table5[],5,FALSE)</f>
        <v>Põhitegevuse kulu</v>
      </c>
    </row>
    <row r="517" spans="1:16" hidden="1" x14ac:dyDescent="0.25">
      <c r="A517" t="str">
        <f t="shared" si="16"/>
        <v>08</v>
      </c>
      <c r="B517" t="s">
        <v>306</v>
      </c>
      <c r="C517" s="3" t="str">
        <f>VLOOKUP(Table2[[#This Row],[Tegevusala]],Table4[],2,FALSE)</f>
        <v>Laekvere Rahvamaja</v>
      </c>
      <c r="D517" s="3" t="str">
        <f>VLOOKUP(Table2[[#This Row],[Tegevusala]],Table4[[Tegevusala kood]:[Tegevusala alanimetus]],4,FALSE)</f>
        <v>Rahvakultuur</v>
      </c>
      <c r="E517" s="3" t="str">
        <f>VLOOKUP(Table2[[#This Row],[Tegevusala nimetus2]],Table4[[Tegevusala nimetus]:[Tegevusala koondnimetus]],2,FALSE)</f>
        <v>Vabaaeg, kultuur ja religioon</v>
      </c>
      <c r="F517" t="s">
        <v>1090</v>
      </c>
      <c r="G517" t="s">
        <v>1106</v>
      </c>
      <c r="H517" s="40">
        <v>400</v>
      </c>
      <c r="J517">
        <v>5511</v>
      </c>
      <c r="K517" s="3" t="str">
        <f>VLOOKUP(Table2[[#This Row],[Konto]],Table5[[Konto]:[Konto nimetus]],2,FALSE)</f>
        <v>Kinnistute, hoonete ja ruumide majandamiskulud</v>
      </c>
      <c r="L517">
        <v>55</v>
      </c>
      <c r="M517" t="str">
        <f t="shared" si="17"/>
        <v>55</v>
      </c>
      <c r="N517" s="3" t="str">
        <f>VLOOKUP(Table2[[#This Row],[Tulu/kulu liik2]],Table5[[Tulu/kulu liik]:[Kontode koondnimetus]],4,FALSE)</f>
        <v>Muud tegevuskulud</v>
      </c>
      <c r="O517" s="3" t="str">
        <f>VLOOKUP(Table2[[#This Row],[Tulu/kulu liik2]],Table5[],6,FALSE)</f>
        <v>Majandamiskulud</v>
      </c>
      <c r="P517" s="3" t="str">
        <f>VLOOKUP(Table2[[#This Row],[Tulu/kulu liik2]],Table5[],5,FALSE)</f>
        <v>Põhitegevuse kulu</v>
      </c>
    </row>
    <row r="518" spans="1:16" hidden="1" x14ac:dyDescent="0.25">
      <c r="A518" t="str">
        <f t="shared" si="16"/>
        <v>08</v>
      </c>
      <c r="B518" t="s">
        <v>306</v>
      </c>
      <c r="C518" s="3" t="str">
        <f>VLOOKUP(Table2[[#This Row],[Tegevusala]],Table4[],2,FALSE)</f>
        <v>Laekvere Rahvamaja</v>
      </c>
      <c r="D518" s="3" t="str">
        <f>VLOOKUP(Table2[[#This Row],[Tegevusala]],Table4[[Tegevusala kood]:[Tegevusala alanimetus]],4,FALSE)</f>
        <v>Rahvakultuur</v>
      </c>
      <c r="E518" s="3" t="str">
        <f>VLOOKUP(Table2[[#This Row],[Tegevusala nimetus2]],Table4[[Tegevusala nimetus]:[Tegevusala koondnimetus]],2,FALSE)</f>
        <v>Vabaaeg, kultuur ja religioon</v>
      </c>
      <c r="F518" t="s">
        <v>1090</v>
      </c>
      <c r="G518" t="s">
        <v>1107</v>
      </c>
      <c r="H518" s="40">
        <f>4000-2000</f>
        <v>2000</v>
      </c>
      <c r="I518" s="2" t="s">
        <v>1108</v>
      </c>
      <c r="J518">
        <v>5511</v>
      </c>
      <c r="K518" s="3" t="str">
        <f>VLOOKUP(Table2[[#This Row],[Konto]],Table5[[Konto]:[Konto nimetus]],2,FALSE)</f>
        <v>Kinnistute, hoonete ja ruumide majandamiskulud</v>
      </c>
      <c r="L518">
        <v>55</v>
      </c>
      <c r="M518" t="str">
        <f t="shared" si="17"/>
        <v>55</v>
      </c>
      <c r="N518" s="3" t="str">
        <f>VLOOKUP(Table2[[#This Row],[Tulu/kulu liik2]],Table5[[Tulu/kulu liik]:[Kontode koondnimetus]],4,FALSE)</f>
        <v>Muud tegevuskulud</v>
      </c>
      <c r="O518" s="3" t="str">
        <f>VLOOKUP(Table2[[#This Row],[Tulu/kulu liik2]],Table5[],6,FALSE)</f>
        <v>Majandamiskulud</v>
      </c>
      <c r="P518" s="3" t="str">
        <f>VLOOKUP(Table2[[#This Row],[Tulu/kulu liik2]],Table5[],5,FALSE)</f>
        <v>Põhitegevuse kulu</v>
      </c>
    </row>
    <row r="519" spans="1:16" hidden="1" x14ac:dyDescent="0.25">
      <c r="A519" t="str">
        <f t="shared" si="16"/>
        <v>08</v>
      </c>
      <c r="B519" t="s">
        <v>306</v>
      </c>
      <c r="C519" s="3" t="str">
        <f>VLOOKUP(Table2[[#This Row],[Tegevusala]],Table4[],2,FALSE)</f>
        <v>Laekvere Rahvamaja</v>
      </c>
      <c r="D519" s="3" t="str">
        <f>VLOOKUP(Table2[[#This Row],[Tegevusala]],Table4[[Tegevusala kood]:[Tegevusala alanimetus]],4,FALSE)</f>
        <v>Rahvakultuur</v>
      </c>
      <c r="E519" s="3" t="str">
        <f>VLOOKUP(Table2[[#This Row],[Tegevusala nimetus2]],Table4[[Tegevusala nimetus]:[Tegevusala koondnimetus]],2,FALSE)</f>
        <v>Vabaaeg, kultuur ja religioon</v>
      </c>
      <c r="F519" t="s">
        <v>1090</v>
      </c>
      <c r="G519" t="s">
        <v>951</v>
      </c>
      <c r="H519" s="40">
        <v>100</v>
      </c>
      <c r="J519">
        <v>5511</v>
      </c>
      <c r="K519" s="3" t="str">
        <f>VLOOKUP(Table2[[#This Row],[Konto]],Table5[[Konto]:[Konto nimetus]],2,FALSE)</f>
        <v>Kinnistute, hoonete ja ruumide majandamiskulud</v>
      </c>
      <c r="L519">
        <v>55</v>
      </c>
      <c r="M519" t="str">
        <f t="shared" si="17"/>
        <v>55</v>
      </c>
      <c r="N519" s="3" t="str">
        <f>VLOOKUP(Table2[[#This Row],[Tulu/kulu liik2]],Table5[[Tulu/kulu liik]:[Kontode koondnimetus]],4,FALSE)</f>
        <v>Muud tegevuskulud</v>
      </c>
      <c r="O519" s="3" t="str">
        <f>VLOOKUP(Table2[[#This Row],[Tulu/kulu liik2]],Table5[],6,FALSE)</f>
        <v>Majandamiskulud</v>
      </c>
      <c r="P519" s="3" t="str">
        <f>VLOOKUP(Table2[[#This Row],[Tulu/kulu liik2]],Table5[],5,FALSE)</f>
        <v>Põhitegevuse kulu</v>
      </c>
    </row>
    <row r="520" spans="1:16" hidden="1" x14ac:dyDescent="0.25">
      <c r="A520" t="str">
        <f t="shared" si="16"/>
        <v>08</v>
      </c>
      <c r="B520" t="s">
        <v>306</v>
      </c>
      <c r="C520" s="3" t="str">
        <f>VLOOKUP(Table2[[#This Row],[Tegevusala]],Table4[],2,FALSE)</f>
        <v>Laekvere Rahvamaja</v>
      </c>
      <c r="D520" s="3" t="str">
        <f>VLOOKUP(Table2[[#This Row],[Tegevusala]],Table4[[Tegevusala kood]:[Tegevusala alanimetus]],4,FALSE)</f>
        <v>Rahvakultuur</v>
      </c>
      <c r="E520" s="3" t="str">
        <f>VLOOKUP(Table2[[#This Row],[Tegevusala nimetus2]],Table4[[Tegevusala nimetus]:[Tegevusala koondnimetus]],2,FALSE)</f>
        <v>Vabaaeg, kultuur ja religioon</v>
      </c>
      <c r="F520" t="s">
        <v>1090</v>
      </c>
      <c r="G520" t="s">
        <v>1109</v>
      </c>
      <c r="H520" s="40">
        <v>500</v>
      </c>
      <c r="J520">
        <v>5511</v>
      </c>
      <c r="K520" s="3" t="str">
        <f>VLOOKUP(Table2[[#This Row],[Konto]],Table5[[Konto]:[Konto nimetus]],2,FALSE)</f>
        <v>Kinnistute, hoonete ja ruumide majandamiskulud</v>
      </c>
      <c r="L520">
        <v>55</v>
      </c>
      <c r="M520" t="str">
        <f t="shared" si="17"/>
        <v>55</v>
      </c>
      <c r="N520" s="3" t="str">
        <f>VLOOKUP(Table2[[#This Row],[Tulu/kulu liik2]],Table5[[Tulu/kulu liik]:[Kontode koondnimetus]],4,FALSE)</f>
        <v>Muud tegevuskulud</v>
      </c>
      <c r="O520" s="3" t="str">
        <f>VLOOKUP(Table2[[#This Row],[Tulu/kulu liik2]],Table5[],6,FALSE)</f>
        <v>Majandamiskulud</v>
      </c>
      <c r="P520" s="3" t="str">
        <f>VLOOKUP(Table2[[#This Row],[Tulu/kulu liik2]],Table5[],5,FALSE)</f>
        <v>Põhitegevuse kulu</v>
      </c>
    </row>
    <row r="521" spans="1:16" hidden="1" x14ac:dyDescent="0.25">
      <c r="A521" t="str">
        <f t="shared" si="16"/>
        <v>08</v>
      </c>
      <c r="B521" t="s">
        <v>306</v>
      </c>
      <c r="C521" s="3" t="str">
        <f>VLOOKUP(Table2[[#This Row],[Tegevusala]],Table4[],2,FALSE)</f>
        <v>Laekvere Rahvamaja</v>
      </c>
      <c r="D521" s="3" t="str">
        <f>VLOOKUP(Table2[[#This Row],[Tegevusala]],Table4[[Tegevusala kood]:[Tegevusala alanimetus]],4,FALSE)</f>
        <v>Rahvakultuur</v>
      </c>
      <c r="E521" s="3" t="str">
        <f>VLOOKUP(Table2[[#This Row],[Tegevusala nimetus2]],Table4[[Tegevusala nimetus]:[Tegevusala koondnimetus]],2,FALSE)</f>
        <v>Vabaaeg, kultuur ja religioon</v>
      </c>
      <c r="F521" t="s">
        <v>1090</v>
      </c>
      <c r="G521" t="s">
        <v>1110</v>
      </c>
      <c r="H521" s="40">
        <v>100</v>
      </c>
      <c r="J521">
        <v>5511</v>
      </c>
      <c r="K521" s="3" t="str">
        <f>VLOOKUP(Table2[[#This Row],[Konto]],Table5[[Konto]:[Konto nimetus]],2,FALSE)</f>
        <v>Kinnistute, hoonete ja ruumide majandamiskulud</v>
      </c>
      <c r="L521">
        <v>55</v>
      </c>
      <c r="M521" t="str">
        <f t="shared" si="17"/>
        <v>55</v>
      </c>
      <c r="N521" s="3" t="str">
        <f>VLOOKUP(Table2[[#This Row],[Tulu/kulu liik2]],Table5[[Tulu/kulu liik]:[Kontode koondnimetus]],4,FALSE)</f>
        <v>Muud tegevuskulud</v>
      </c>
      <c r="O521" s="3" t="str">
        <f>VLOOKUP(Table2[[#This Row],[Tulu/kulu liik2]],Table5[],6,FALSE)</f>
        <v>Majandamiskulud</v>
      </c>
      <c r="P521" s="3" t="str">
        <f>VLOOKUP(Table2[[#This Row],[Tulu/kulu liik2]],Table5[],5,FALSE)</f>
        <v>Põhitegevuse kulu</v>
      </c>
    </row>
    <row r="522" spans="1:16" hidden="1" x14ac:dyDescent="0.25">
      <c r="A522" t="str">
        <f t="shared" si="16"/>
        <v>08</v>
      </c>
      <c r="B522" t="s">
        <v>306</v>
      </c>
      <c r="C522" s="3" t="str">
        <f>VLOOKUP(Table2[[#This Row],[Tegevusala]],Table4[],2,FALSE)</f>
        <v>Laekvere Rahvamaja</v>
      </c>
      <c r="D522" s="3" t="str">
        <f>VLOOKUP(Table2[[#This Row],[Tegevusala]],Table4[[Tegevusala kood]:[Tegevusala alanimetus]],4,FALSE)</f>
        <v>Rahvakultuur</v>
      </c>
      <c r="E522" s="3" t="str">
        <f>VLOOKUP(Table2[[#This Row],[Tegevusala nimetus2]],Table4[[Tegevusala nimetus]:[Tegevusala koondnimetus]],2,FALSE)</f>
        <v>Vabaaeg, kultuur ja religioon</v>
      </c>
      <c r="F522" t="s">
        <v>1090</v>
      </c>
      <c r="G522" t="s">
        <v>1111</v>
      </c>
      <c r="H522" s="40">
        <v>500</v>
      </c>
      <c r="I522" s="2" t="s">
        <v>1112</v>
      </c>
      <c r="J522">
        <v>5511</v>
      </c>
      <c r="K522" s="3" t="str">
        <f>VLOOKUP(Table2[[#This Row],[Konto]],Table5[[Konto]:[Konto nimetus]],2,FALSE)</f>
        <v>Kinnistute, hoonete ja ruumide majandamiskulud</v>
      </c>
      <c r="L522">
        <v>55</v>
      </c>
      <c r="M522" t="str">
        <f t="shared" si="17"/>
        <v>55</v>
      </c>
      <c r="N522" s="3" t="str">
        <f>VLOOKUP(Table2[[#This Row],[Tulu/kulu liik2]],Table5[[Tulu/kulu liik]:[Kontode koondnimetus]],4,FALSE)</f>
        <v>Muud tegevuskulud</v>
      </c>
      <c r="O522" s="3" t="str">
        <f>VLOOKUP(Table2[[#This Row],[Tulu/kulu liik2]],Table5[],6,FALSE)</f>
        <v>Majandamiskulud</v>
      </c>
      <c r="P522" s="3" t="str">
        <f>VLOOKUP(Table2[[#This Row],[Tulu/kulu liik2]],Table5[],5,FALSE)</f>
        <v>Põhitegevuse kulu</v>
      </c>
    </row>
    <row r="523" spans="1:16" hidden="1" x14ac:dyDescent="0.25">
      <c r="A523" t="str">
        <f t="shared" si="16"/>
        <v>08</v>
      </c>
      <c r="B523" t="s">
        <v>306</v>
      </c>
      <c r="C523" s="3" t="str">
        <f>VLOOKUP(Table2[[#This Row],[Tegevusala]],Table4[],2,FALSE)</f>
        <v>Laekvere Rahvamaja</v>
      </c>
      <c r="D523" s="3" t="str">
        <f>VLOOKUP(Table2[[#This Row],[Tegevusala]],Table4[[Tegevusala kood]:[Tegevusala alanimetus]],4,FALSE)</f>
        <v>Rahvakultuur</v>
      </c>
      <c r="E523" s="3" t="str">
        <f>VLOOKUP(Table2[[#This Row],[Tegevusala nimetus2]],Table4[[Tegevusala nimetus]:[Tegevusala koondnimetus]],2,FALSE)</f>
        <v>Vabaaeg, kultuur ja religioon</v>
      </c>
      <c r="F523" t="s">
        <v>822</v>
      </c>
      <c r="G523" t="s">
        <v>2030</v>
      </c>
      <c r="H523" s="40">
        <v>64820</v>
      </c>
      <c r="J523">
        <v>1551</v>
      </c>
      <c r="K523" s="3" t="str">
        <f>VLOOKUP(Table2[[#This Row],[Konto]],Table5[[Konto]:[Konto nimetus]],2,FALSE)</f>
        <v>Rajatiste ja hoonete soetamine ja renoveerimine</v>
      </c>
      <c r="L523">
        <v>15</v>
      </c>
      <c r="M523" t="str">
        <f t="shared" si="17"/>
        <v>15</v>
      </c>
      <c r="N523" s="3" t="str">
        <f>VLOOKUP(Table2[[#This Row],[Tulu/kulu liik2]],Table5[[Tulu/kulu liik]:[Kontode koondnimetus]],4,FALSE)</f>
        <v>Põhivara soetus (-)</v>
      </c>
      <c r="O523" s="34" t="str">
        <f>VLOOKUP(Table2[[#This Row],[Tulu/kulu liik2]],Table5[],6,FALSE)</f>
        <v>Põhivara soetus (-)</v>
      </c>
      <c r="P523" s="3" t="str">
        <f>VLOOKUP(Table2[[#This Row],[Tulu/kulu liik2]],Table5[],5,FALSE)</f>
        <v>Investeerimistegevus</v>
      </c>
    </row>
    <row r="524" spans="1:16" hidden="1" x14ac:dyDescent="0.25">
      <c r="A524" t="str">
        <f t="shared" si="16"/>
        <v>08</v>
      </c>
      <c r="B524" t="s">
        <v>306</v>
      </c>
      <c r="C524" s="3" t="str">
        <f>VLOOKUP(Table2[[#This Row],[Tegevusala]],Table4[],2,FALSE)</f>
        <v>Laekvere Rahvamaja</v>
      </c>
      <c r="D524" s="3" t="str">
        <f>VLOOKUP(Table2[[#This Row],[Tegevusala]],Table4[[Tegevusala kood]:[Tegevusala alanimetus]],4,FALSE)</f>
        <v>Rahvakultuur</v>
      </c>
      <c r="E524" s="3" t="str">
        <f>VLOOKUP(Table2[[#This Row],[Tegevusala nimetus2]],Table4[[Tegevusala nimetus]:[Tegevusala koondnimetus]],2,FALSE)</f>
        <v>Vabaaeg, kultuur ja religioon</v>
      </c>
      <c r="F524" t="s">
        <v>822</v>
      </c>
      <c r="G524" t="s">
        <v>2197</v>
      </c>
      <c r="H524" s="40">
        <v>32000</v>
      </c>
      <c r="J524">
        <v>1551</v>
      </c>
      <c r="K524" s="3" t="str">
        <f>VLOOKUP(Table2[[#This Row],[Konto]],Table5[[Konto]:[Konto nimetus]],2,FALSE)</f>
        <v>Rajatiste ja hoonete soetamine ja renoveerimine</v>
      </c>
      <c r="L524">
        <v>15</v>
      </c>
      <c r="M524" t="str">
        <f t="shared" si="17"/>
        <v>15</v>
      </c>
      <c r="N524" s="3" t="str">
        <f>VLOOKUP(Table2[[#This Row],[Tulu/kulu liik2]],Table5[[Tulu/kulu liik]:[Kontode koondnimetus]],4,FALSE)</f>
        <v>Põhivara soetus (-)</v>
      </c>
      <c r="O524" s="34" t="str">
        <f>VLOOKUP(Table2[[#This Row],[Tulu/kulu liik2]],Table5[],6,FALSE)</f>
        <v>Põhivara soetus (-)</v>
      </c>
      <c r="P524" s="3" t="str">
        <f>VLOOKUP(Table2[[#This Row],[Tulu/kulu liik2]],Table5[],5,FALSE)</f>
        <v>Investeerimistegevus</v>
      </c>
    </row>
    <row r="525" spans="1:16" hidden="1" x14ac:dyDescent="0.25">
      <c r="A525" t="str">
        <f t="shared" si="16"/>
        <v>08</v>
      </c>
      <c r="B525" t="s">
        <v>306</v>
      </c>
      <c r="C525" s="3" t="str">
        <f>VLOOKUP(Table2[[#This Row],[Tegevusala]],Table4[],2,FALSE)</f>
        <v>Laekvere Rahvamaja</v>
      </c>
      <c r="D525" s="3" t="str">
        <f>VLOOKUP(Table2[[#This Row],[Tegevusala]],Table4[[Tegevusala kood]:[Tegevusala alanimetus]],4,FALSE)</f>
        <v>Rahvakultuur</v>
      </c>
      <c r="E525" s="3" t="str">
        <f>VLOOKUP(Table2[[#This Row],[Tegevusala nimetus2]],Table4[[Tegevusala nimetus]:[Tegevusala koondnimetus]],2,FALSE)</f>
        <v>Vabaaeg, kultuur ja religioon</v>
      </c>
      <c r="F525" t="s">
        <v>1090</v>
      </c>
      <c r="G525" t="s">
        <v>2152</v>
      </c>
      <c r="H525" s="40">
        <v>552</v>
      </c>
      <c r="J525">
        <v>5513</v>
      </c>
      <c r="K525" s="3" t="str">
        <f>VLOOKUP(Table2[[#This Row],[Konto]],Table5[[Konto]:[Konto nimetus]],2,FALSE)</f>
        <v>Sõidukite ülalpidamise kulud</v>
      </c>
      <c r="L525">
        <v>55</v>
      </c>
      <c r="M525" t="str">
        <f t="shared" si="17"/>
        <v>55</v>
      </c>
      <c r="N525" s="3" t="str">
        <f>VLOOKUP(Table2[[#This Row],[Tulu/kulu liik2]],Table5[[Tulu/kulu liik]:[Kontode koondnimetus]],4,FALSE)</f>
        <v>Muud tegevuskulud</v>
      </c>
      <c r="O525" s="34" t="str">
        <f>VLOOKUP(Table2[[#This Row],[Tulu/kulu liik2]],Table5[],6,FALSE)</f>
        <v>Majandamiskulud</v>
      </c>
      <c r="P525" s="3" t="str">
        <f>VLOOKUP(Table2[[#This Row],[Tulu/kulu liik2]],Table5[],5,FALSE)</f>
        <v>Põhitegevuse kulu</v>
      </c>
    </row>
    <row r="526" spans="1:16" hidden="1" x14ac:dyDescent="0.25">
      <c r="A526" t="str">
        <f t="shared" si="16"/>
        <v>08</v>
      </c>
      <c r="B526" t="s">
        <v>306</v>
      </c>
      <c r="C526" s="3" t="str">
        <f>VLOOKUP(Table2[[#This Row],[Tegevusala]],Table4[],2,FALSE)</f>
        <v>Laekvere Rahvamaja</v>
      </c>
      <c r="D526" s="3" t="str">
        <f>VLOOKUP(Table2[[#This Row],[Tegevusala]],Table4[[Tegevusala kood]:[Tegevusala alanimetus]],4,FALSE)</f>
        <v>Rahvakultuur</v>
      </c>
      <c r="E526" s="3" t="str">
        <f>VLOOKUP(Table2[[#This Row],[Tegevusala nimetus2]],Table4[[Tegevusala nimetus]:[Tegevusala koondnimetus]],2,FALSE)</f>
        <v>Vabaaeg, kultuur ja religioon</v>
      </c>
      <c r="F526" t="s">
        <v>822</v>
      </c>
      <c r="G526" t="s">
        <v>2030</v>
      </c>
      <c r="H526" s="40">
        <v>20000</v>
      </c>
      <c r="I526" s="2" t="s">
        <v>2162</v>
      </c>
      <c r="J526">
        <v>1551</v>
      </c>
      <c r="K526" s="3" t="str">
        <f>VLOOKUP(Table2[[#This Row],[Konto]],Table5[[Konto]:[Konto nimetus]],2,FALSE)</f>
        <v>Rajatiste ja hoonete soetamine ja renoveerimine</v>
      </c>
      <c r="L526">
        <v>15</v>
      </c>
      <c r="M526" t="str">
        <f t="shared" si="17"/>
        <v>15</v>
      </c>
      <c r="N526" s="3" t="str">
        <f>VLOOKUP(Table2[[#This Row],[Tulu/kulu liik2]],Table5[[Tulu/kulu liik]:[Kontode koondnimetus]],4,FALSE)</f>
        <v>Põhivara soetus (-)</v>
      </c>
      <c r="O526" s="34" t="str">
        <f>VLOOKUP(Table2[[#This Row],[Tulu/kulu liik2]],Table5[],6,FALSE)</f>
        <v>Põhivara soetus (-)</v>
      </c>
      <c r="P526" s="3" t="str">
        <f>VLOOKUP(Table2[[#This Row],[Tulu/kulu liik2]],Table5[],5,FALSE)</f>
        <v>Investeerimistegevus</v>
      </c>
    </row>
    <row r="527" spans="1:16" hidden="1" x14ac:dyDescent="0.25">
      <c r="A527" t="str">
        <f t="shared" si="16"/>
        <v>08</v>
      </c>
      <c r="B527" t="s">
        <v>307</v>
      </c>
      <c r="C527" s="3" t="str">
        <f>VLOOKUP(Table2[[#This Row],[Tegevusala]],Table4[],2,FALSE)</f>
        <v>Venevere Seltsimaja</v>
      </c>
      <c r="D527" s="3" t="str">
        <f>VLOOKUP(Table2[[#This Row],[Tegevusala]],Table4[[Tegevusala kood]:[Tegevusala alanimetus]],4,FALSE)</f>
        <v>Rahvakultuur</v>
      </c>
      <c r="E527" s="3" t="str">
        <f>VLOOKUP(Table2[[#This Row],[Tegevusala nimetus2]],Table4[[Tegevusala nimetus]:[Tegevusala koondnimetus]],2,FALSE)</f>
        <v>Vabaaeg, kultuur ja religioon</v>
      </c>
      <c r="F527" t="s">
        <v>1564</v>
      </c>
      <c r="G527" t="s">
        <v>1565</v>
      </c>
      <c r="H527" s="40">
        <v>8000</v>
      </c>
      <c r="J527">
        <v>5511</v>
      </c>
      <c r="K527" s="3" t="str">
        <f>VLOOKUP(Table2[[#This Row],[Konto]],Table5[[Konto]:[Konto nimetus]],2,FALSE)</f>
        <v>Kinnistute, hoonete ja ruumide majandamiskulud</v>
      </c>
      <c r="L527">
        <v>55</v>
      </c>
      <c r="M527" t="str">
        <f t="shared" si="17"/>
        <v>55</v>
      </c>
      <c r="N527" s="3" t="str">
        <f>VLOOKUP(Table2[[#This Row],[Tulu/kulu liik2]],Table5[[Tulu/kulu liik]:[Kontode koondnimetus]],4,FALSE)</f>
        <v>Muud tegevuskulud</v>
      </c>
      <c r="O527" s="3" t="str">
        <f>VLOOKUP(Table2[[#This Row],[Tulu/kulu liik2]],Table5[],6,FALSE)</f>
        <v>Majandamiskulud</v>
      </c>
      <c r="P527" s="3" t="str">
        <f>VLOOKUP(Table2[[#This Row],[Tulu/kulu liik2]],Table5[],5,FALSE)</f>
        <v>Põhitegevuse kulu</v>
      </c>
    </row>
    <row r="528" spans="1:16" hidden="1" x14ac:dyDescent="0.25">
      <c r="A528" t="str">
        <f t="shared" si="16"/>
        <v>08</v>
      </c>
      <c r="B528" t="s">
        <v>307</v>
      </c>
      <c r="C528" s="3" t="str">
        <f>VLOOKUP(Table2[[#This Row],[Tegevusala]],Table4[],2,FALSE)</f>
        <v>Venevere Seltsimaja</v>
      </c>
      <c r="D528" s="3" t="str">
        <f>VLOOKUP(Table2[[#This Row],[Tegevusala]],Table4[[Tegevusala kood]:[Tegevusala alanimetus]],4,FALSE)</f>
        <v>Rahvakultuur</v>
      </c>
      <c r="E528" s="3" t="str">
        <f>VLOOKUP(Table2[[#This Row],[Tegevusala nimetus2]],Table4[[Tegevusala nimetus]:[Tegevusala koondnimetus]],2,FALSE)</f>
        <v>Vabaaeg, kultuur ja religioon</v>
      </c>
      <c r="F528" t="s">
        <v>1564</v>
      </c>
      <c r="G528" t="s">
        <v>1099</v>
      </c>
      <c r="H528" s="40">
        <v>120</v>
      </c>
      <c r="J528">
        <v>5500</v>
      </c>
      <c r="K528" s="3" t="str">
        <f>VLOOKUP(Table2[[#This Row],[Konto]],Table5[[Konto]:[Konto nimetus]],2,FALSE)</f>
        <v>Administreerimiskulud</v>
      </c>
      <c r="L528">
        <v>55</v>
      </c>
      <c r="M528" t="str">
        <f t="shared" si="17"/>
        <v>55</v>
      </c>
      <c r="N528" s="3" t="str">
        <f>VLOOKUP(Table2[[#This Row],[Tulu/kulu liik2]],Table5[[Tulu/kulu liik]:[Kontode koondnimetus]],4,FALSE)</f>
        <v>Muud tegevuskulud</v>
      </c>
      <c r="O528" s="3" t="str">
        <f>VLOOKUP(Table2[[#This Row],[Tulu/kulu liik2]],Table5[],6,FALSE)</f>
        <v>Majandamiskulud</v>
      </c>
      <c r="P528" s="3" t="str">
        <f>VLOOKUP(Table2[[#This Row],[Tulu/kulu liik2]],Table5[],5,FALSE)</f>
        <v>Põhitegevuse kulu</v>
      </c>
    </row>
    <row r="529" spans="1:16" hidden="1" x14ac:dyDescent="0.25">
      <c r="A529" t="str">
        <f t="shared" si="16"/>
        <v>08</v>
      </c>
      <c r="B529" t="s">
        <v>307</v>
      </c>
      <c r="C529" s="3" t="str">
        <f>VLOOKUP(Table2[[#This Row],[Tegevusala]],Table4[],2,FALSE)</f>
        <v>Venevere Seltsimaja</v>
      </c>
      <c r="D529" s="3" t="str">
        <f>VLOOKUP(Table2[[#This Row],[Tegevusala]],Table4[[Tegevusala kood]:[Tegevusala alanimetus]],4,FALSE)</f>
        <v>Rahvakultuur</v>
      </c>
      <c r="E529" s="3" t="str">
        <f>VLOOKUP(Table2[[#This Row],[Tegevusala nimetus2]],Table4[[Tegevusala nimetus]:[Tegevusala koondnimetus]],2,FALSE)</f>
        <v>Vabaaeg, kultuur ja religioon</v>
      </c>
      <c r="F529" t="s">
        <v>1564</v>
      </c>
      <c r="G529" t="s">
        <v>1500</v>
      </c>
      <c r="H529" s="40">
        <v>100</v>
      </c>
      <c r="J529">
        <v>5504</v>
      </c>
      <c r="K529" s="3" t="str">
        <f>VLOOKUP(Table2[[#This Row],[Konto]],Table5[[Konto]:[Konto nimetus]],2,FALSE)</f>
        <v>Koolituskulud</v>
      </c>
      <c r="L529">
        <v>55</v>
      </c>
      <c r="M529" t="str">
        <f t="shared" si="17"/>
        <v>55</v>
      </c>
      <c r="N529" s="3" t="str">
        <f>VLOOKUP(Table2[[#This Row],[Tulu/kulu liik2]],Table5[[Tulu/kulu liik]:[Kontode koondnimetus]],4,FALSE)</f>
        <v>Muud tegevuskulud</v>
      </c>
      <c r="O529" s="3" t="str">
        <f>VLOOKUP(Table2[[#This Row],[Tulu/kulu liik2]],Table5[],6,FALSE)</f>
        <v>Majandamiskulud</v>
      </c>
      <c r="P529" s="3" t="str">
        <f>VLOOKUP(Table2[[#This Row],[Tulu/kulu liik2]],Table5[],5,FALSE)</f>
        <v>Põhitegevuse kulu</v>
      </c>
    </row>
    <row r="530" spans="1:16" hidden="1" x14ac:dyDescent="0.25">
      <c r="A530" t="str">
        <f t="shared" si="16"/>
        <v>08</v>
      </c>
      <c r="B530" t="s">
        <v>307</v>
      </c>
      <c r="C530" s="3" t="str">
        <f>VLOOKUP(Table2[[#This Row],[Tegevusala]],Table4[],2,FALSE)</f>
        <v>Venevere Seltsimaja</v>
      </c>
      <c r="D530" s="3" t="str">
        <f>VLOOKUP(Table2[[#This Row],[Tegevusala]],Table4[[Tegevusala kood]:[Tegevusala alanimetus]],4,FALSE)</f>
        <v>Rahvakultuur</v>
      </c>
      <c r="E530" s="3" t="str">
        <f>VLOOKUP(Table2[[#This Row],[Tegevusala nimetus2]],Table4[[Tegevusala nimetus]:[Tegevusala koondnimetus]],2,FALSE)</f>
        <v>Vabaaeg, kultuur ja religioon</v>
      </c>
      <c r="F530" t="s">
        <v>1564</v>
      </c>
      <c r="G530" t="s">
        <v>1566</v>
      </c>
      <c r="H530" s="40">
        <v>400</v>
      </c>
      <c r="J530">
        <v>5513</v>
      </c>
      <c r="K530" s="3" t="str">
        <f>VLOOKUP(Table2[[#This Row],[Konto]],Table5[[Konto]:[Konto nimetus]],2,FALSE)</f>
        <v>Sõidukite ülalpidamise kulud</v>
      </c>
      <c r="L530">
        <v>55</v>
      </c>
      <c r="M530" t="str">
        <f t="shared" si="17"/>
        <v>55</v>
      </c>
      <c r="N530" s="3" t="str">
        <f>VLOOKUP(Table2[[#This Row],[Tulu/kulu liik2]],Table5[[Tulu/kulu liik]:[Kontode koondnimetus]],4,FALSE)</f>
        <v>Muud tegevuskulud</v>
      </c>
      <c r="O530" s="3" t="str">
        <f>VLOOKUP(Table2[[#This Row],[Tulu/kulu liik2]],Table5[],6,FALSE)</f>
        <v>Majandamiskulud</v>
      </c>
      <c r="P530" s="3" t="str">
        <f>VLOOKUP(Table2[[#This Row],[Tulu/kulu liik2]],Table5[],5,FALSE)</f>
        <v>Põhitegevuse kulu</v>
      </c>
    </row>
    <row r="531" spans="1:16" hidden="1" x14ac:dyDescent="0.25">
      <c r="A531" t="str">
        <f t="shared" si="16"/>
        <v>08</v>
      </c>
      <c r="B531" t="s">
        <v>307</v>
      </c>
      <c r="C531" s="3" t="str">
        <f>VLOOKUP(Table2[[#This Row],[Tegevusala]],Table4[],2,FALSE)</f>
        <v>Venevere Seltsimaja</v>
      </c>
      <c r="D531" s="3" t="str">
        <f>VLOOKUP(Table2[[#This Row],[Tegevusala]],Table4[[Tegevusala kood]:[Tegevusala alanimetus]],4,FALSE)</f>
        <v>Rahvakultuur</v>
      </c>
      <c r="E531" s="3" t="str">
        <f>VLOOKUP(Table2[[#This Row],[Tegevusala nimetus2]],Table4[[Tegevusala nimetus]:[Tegevusala koondnimetus]],2,FALSE)</f>
        <v>Vabaaeg, kultuur ja religioon</v>
      </c>
      <c r="F531" t="s">
        <v>1564</v>
      </c>
      <c r="G531" t="s">
        <v>1568</v>
      </c>
      <c r="H531" s="40">
        <v>500</v>
      </c>
      <c r="J531">
        <v>5515</v>
      </c>
      <c r="K531" s="3" t="str">
        <f>VLOOKUP(Table2[[#This Row],[Konto]],Table5[[Konto]:[Konto nimetus]],2,FALSE)</f>
        <v>Inventari kulud, v.a infotehnoloogia ja kaitseotstarbelised kulud</v>
      </c>
      <c r="L531">
        <v>55</v>
      </c>
      <c r="M531" t="str">
        <f t="shared" si="17"/>
        <v>55</v>
      </c>
      <c r="N531" s="3" t="str">
        <f>VLOOKUP(Table2[[#This Row],[Tulu/kulu liik2]],Table5[[Tulu/kulu liik]:[Kontode koondnimetus]],4,FALSE)</f>
        <v>Muud tegevuskulud</v>
      </c>
      <c r="O531" s="3" t="str">
        <f>VLOOKUP(Table2[[#This Row],[Tulu/kulu liik2]],Table5[],6,FALSE)</f>
        <v>Majandamiskulud</v>
      </c>
      <c r="P531" s="3" t="str">
        <f>VLOOKUP(Table2[[#This Row],[Tulu/kulu liik2]],Table5[],5,FALSE)</f>
        <v>Põhitegevuse kulu</v>
      </c>
    </row>
    <row r="532" spans="1:16" hidden="1" x14ac:dyDescent="0.25">
      <c r="A532" t="str">
        <f t="shared" si="16"/>
        <v>08</v>
      </c>
      <c r="B532" t="s">
        <v>307</v>
      </c>
      <c r="C532" s="3" t="str">
        <f>VLOOKUP(Table2[[#This Row],[Tegevusala]],Table4[],2,FALSE)</f>
        <v>Venevere Seltsimaja</v>
      </c>
      <c r="D532" s="3" t="str">
        <f>VLOOKUP(Table2[[#This Row],[Tegevusala]],Table4[[Tegevusala kood]:[Tegevusala alanimetus]],4,FALSE)</f>
        <v>Rahvakultuur</v>
      </c>
      <c r="E532" s="3" t="str">
        <f>VLOOKUP(Table2[[#This Row],[Tegevusala nimetus2]],Table4[[Tegevusala nimetus]:[Tegevusala koondnimetus]],2,FALSE)</f>
        <v>Vabaaeg, kultuur ja religioon</v>
      </c>
      <c r="F532" t="s">
        <v>1564</v>
      </c>
      <c r="G532" t="s">
        <v>768</v>
      </c>
      <c r="H532" s="40">
        <v>2730</v>
      </c>
      <c r="J532">
        <v>5525</v>
      </c>
      <c r="K532" s="3" t="str">
        <f>VLOOKUP(Table2[[#This Row],[Konto]],Table5[[Konto]:[Konto nimetus]],2,FALSE)</f>
        <v>Kommunikatsiooni-, kultuuri- ja vaba aja sisustamise kulud</v>
      </c>
      <c r="L532">
        <v>55</v>
      </c>
      <c r="M532" t="str">
        <f t="shared" si="17"/>
        <v>55</v>
      </c>
      <c r="N532" s="3" t="str">
        <f>VLOOKUP(Table2[[#This Row],[Tulu/kulu liik2]],Table5[[Tulu/kulu liik]:[Kontode koondnimetus]],4,FALSE)</f>
        <v>Muud tegevuskulud</v>
      </c>
      <c r="O532" s="3" t="str">
        <f>VLOOKUP(Table2[[#This Row],[Tulu/kulu liik2]],Table5[],6,FALSE)</f>
        <v>Majandamiskulud</v>
      </c>
      <c r="P532" s="3" t="str">
        <f>VLOOKUP(Table2[[#This Row],[Tulu/kulu liik2]],Table5[],5,FALSE)</f>
        <v>Põhitegevuse kulu</v>
      </c>
    </row>
    <row r="533" spans="1:16" hidden="1" x14ac:dyDescent="0.25">
      <c r="A533" t="str">
        <f t="shared" si="16"/>
        <v>08</v>
      </c>
      <c r="B533" t="s">
        <v>307</v>
      </c>
      <c r="C533" s="3" t="str">
        <f>VLOOKUP(Table2[[#This Row],[Tegevusala]],Table4[],2,FALSE)</f>
        <v>Venevere Seltsimaja</v>
      </c>
      <c r="D533" s="3" t="str">
        <f>VLOOKUP(Table2[[#This Row],[Tegevusala]],Table4[[Tegevusala kood]:[Tegevusala alanimetus]],4,FALSE)</f>
        <v>Rahvakultuur</v>
      </c>
      <c r="E533" s="3" t="str">
        <f>VLOOKUP(Table2[[#This Row],[Tegevusala nimetus2]],Table4[[Tegevusala nimetus]:[Tegevusala koondnimetus]],2,FALSE)</f>
        <v>Vabaaeg, kultuur ja religioon</v>
      </c>
      <c r="F533" t="s">
        <v>1564</v>
      </c>
      <c r="G533" t="s">
        <v>1567</v>
      </c>
      <c r="H533" s="40">
        <v>600</v>
      </c>
      <c r="J533">
        <v>5514</v>
      </c>
      <c r="K533" s="3" t="str">
        <f>VLOOKUP(Table2[[#This Row],[Konto]],Table5[[Konto]:[Konto nimetus]],2,FALSE)</f>
        <v>Info- ja kommunikatsioonitehnoliigised kulud</v>
      </c>
      <c r="L533">
        <v>55</v>
      </c>
      <c r="M533" t="str">
        <f t="shared" si="17"/>
        <v>55</v>
      </c>
      <c r="N533" s="3" t="str">
        <f>VLOOKUP(Table2[[#This Row],[Tulu/kulu liik2]],Table5[[Tulu/kulu liik]:[Kontode koondnimetus]],4,FALSE)</f>
        <v>Muud tegevuskulud</v>
      </c>
      <c r="O533" s="3" t="str">
        <f>VLOOKUP(Table2[[#This Row],[Tulu/kulu liik2]],Table5[],6,FALSE)</f>
        <v>Majandamiskulud</v>
      </c>
      <c r="P533" s="3" t="str">
        <f>VLOOKUP(Table2[[#This Row],[Tulu/kulu liik2]],Table5[],5,FALSE)</f>
        <v>Põhitegevuse kulu</v>
      </c>
    </row>
    <row r="534" spans="1:16" hidden="1" x14ac:dyDescent="0.25">
      <c r="A534" t="str">
        <f t="shared" si="16"/>
        <v>08</v>
      </c>
      <c r="B534" t="s">
        <v>308</v>
      </c>
      <c r="C534" s="3" t="str">
        <f>VLOOKUP(Table2[[#This Row],[Tegevusala]],Table4[],2,FALSE)</f>
        <v>Ulvi Klubi</v>
      </c>
      <c r="D534" s="3" t="str">
        <f>VLOOKUP(Table2[[#This Row],[Tegevusala]],Table4[[Tegevusala kood]:[Tegevusala alanimetus]],4,FALSE)</f>
        <v>Rahvakultuur</v>
      </c>
      <c r="E534" s="3" t="str">
        <f>VLOOKUP(Table2[[#This Row],[Tegevusala nimetus2]],Table4[[Tegevusala nimetus]:[Tegevusala koondnimetus]],2,FALSE)</f>
        <v>Vabaaeg, kultuur ja religioon</v>
      </c>
      <c r="F534" t="s">
        <v>1122</v>
      </c>
      <c r="G534" t="s">
        <v>1124</v>
      </c>
      <c r="H534" s="40">
        <v>350</v>
      </c>
      <c r="I534" s="2" t="s">
        <v>1125</v>
      </c>
      <c r="J534">
        <v>5500</v>
      </c>
      <c r="K534" s="3" t="str">
        <f>VLOOKUP(Table2[[#This Row],[Konto]],Table5[[Konto]:[Konto nimetus]],2,FALSE)</f>
        <v>Administreerimiskulud</v>
      </c>
      <c r="L534">
        <v>55</v>
      </c>
      <c r="M534" t="str">
        <f t="shared" si="17"/>
        <v>55</v>
      </c>
      <c r="N534" s="3" t="str">
        <f>VLOOKUP(Table2[[#This Row],[Tulu/kulu liik2]],Table5[[Tulu/kulu liik]:[Kontode koondnimetus]],4,FALSE)</f>
        <v>Muud tegevuskulud</v>
      </c>
      <c r="O534" s="3" t="str">
        <f>VLOOKUP(Table2[[#This Row],[Tulu/kulu liik2]],Table5[],6,FALSE)</f>
        <v>Majandamiskulud</v>
      </c>
      <c r="P534" s="3" t="str">
        <f>VLOOKUP(Table2[[#This Row],[Tulu/kulu liik2]],Table5[],5,FALSE)</f>
        <v>Põhitegevuse kulu</v>
      </c>
    </row>
    <row r="535" spans="1:16" hidden="1" x14ac:dyDescent="0.25">
      <c r="A535" t="str">
        <f t="shared" si="16"/>
        <v>08</v>
      </c>
      <c r="B535" t="s">
        <v>308</v>
      </c>
      <c r="C535" s="3" t="str">
        <f>VLOOKUP(Table2[[#This Row],[Tegevusala]],Table4[],2,FALSE)</f>
        <v>Ulvi Klubi</v>
      </c>
      <c r="D535" s="3" t="str">
        <f>VLOOKUP(Table2[[#This Row],[Tegevusala]],Table4[[Tegevusala kood]:[Tegevusala alanimetus]],4,FALSE)</f>
        <v>Rahvakultuur</v>
      </c>
      <c r="E535" s="3" t="str">
        <f>VLOOKUP(Table2[[#This Row],[Tegevusala nimetus2]],Table4[[Tegevusala nimetus]:[Tegevusala koondnimetus]],2,FALSE)</f>
        <v>Vabaaeg, kultuur ja religioon</v>
      </c>
      <c r="F535" t="s">
        <v>1122</v>
      </c>
      <c r="G535" t="s">
        <v>1126</v>
      </c>
      <c r="H535" s="40">
        <v>100</v>
      </c>
      <c r="I535" s="2" t="s">
        <v>1127</v>
      </c>
      <c r="J535">
        <v>5500</v>
      </c>
      <c r="K535" s="3" t="str">
        <f>VLOOKUP(Table2[[#This Row],[Konto]],Table5[[Konto]:[Konto nimetus]],2,FALSE)</f>
        <v>Administreerimiskulud</v>
      </c>
      <c r="L535">
        <v>55</v>
      </c>
      <c r="M535" t="str">
        <f t="shared" si="17"/>
        <v>55</v>
      </c>
      <c r="N535" s="3" t="str">
        <f>VLOOKUP(Table2[[#This Row],[Tulu/kulu liik2]],Table5[[Tulu/kulu liik]:[Kontode koondnimetus]],4,FALSE)</f>
        <v>Muud tegevuskulud</v>
      </c>
      <c r="O535" s="3" t="str">
        <f>VLOOKUP(Table2[[#This Row],[Tulu/kulu liik2]],Table5[],6,FALSE)</f>
        <v>Majandamiskulud</v>
      </c>
      <c r="P535" s="3" t="str">
        <f>VLOOKUP(Table2[[#This Row],[Tulu/kulu liik2]],Table5[],5,FALSE)</f>
        <v>Põhitegevuse kulu</v>
      </c>
    </row>
    <row r="536" spans="1:16" hidden="1" x14ac:dyDescent="0.25">
      <c r="A536" t="str">
        <f t="shared" si="16"/>
        <v>08</v>
      </c>
      <c r="B536" t="s">
        <v>308</v>
      </c>
      <c r="C536" s="3" t="str">
        <f>VLOOKUP(Table2[[#This Row],[Tegevusala]],Table4[],2,FALSE)</f>
        <v>Ulvi Klubi</v>
      </c>
      <c r="D536" s="3" t="str">
        <f>VLOOKUP(Table2[[#This Row],[Tegevusala]],Table4[[Tegevusala kood]:[Tegevusala alanimetus]],4,FALSE)</f>
        <v>Rahvakultuur</v>
      </c>
      <c r="E536" s="3" t="str">
        <f>VLOOKUP(Table2[[#This Row],[Tegevusala nimetus2]],Table4[[Tegevusala nimetus]:[Tegevusala koondnimetus]],2,FALSE)</f>
        <v>Vabaaeg, kultuur ja religioon</v>
      </c>
      <c r="F536" t="s">
        <v>1122</v>
      </c>
      <c r="G536" t="s">
        <v>1128</v>
      </c>
      <c r="H536" s="40">
        <v>50</v>
      </c>
      <c r="J536">
        <v>5500</v>
      </c>
      <c r="K536" s="3" t="str">
        <f>VLOOKUP(Table2[[#This Row],[Konto]],Table5[[Konto]:[Konto nimetus]],2,FALSE)</f>
        <v>Administreerimiskulud</v>
      </c>
      <c r="L536">
        <v>55</v>
      </c>
      <c r="M536" t="str">
        <f t="shared" si="17"/>
        <v>55</v>
      </c>
      <c r="N536" s="3" t="str">
        <f>VLOOKUP(Table2[[#This Row],[Tulu/kulu liik2]],Table5[[Tulu/kulu liik]:[Kontode koondnimetus]],4,FALSE)</f>
        <v>Muud tegevuskulud</v>
      </c>
      <c r="O536" s="3" t="str">
        <f>VLOOKUP(Table2[[#This Row],[Tulu/kulu liik2]],Table5[],6,FALSE)</f>
        <v>Majandamiskulud</v>
      </c>
      <c r="P536" s="3" t="str">
        <f>VLOOKUP(Table2[[#This Row],[Tulu/kulu liik2]],Table5[],5,FALSE)</f>
        <v>Põhitegevuse kulu</v>
      </c>
    </row>
    <row r="537" spans="1:16" hidden="1" x14ac:dyDescent="0.25">
      <c r="A537" t="str">
        <f t="shared" si="16"/>
        <v>08</v>
      </c>
      <c r="B537" t="s">
        <v>308</v>
      </c>
      <c r="C537" s="3" t="str">
        <f>VLOOKUP(Table2[[#This Row],[Tegevusala]],Table4[],2,FALSE)</f>
        <v>Ulvi Klubi</v>
      </c>
      <c r="D537" s="3" t="str">
        <f>VLOOKUP(Table2[[#This Row],[Tegevusala]],Table4[[Tegevusala kood]:[Tegevusala alanimetus]],4,FALSE)</f>
        <v>Rahvakultuur</v>
      </c>
      <c r="E537" s="3" t="str">
        <f>VLOOKUP(Table2[[#This Row],[Tegevusala nimetus2]],Table4[[Tegevusala nimetus]:[Tegevusala koondnimetus]],2,FALSE)</f>
        <v>Vabaaeg, kultuur ja religioon</v>
      </c>
      <c r="F537" t="s">
        <v>1122</v>
      </c>
      <c r="G537" t="s">
        <v>1129</v>
      </c>
      <c r="H537" s="40">
        <v>450</v>
      </c>
      <c r="I537" s="2" t="s">
        <v>1130</v>
      </c>
      <c r="J537">
        <v>5504</v>
      </c>
      <c r="K537" s="3" t="str">
        <f>VLOOKUP(Table2[[#This Row],[Konto]],Table5[[Konto]:[Konto nimetus]],2,FALSE)</f>
        <v>Koolituskulud</v>
      </c>
      <c r="L537">
        <v>55</v>
      </c>
      <c r="M537" t="str">
        <f t="shared" si="17"/>
        <v>55</v>
      </c>
      <c r="N537" s="3" t="str">
        <f>VLOOKUP(Table2[[#This Row],[Tulu/kulu liik2]],Table5[[Tulu/kulu liik]:[Kontode koondnimetus]],4,FALSE)</f>
        <v>Muud tegevuskulud</v>
      </c>
      <c r="O537" s="3" t="str">
        <f>VLOOKUP(Table2[[#This Row],[Tulu/kulu liik2]],Table5[],6,FALSE)</f>
        <v>Majandamiskulud</v>
      </c>
      <c r="P537" s="3" t="str">
        <f>VLOOKUP(Table2[[#This Row],[Tulu/kulu liik2]],Table5[],5,FALSE)</f>
        <v>Põhitegevuse kulu</v>
      </c>
    </row>
    <row r="538" spans="1:16" hidden="1" x14ac:dyDescent="0.25">
      <c r="A538" t="str">
        <f t="shared" si="16"/>
        <v>08</v>
      </c>
      <c r="B538" t="s">
        <v>308</v>
      </c>
      <c r="C538" s="3" t="str">
        <f>VLOOKUP(Table2[[#This Row],[Tegevusala]],Table4[],2,FALSE)</f>
        <v>Ulvi Klubi</v>
      </c>
      <c r="D538" s="3" t="str">
        <f>VLOOKUP(Table2[[#This Row],[Tegevusala]],Table4[[Tegevusala kood]:[Tegevusala alanimetus]],4,FALSE)</f>
        <v>Rahvakultuur</v>
      </c>
      <c r="E538" s="3" t="str">
        <f>VLOOKUP(Table2[[#This Row],[Tegevusala nimetus2]],Table4[[Tegevusala nimetus]:[Tegevusala koondnimetus]],2,FALSE)</f>
        <v>Vabaaeg, kultuur ja religioon</v>
      </c>
      <c r="F538" t="s">
        <v>1122</v>
      </c>
      <c r="G538" t="s">
        <v>1152</v>
      </c>
      <c r="H538" s="40">
        <v>720</v>
      </c>
      <c r="I538" s="2" t="s">
        <v>1153</v>
      </c>
      <c r="J538">
        <v>5513</v>
      </c>
      <c r="K538" s="3" t="str">
        <f>VLOOKUP(Table2[[#This Row],[Konto]],Table5[[Konto]:[Konto nimetus]],2,FALSE)</f>
        <v>Sõidukite ülalpidamise kulud</v>
      </c>
      <c r="L538">
        <v>55</v>
      </c>
      <c r="M538" t="str">
        <f t="shared" si="17"/>
        <v>55</v>
      </c>
      <c r="N538" s="3" t="str">
        <f>VLOOKUP(Table2[[#This Row],[Tulu/kulu liik2]],Table5[[Tulu/kulu liik]:[Kontode koondnimetus]],4,FALSE)</f>
        <v>Muud tegevuskulud</v>
      </c>
      <c r="O538" s="3" t="str">
        <f>VLOOKUP(Table2[[#This Row],[Tulu/kulu liik2]],Table5[],6,FALSE)</f>
        <v>Majandamiskulud</v>
      </c>
      <c r="P538" s="3" t="str">
        <f>VLOOKUP(Table2[[#This Row],[Tulu/kulu liik2]],Table5[],5,FALSE)</f>
        <v>Põhitegevuse kulu</v>
      </c>
    </row>
    <row r="539" spans="1:16" hidden="1" x14ac:dyDescent="0.25">
      <c r="A539" t="str">
        <f t="shared" si="16"/>
        <v>08</v>
      </c>
      <c r="B539" t="s">
        <v>308</v>
      </c>
      <c r="C539" s="3" t="str">
        <f>VLOOKUP(Table2[[#This Row],[Tegevusala]],Table4[],2,FALSE)</f>
        <v>Ulvi Klubi</v>
      </c>
      <c r="D539" s="3" t="str">
        <f>VLOOKUP(Table2[[#This Row],[Tegevusala]],Table4[[Tegevusala kood]:[Tegevusala alanimetus]],4,FALSE)</f>
        <v>Rahvakultuur</v>
      </c>
      <c r="E539" s="3" t="str">
        <f>VLOOKUP(Table2[[#This Row],[Tegevusala nimetus2]],Table4[[Tegevusala nimetus]:[Tegevusala koondnimetus]],2,FALSE)</f>
        <v>Vabaaeg, kultuur ja religioon</v>
      </c>
      <c r="F539" t="s">
        <v>1122</v>
      </c>
      <c r="G539" t="s">
        <v>1155</v>
      </c>
      <c r="H539" s="40">
        <v>1500</v>
      </c>
      <c r="I539" s="2" t="s">
        <v>1156</v>
      </c>
      <c r="J539">
        <v>5525</v>
      </c>
      <c r="K539" s="3" t="str">
        <f>VLOOKUP(Table2[[#This Row],[Konto]],Table5[[Konto]:[Konto nimetus]],2,FALSE)</f>
        <v>Kommunikatsiooni-, kultuuri- ja vaba aja sisustamise kulud</v>
      </c>
      <c r="L539">
        <v>55</v>
      </c>
      <c r="M539" t="str">
        <f t="shared" si="17"/>
        <v>55</v>
      </c>
      <c r="N539" s="3" t="str">
        <f>VLOOKUP(Table2[[#This Row],[Tulu/kulu liik2]],Table5[[Tulu/kulu liik]:[Kontode koondnimetus]],4,FALSE)</f>
        <v>Muud tegevuskulud</v>
      </c>
      <c r="O539" s="3" t="str">
        <f>VLOOKUP(Table2[[#This Row],[Tulu/kulu liik2]],Table5[],6,FALSE)</f>
        <v>Majandamiskulud</v>
      </c>
      <c r="P539" s="3" t="str">
        <f>VLOOKUP(Table2[[#This Row],[Tulu/kulu liik2]],Table5[],5,FALSE)</f>
        <v>Põhitegevuse kulu</v>
      </c>
    </row>
    <row r="540" spans="1:16" hidden="1" x14ac:dyDescent="0.25">
      <c r="A540" t="str">
        <f t="shared" si="16"/>
        <v>08</v>
      </c>
      <c r="B540" t="s">
        <v>308</v>
      </c>
      <c r="C540" s="3" t="str">
        <f>VLOOKUP(Table2[[#This Row],[Tegevusala]],Table4[],2,FALSE)</f>
        <v>Ulvi Klubi</v>
      </c>
      <c r="D540" s="3" t="str">
        <f>VLOOKUP(Table2[[#This Row],[Tegevusala]],Table4[[Tegevusala kood]:[Tegevusala alanimetus]],4,FALSE)</f>
        <v>Rahvakultuur</v>
      </c>
      <c r="E540" s="3" t="str">
        <f>VLOOKUP(Table2[[#This Row],[Tegevusala nimetus2]],Table4[[Tegevusala nimetus]:[Tegevusala koondnimetus]],2,FALSE)</f>
        <v>Vabaaeg, kultuur ja religioon</v>
      </c>
      <c r="F540" t="s">
        <v>1122</v>
      </c>
      <c r="G540" t="s">
        <v>1157</v>
      </c>
      <c r="H540" s="40">
        <v>150</v>
      </c>
      <c r="I540" s="2" t="s">
        <v>1158</v>
      </c>
      <c r="J540">
        <v>5525</v>
      </c>
      <c r="K540" s="3" t="str">
        <f>VLOOKUP(Table2[[#This Row],[Konto]],Table5[[Konto]:[Konto nimetus]],2,FALSE)</f>
        <v>Kommunikatsiooni-, kultuuri- ja vaba aja sisustamise kulud</v>
      </c>
      <c r="L540">
        <v>55</v>
      </c>
      <c r="M540" t="str">
        <f t="shared" si="17"/>
        <v>55</v>
      </c>
      <c r="N540" s="3" t="str">
        <f>VLOOKUP(Table2[[#This Row],[Tulu/kulu liik2]],Table5[[Tulu/kulu liik]:[Kontode koondnimetus]],4,FALSE)</f>
        <v>Muud tegevuskulud</v>
      </c>
      <c r="O540" s="3" t="str">
        <f>VLOOKUP(Table2[[#This Row],[Tulu/kulu liik2]],Table5[],6,FALSE)</f>
        <v>Majandamiskulud</v>
      </c>
      <c r="P540" s="3" t="str">
        <f>VLOOKUP(Table2[[#This Row],[Tulu/kulu liik2]],Table5[],5,FALSE)</f>
        <v>Põhitegevuse kulu</v>
      </c>
    </row>
    <row r="541" spans="1:16" hidden="1" x14ac:dyDescent="0.25">
      <c r="A541" t="str">
        <f t="shared" si="16"/>
        <v>08</v>
      </c>
      <c r="B541" t="s">
        <v>308</v>
      </c>
      <c r="C541" s="3" t="str">
        <f>VLOOKUP(Table2[[#This Row],[Tegevusala]],Table4[],2,FALSE)</f>
        <v>Ulvi Klubi</v>
      </c>
      <c r="D541" s="3" t="str">
        <f>VLOOKUP(Table2[[#This Row],[Tegevusala]],Table4[[Tegevusala kood]:[Tegevusala alanimetus]],4,FALSE)</f>
        <v>Rahvakultuur</v>
      </c>
      <c r="E541" s="3" t="str">
        <f>VLOOKUP(Table2[[#This Row],[Tegevusala nimetus2]],Table4[[Tegevusala nimetus]:[Tegevusala koondnimetus]],2,FALSE)</f>
        <v>Vabaaeg, kultuur ja religioon</v>
      </c>
      <c r="F541" t="s">
        <v>1122</v>
      </c>
      <c r="G541" t="s">
        <v>1159</v>
      </c>
      <c r="H541" s="40">
        <v>200</v>
      </c>
      <c r="I541" s="2" t="s">
        <v>1160</v>
      </c>
      <c r="J541">
        <v>5525</v>
      </c>
      <c r="K541" s="3" t="str">
        <f>VLOOKUP(Table2[[#This Row],[Konto]],Table5[[Konto]:[Konto nimetus]],2,FALSE)</f>
        <v>Kommunikatsiooni-, kultuuri- ja vaba aja sisustamise kulud</v>
      </c>
      <c r="L541">
        <v>55</v>
      </c>
      <c r="M541" t="str">
        <f t="shared" si="17"/>
        <v>55</v>
      </c>
      <c r="N541" s="3" t="str">
        <f>VLOOKUP(Table2[[#This Row],[Tulu/kulu liik2]],Table5[[Tulu/kulu liik]:[Kontode koondnimetus]],4,FALSE)</f>
        <v>Muud tegevuskulud</v>
      </c>
      <c r="O541" s="3" t="str">
        <f>VLOOKUP(Table2[[#This Row],[Tulu/kulu liik2]],Table5[],6,FALSE)</f>
        <v>Majandamiskulud</v>
      </c>
      <c r="P541" s="3" t="str">
        <f>VLOOKUP(Table2[[#This Row],[Tulu/kulu liik2]],Table5[],5,FALSE)</f>
        <v>Põhitegevuse kulu</v>
      </c>
    </row>
    <row r="542" spans="1:16" hidden="1" x14ac:dyDescent="0.25">
      <c r="A542" t="str">
        <f t="shared" si="16"/>
        <v>08</v>
      </c>
      <c r="B542" t="s">
        <v>308</v>
      </c>
      <c r="C542" s="3" t="str">
        <f>VLOOKUP(Table2[[#This Row],[Tegevusala]],Table4[],2,FALSE)</f>
        <v>Ulvi Klubi</v>
      </c>
      <c r="D542" s="3" t="str">
        <f>VLOOKUP(Table2[[#This Row],[Tegevusala]],Table4[[Tegevusala kood]:[Tegevusala alanimetus]],4,FALSE)</f>
        <v>Rahvakultuur</v>
      </c>
      <c r="E542" s="3" t="str">
        <f>VLOOKUP(Table2[[#This Row],[Tegevusala nimetus2]],Table4[[Tegevusala nimetus]:[Tegevusala koondnimetus]],2,FALSE)</f>
        <v>Vabaaeg, kultuur ja religioon</v>
      </c>
      <c r="F542" t="s">
        <v>1122</v>
      </c>
      <c r="G542" t="s">
        <v>1161</v>
      </c>
      <c r="H542" s="40">
        <v>1000</v>
      </c>
      <c r="I542" s="2" t="s">
        <v>1162</v>
      </c>
      <c r="J542">
        <v>5525</v>
      </c>
      <c r="K542" s="3" t="str">
        <f>VLOOKUP(Table2[[#This Row],[Konto]],Table5[[Konto]:[Konto nimetus]],2,FALSE)</f>
        <v>Kommunikatsiooni-, kultuuri- ja vaba aja sisustamise kulud</v>
      </c>
      <c r="L542">
        <v>55</v>
      </c>
      <c r="M542" t="str">
        <f t="shared" si="17"/>
        <v>55</v>
      </c>
      <c r="N542" s="3" t="str">
        <f>VLOOKUP(Table2[[#This Row],[Tulu/kulu liik2]],Table5[[Tulu/kulu liik]:[Kontode koondnimetus]],4,FALSE)</f>
        <v>Muud tegevuskulud</v>
      </c>
      <c r="O542" s="3" t="str">
        <f>VLOOKUP(Table2[[#This Row],[Tulu/kulu liik2]],Table5[],6,FALSE)</f>
        <v>Majandamiskulud</v>
      </c>
      <c r="P542" s="3" t="str">
        <f>VLOOKUP(Table2[[#This Row],[Tulu/kulu liik2]],Table5[],5,FALSE)</f>
        <v>Põhitegevuse kulu</v>
      </c>
    </row>
    <row r="543" spans="1:16" hidden="1" x14ac:dyDescent="0.25">
      <c r="A543" t="str">
        <f t="shared" si="16"/>
        <v>08</v>
      </c>
      <c r="B543" t="s">
        <v>308</v>
      </c>
      <c r="C543" s="3" t="str">
        <f>VLOOKUP(Table2[[#This Row],[Tegevusala]],Table4[],2,FALSE)</f>
        <v>Ulvi Klubi</v>
      </c>
      <c r="D543" s="3" t="str">
        <f>VLOOKUP(Table2[[#This Row],[Tegevusala]],Table4[[Tegevusala kood]:[Tegevusala alanimetus]],4,FALSE)</f>
        <v>Rahvakultuur</v>
      </c>
      <c r="E543" s="3" t="str">
        <f>VLOOKUP(Table2[[#This Row],[Tegevusala nimetus2]],Table4[[Tegevusala nimetus]:[Tegevusala koondnimetus]],2,FALSE)</f>
        <v>Vabaaeg, kultuur ja religioon</v>
      </c>
      <c r="F543" t="s">
        <v>1122</v>
      </c>
      <c r="G543" t="s">
        <v>1163</v>
      </c>
      <c r="H543" s="40">
        <v>100</v>
      </c>
      <c r="I543" s="2" t="s">
        <v>1164</v>
      </c>
      <c r="J543">
        <v>5525</v>
      </c>
      <c r="K543" s="3" t="str">
        <f>VLOOKUP(Table2[[#This Row],[Konto]],Table5[[Konto]:[Konto nimetus]],2,FALSE)</f>
        <v>Kommunikatsiooni-, kultuuri- ja vaba aja sisustamise kulud</v>
      </c>
      <c r="L543">
        <v>55</v>
      </c>
      <c r="M543" t="str">
        <f t="shared" si="17"/>
        <v>55</v>
      </c>
      <c r="N543" s="3" t="str">
        <f>VLOOKUP(Table2[[#This Row],[Tulu/kulu liik2]],Table5[[Tulu/kulu liik]:[Kontode koondnimetus]],4,FALSE)</f>
        <v>Muud tegevuskulud</v>
      </c>
      <c r="O543" s="3" t="str">
        <f>VLOOKUP(Table2[[#This Row],[Tulu/kulu liik2]],Table5[],6,FALSE)</f>
        <v>Majandamiskulud</v>
      </c>
      <c r="P543" s="3" t="str">
        <f>VLOOKUP(Table2[[#This Row],[Tulu/kulu liik2]],Table5[],5,FALSE)</f>
        <v>Põhitegevuse kulu</v>
      </c>
    </row>
    <row r="544" spans="1:16" hidden="1" x14ac:dyDescent="0.25">
      <c r="A544" t="str">
        <f t="shared" si="16"/>
        <v>08</v>
      </c>
      <c r="B544" t="s">
        <v>308</v>
      </c>
      <c r="C544" s="3" t="str">
        <f>VLOOKUP(Table2[[#This Row],[Tegevusala]],Table4[],2,FALSE)</f>
        <v>Ulvi Klubi</v>
      </c>
      <c r="D544" s="3" t="str">
        <f>VLOOKUP(Table2[[#This Row],[Tegevusala]],Table4[[Tegevusala kood]:[Tegevusala alanimetus]],4,FALSE)</f>
        <v>Rahvakultuur</v>
      </c>
      <c r="E544" s="3" t="str">
        <f>VLOOKUP(Table2[[#This Row],[Tegevusala nimetus2]],Table4[[Tegevusala nimetus]:[Tegevusala koondnimetus]],2,FALSE)</f>
        <v>Vabaaeg, kultuur ja religioon</v>
      </c>
      <c r="F544" t="s">
        <v>1122</v>
      </c>
      <c r="G544" t="s">
        <v>1165</v>
      </c>
      <c r="H544" s="40">
        <v>1500</v>
      </c>
      <c r="I544" s="2" t="s">
        <v>1166</v>
      </c>
      <c r="J544">
        <v>5525</v>
      </c>
      <c r="K544" s="3" t="str">
        <f>VLOOKUP(Table2[[#This Row],[Konto]],Table5[[Konto]:[Konto nimetus]],2,FALSE)</f>
        <v>Kommunikatsiooni-, kultuuri- ja vaba aja sisustamise kulud</v>
      </c>
      <c r="L544">
        <v>55</v>
      </c>
      <c r="M544" t="str">
        <f t="shared" si="17"/>
        <v>55</v>
      </c>
      <c r="N544" s="3" t="str">
        <f>VLOOKUP(Table2[[#This Row],[Tulu/kulu liik2]],Table5[[Tulu/kulu liik]:[Kontode koondnimetus]],4,FALSE)</f>
        <v>Muud tegevuskulud</v>
      </c>
      <c r="O544" s="3" t="str">
        <f>VLOOKUP(Table2[[#This Row],[Tulu/kulu liik2]],Table5[],6,FALSE)</f>
        <v>Majandamiskulud</v>
      </c>
      <c r="P544" s="3" t="str">
        <f>VLOOKUP(Table2[[#This Row],[Tulu/kulu liik2]],Table5[],5,FALSE)</f>
        <v>Põhitegevuse kulu</v>
      </c>
    </row>
    <row r="545" spans="1:16" hidden="1" x14ac:dyDescent="0.25">
      <c r="A545" t="str">
        <f t="shared" si="16"/>
        <v>08</v>
      </c>
      <c r="B545" t="s">
        <v>308</v>
      </c>
      <c r="C545" s="3" t="str">
        <f>VLOOKUP(Table2[[#This Row],[Tegevusala]],Table4[],2,FALSE)</f>
        <v>Ulvi Klubi</v>
      </c>
      <c r="D545" s="3" t="str">
        <f>VLOOKUP(Table2[[#This Row],[Tegevusala]],Table4[[Tegevusala kood]:[Tegevusala alanimetus]],4,FALSE)</f>
        <v>Rahvakultuur</v>
      </c>
      <c r="E545" s="3" t="str">
        <f>VLOOKUP(Table2[[#This Row],[Tegevusala nimetus2]],Table4[[Tegevusala nimetus]:[Tegevusala koondnimetus]],2,FALSE)</f>
        <v>Vabaaeg, kultuur ja religioon</v>
      </c>
      <c r="F545" t="s">
        <v>1122</v>
      </c>
      <c r="G545" t="s">
        <v>1167</v>
      </c>
      <c r="H545" s="40">
        <v>100</v>
      </c>
      <c r="I545" s="2" t="s">
        <v>1168</v>
      </c>
      <c r="J545">
        <v>5525</v>
      </c>
      <c r="K545" s="3" t="str">
        <f>VLOOKUP(Table2[[#This Row],[Konto]],Table5[[Konto]:[Konto nimetus]],2,FALSE)</f>
        <v>Kommunikatsiooni-, kultuuri- ja vaba aja sisustamise kulud</v>
      </c>
      <c r="L545">
        <v>55</v>
      </c>
      <c r="M545" t="str">
        <f t="shared" si="17"/>
        <v>55</v>
      </c>
      <c r="N545" s="3" t="str">
        <f>VLOOKUP(Table2[[#This Row],[Tulu/kulu liik2]],Table5[[Tulu/kulu liik]:[Kontode koondnimetus]],4,FALSE)</f>
        <v>Muud tegevuskulud</v>
      </c>
      <c r="O545" s="3" t="str">
        <f>VLOOKUP(Table2[[#This Row],[Tulu/kulu liik2]],Table5[],6,FALSE)</f>
        <v>Majandamiskulud</v>
      </c>
      <c r="P545" s="3" t="str">
        <f>VLOOKUP(Table2[[#This Row],[Tulu/kulu liik2]],Table5[],5,FALSE)</f>
        <v>Põhitegevuse kulu</v>
      </c>
    </row>
    <row r="546" spans="1:16" hidden="1" x14ac:dyDescent="0.25">
      <c r="A546" t="str">
        <f t="shared" si="16"/>
        <v>08</v>
      </c>
      <c r="B546" t="s">
        <v>308</v>
      </c>
      <c r="C546" s="3" t="str">
        <f>VLOOKUP(Table2[[#This Row],[Tegevusala]],Table4[],2,FALSE)</f>
        <v>Ulvi Klubi</v>
      </c>
      <c r="D546" s="3" t="str">
        <f>VLOOKUP(Table2[[#This Row],[Tegevusala]],Table4[[Tegevusala kood]:[Tegevusala alanimetus]],4,FALSE)</f>
        <v>Rahvakultuur</v>
      </c>
      <c r="E546" s="3" t="str">
        <f>VLOOKUP(Table2[[#This Row],[Tegevusala nimetus2]],Table4[[Tegevusala nimetus]:[Tegevusala koondnimetus]],2,FALSE)</f>
        <v>Vabaaeg, kultuur ja religioon</v>
      </c>
      <c r="F546" t="s">
        <v>1122</v>
      </c>
      <c r="G546" t="s">
        <v>1169</v>
      </c>
      <c r="H546" s="40">
        <v>200</v>
      </c>
      <c r="I546" s="2" t="s">
        <v>1170</v>
      </c>
      <c r="J546">
        <v>5525</v>
      </c>
      <c r="K546" s="3" t="str">
        <f>VLOOKUP(Table2[[#This Row],[Konto]],Table5[[Konto]:[Konto nimetus]],2,FALSE)</f>
        <v>Kommunikatsiooni-, kultuuri- ja vaba aja sisustamise kulud</v>
      </c>
      <c r="L546">
        <v>55</v>
      </c>
      <c r="M546" t="str">
        <f t="shared" si="17"/>
        <v>55</v>
      </c>
      <c r="N546" s="3" t="str">
        <f>VLOOKUP(Table2[[#This Row],[Tulu/kulu liik2]],Table5[[Tulu/kulu liik]:[Kontode koondnimetus]],4,FALSE)</f>
        <v>Muud tegevuskulud</v>
      </c>
      <c r="O546" s="3" t="str">
        <f>VLOOKUP(Table2[[#This Row],[Tulu/kulu liik2]],Table5[],6,FALSE)</f>
        <v>Majandamiskulud</v>
      </c>
      <c r="P546" s="3" t="str">
        <f>VLOOKUP(Table2[[#This Row],[Tulu/kulu liik2]],Table5[],5,FALSE)</f>
        <v>Põhitegevuse kulu</v>
      </c>
    </row>
    <row r="547" spans="1:16" hidden="1" x14ac:dyDescent="0.25">
      <c r="A547" t="str">
        <f t="shared" si="16"/>
        <v>08</v>
      </c>
      <c r="B547" t="s">
        <v>308</v>
      </c>
      <c r="C547" s="3" t="str">
        <f>VLOOKUP(Table2[[#This Row],[Tegevusala]],Table4[],2,FALSE)</f>
        <v>Ulvi Klubi</v>
      </c>
      <c r="D547" s="3" t="str">
        <f>VLOOKUP(Table2[[#This Row],[Tegevusala]],Table4[[Tegevusala kood]:[Tegevusala alanimetus]],4,FALSE)</f>
        <v>Rahvakultuur</v>
      </c>
      <c r="E547" s="3" t="str">
        <f>VLOOKUP(Table2[[#This Row],[Tegevusala nimetus2]],Table4[[Tegevusala nimetus]:[Tegevusala koondnimetus]],2,FALSE)</f>
        <v>Vabaaeg, kultuur ja religioon</v>
      </c>
      <c r="F547" t="s">
        <v>1122</v>
      </c>
      <c r="G547" t="s">
        <v>1171</v>
      </c>
      <c r="H547" s="40">
        <v>300</v>
      </c>
      <c r="I547" s="2" t="s">
        <v>1172</v>
      </c>
      <c r="J547">
        <v>5525</v>
      </c>
      <c r="K547" s="3" t="str">
        <f>VLOOKUP(Table2[[#This Row],[Konto]],Table5[[Konto]:[Konto nimetus]],2,FALSE)</f>
        <v>Kommunikatsiooni-, kultuuri- ja vaba aja sisustamise kulud</v>
      </c>
      <c r="L547">
        <v>55</v>
      </c>
      <c r="M547" t="str">
        <f t="shared" si="17"/>
        <v>55</v>
      </c>
      <c r="N547" s="3" t="str">
        <f>VLOOKUP(Table2[[#This Row],[Tulu/kulu liik2]],Table5[[Tulu/kulu liik]:[Kontode koondnimetus]],4,FALSE)</f>
        <v>Muud tegevuskulud</v>
      </c>
      <c r="O547" s="3" t="str">
        <f>VLOOKUP(Table2[[#This Row],[Tulu/kulu liik2]],Table5[],6,FALSE)</f>
        <v>Majandamiskulud</v>
      </c>
      <c r="P547" s="3" t="str">
        <f>VLOOKUP(Table2[[#This Row],[Tulu/kulu liik2]],Table5[],5,FALSE)</f>
        <v>Põhitegevuse kulu</v>
      </c>
    </row>
    <row r="548" spans="1:16" hidden="1" x14ac:dyDescent="0.25">
      <c r="A548" t="str">
        <f t="shared" si="16"/>
        <v>08</v>
      </c>
      <c r="B548" t="s">
        <v>308</v>
      </c>
      <c r="C548" s="3" t="str">
        <f>VLOOKUP(Table2[[#This Row],[Tegevusala]],Table4[],2,FALSE)</f>
        <v>Ulvi Klubi</v>
      </c>
      <c r="D548" s="3" t="str">
        <f>VLOOKUP(Table2[[#This Row],[Tegevusala]],Table4[[Tegevusala kood]:[Tegevusala alanimetus]],4,FALSE)</f>
        <v>Rahvakultuur</v>
      </c>
      <c r="E548" s="3" t="str">
        <f>VLOOKUP(Table2[[#This Row],[Tegevusala nimetus2]],Table4[[Tegevusala nimetus]:[Tegevusala koondnimetus]],2,FALSE)</f>
        <v>Vabaaeg, kultuur ja religioon</v>
      </c>
      <c r="F548" t="s">
        <v>1122</v>
      </c>
      <c r="G548" t="s">
        <v>1173</v>
      </c>
      <c r="H548" s="40">
        <v>150</v>
      </c>
      <c r="I548" s="2" t="s">
        <v>1174</v>
      </c>
      <c r="J548">
        <v>5525</v>
      </c>
      <c r="K548" s="3" t="str">
        <f>VLOOKUP(Table2[[#This Row],[Konto]],Table5[[Konto]:[Konto nimetus]],2,FALSE)</f>
        <v>Kommunikatsiooni-, kultuuri- ja vaba aja sisustamise kulud</v>
      </c>
      <c r="L548">
        <v>55</v>
      </c>
      <c r="M548" t="str">
        <f t="shared" si="17"/>
        <v>55</v>
      </c>
      <c r="N548" s="3" t="str">
        <f>VLOOKUP(Table2[[#This Row],[Tulu/kulu liik2]],Table5[[Tulu/kulu liik]:[Kontode koondnimetus]],4,FALSE)</f>
        <v>Muud tegevuskulud</v>
      </c>
      <c r="O548" s="3" t="str">
        <f>VLOOKUP(Table2[[#This Row],[Tulu/kulu liik2]],Table5[],6,FALSE)</f>
        <v>Majandamiskulud</v>
      </c>
      <c r="P548" s="3" t="str">
        <f>VLOOKUP(Table2[[#This Row],[Tulu/kulu liik2]],Table5[],5,FALSE)</f>
        <v>Põhitegevuse kulu</v>
      </c>
    </row>
    <row r="549" spans="1:16" hidden="1" x14ac:dyDescent="0.25">
      <c r="A549" t="str">
        <f t="shared" si="16"/>
        <v>08</v>
      </c>
      <c r="B549" t="s">
        <v>308</v>
      </c>
      <c r="C549" s="3" t="str">
        <f>VLOOKUP(Table2[[#This Row],[Tegevusala]],Table4[],2,FALSE)</f>
        <v>Ulvi Klubi</v>
      </c>
      <c r="D549" s="3" t="str">
        <f>VLOOKUP(Table2[[#This Row],[Tegevusala]],Table4[[Tegevusala kood]:[Tegevusala alanimetus]],4,FALSE)</f>
        <v>Rahvakultuur</v>
      </c>
      <c r="E549" s="3" t="str">
        <f>VLOOKUP(Table2[[#This Row],[Tegevusala nimetus2]],Table4[[Tegevusala nimetus]:[Tegevusala koondnimetus]],2,FALSE)</f>
        <v>Vabaaeg, kultuur ja religioon</v>
      </c>
      <c r="F549" t="s">
        <v>1122</v>
      </c>
      <c r="G549" t="s">
        <v>1175</v>
      </c>
      <c r="H549" s="40">
        <v>150</v>
      </c>
      <c r="J549">
        <v>5525</v>
      </c>
      <c r="K549" s="3" t="str">
        <f>VLOOKUP(Table2[[#This Row],[Konto]],Table5[[Konto]:[Konto nimetus]],2,FALSE)</f>
        <v>Kommunikatsiooni-, kultuuri- ja vaba aja sisustamise kulud</v>
      </c>
      <c r="L549">
        <v>55</v>
      </c>
      <c r="M549" t="str">
        <f t="shared" si="17"/>
        <v>55</v>
      </c>
      <c r="N549" s="3" t="str">
        <f>VLOOKUP(Table2[[#This Row],[Tulu/kulu liik2]],Table5[[Tulu/kulu liik]:[Kontode koondnimetus]],4,FALSE)</f>
        <v>Muud tegevuskulud</v>
      </c>
      <c r="O549" s="3" t="str">
        <f>VLOOKUP(Table2[[#This Row],[Tulu/kulu liik2]],Table5[],6,FALSE)</f>
        <v>Majandamiskulud</v>
      </c>
      <c r="P549" s="3" t="str">
        <f>VLOOKUP(Table2[[#This Row],[Tulu/kulu liik2]],Table5[],5,FALSE)</f>
        <v>Põhitegevuse kulu</v>
      </c>
    </row>
    <row r="550" spans="1:16" hidden="1" x14ac:dyDescent="0.25">
      <c r="A550" t="str">
        <f t="shared" si="16"/>
        <v>08</v>
      </c>
      <c r="B550" t="s">
        <v>308</v>
      </c>
      <c r="C550" s="3" t="str">
        <f>VLOOKUP(Table2[[#This Row],[Tegevusala]],Table4[],2,FALSE)</f>
        <v>Ulvi Klubi</v>
      </c>
      <c r="D550" s="3" t="str">
        <f>VLOOKUP(Table2[[#This Row],[Tegevusala]],Table4[[Tegevusala kood]:[Tegevusala alanimetus]],4,FALSE)</f>
        <v>Rahvakultuur</v>
      </c>
      <c r="E550" s="3" t="str">
        <f>VLOOKUP(Table2[[#This Row],[Tegevusala nimetus2]],Table4[[Tegevusala nimetus]:[Tegevusala koondnimetus]],2,FALSE)</f>
        <v>Vabaaeg, kultuur ja religioon</v>
      </c>
      <c r="F550" t="s">
        <v>1122</v>
      </c>
      <c r="G550" t="s">
        <v>1176</v>
      </c>
      <c r="H550" s="40">
        <v>100</v>
      </c>
      <c r="J550">
        <v>5525</v>
      </c>
      <c r="K550" s="3" t="str">
        <f>VLOOKUP(Table2[[#This Row],[Konto]],Table5[[Konto]:[Konto nimetus]],2,FALSE)</f>
        <v>Kommunikatsiooni-, kultuuri- ja vaba aja sisustamise kulud</v>
      </c>
      <c r="L550">
        <v>55</v>
      </c>
      <c r="M550" t="str">
        <f t="shared" si="17"/>
        <v>55</v>
      </c>
      <c r="N550" s="3" t="str">
        <f>VLOOKUP(Table2[[#This Row],[Tulu/kulu liik2]],Table5[[Tulu/kulu liik]:[Kontode koondnimetus]],4,FALSE)</f>
        <v>Muud tegevuskulud</v>
      </c>
      <c r="O550" s="3" t="str">
        <f>VLOOKUP(Table2[[#This Row],[Tulu/kulu liik2]],Table5[],6,FALSE)</f>
        <v>Majandamiskulud</v>
      </c>
      <c r="P550" s="3" t="str">
        <f>VLOOKUP(Table2[[#This Row],[Tulu/kulu liik2]],Table5[],5,FALSE)</f>
        <v>Põhitegevuse kulu</v>
      </c>
    </row>
    <row r="551" spans="1:16" hidden="1" x14ac:dyDescent="0.25">
      <c r="A551" t="str">
        <f t="shared" si="16"/>
        <v>08</v>
      </c>
      <c r="B551" t="s">
        <v>308</v>
      </c>
      <c r="C551" s="3" t="str">
        <f>VLOOKUP(Table2[[#This Row],[Tegevusala]],Table4[],2,FALSE)</f>
        <v>Ulvi Klubi</v>
      </c>
      <c r="D551" s="3" t="str">
        <f>VLOOKUP(Table2[[#This Row],[Tegevusala]],Table4[[Tegevusala kood]:[Tegevusala alanimetus]],4,FALSE)</f>
        <v>Rahvakultuur</v>
      </c>
      <c r="E551" s="3" t="str">
        <f>VLOOKUP(Table2[[#This Row],[Tegevusala nimetus2]],Table4[[Tegevusala nimetus]:[Tegevusala koondnimetus]],2,FALSE)</f>
        <v>Vabaaeg, kultuur ja religioon</v>
      </c>
      <c r="F551" t="s">
        <v>1122</v>
      </c>
      <c r="G551" t="s">
        <v>1131</v>
      </c>
      <c r="H551" s="40">
        <v>100</v>
      </c>
      <c r="I551" s="2" t="s">
        <v>1132</v>
      </c>
      <c r="J551">
        <v>5511</v>
      </c>
      <c r="K551" s="3" t="str">
        <f>VLOOKUP(Table2[[#This Row],[Konto]],Table5[[Konto]:[Konto nimetus]],2,FALSE)</f>
        <v>Kinnistute, hoonete ja ruumide majandamiskulud</v>
      </c>
      <c r="L551">
        <v>55</v>
      </c>
      <c r="M551" t="str">
        <f t="shared" si="17"/>
        <v>55</v>
      </c>
      <c r="N551" s="3" t="str">
        <f>VLOOKUP(Table2[[#This Row],[Tulu/kulu liik2]],Table5[[Tulu/kulu liik]:[Kontode koondnimetus]],4,FALSE)</f>
        <v>Muud tegevuskulud</v>
      </c>
      <c r="O551" s="3" t="str">
        <f>VLOOKUP(Table2[[#This Row],[Tulu/kulu liik2]],Table5[],6,FALSE)</f>
        <v>Majandamiskulud</v>
      </c>
      <c r="P551" s="3" t="str">
        <f>VLOOKUP(Table2[[#This Row],[Tulu/kulu liik2]],Table5[],5,FALSE)</f>
        <v>Põhitegevuse kulu</v>
      </c>
    </row>
    <row r="552" spans="1:16" hidden="1" x14ac:dyDescent="0.25">
      <c r="A552" t="str">
        <f t="shared" si="16"/>
        <v>08</v>
      </c>
      <c r="B552" t="s">
        <v>308</v>
      </c>
      <c r="C552" s="3" t="str">
        <f>VLOOKUP(Table2[[#This Row],[Tegevusala]],Table4[],2,FALSE)</f>
        <v>Ulvi Klubi</v>
      </c>
      <c r="D552" s="3" t="str">
        <f>VLOOKUP(Table2[[#This Row],[Tegevusala]],Table4[[Tegevusala kood]:[Tegevusala alanimetus]],4,FALSE)</f>
        <v>Rahvakultuur</v>
      </c>
      <c r="E552" s="3" t="str">
        <f>VLOOKUP(Table2[[#This Row],[Tegevusala nimetus2]],Table4[[Tegevusala nimetus]:[Tegevusala koondnimetus]],2,FALSE)</f>
        <v>Vabaaeg, kultuur ja religioon</v>
      </c>
      <c r="F552" t="s">
        <v>1122</v>
      </c>
      <c r="G552" t="s">
        <v>1133</v>
      </c>
      <c r="H552" s="40">
        <v>400</v>
      </c>
      <c r="I552" s="2" t="s">
        <v>1134</v>
      </c>
      <c r="J552">
        <v>5511</v>
      </c>
      <c r="K552" s="3" t="str">
        <f>VLOOKUP(Table2[[#This Row],[Konto]],Table5[[Konto]:[Konto nimetus]],2,FALSE)</f>
        <v>Kinnistute, hoonete ja ruumide majandamiskulud</v>
      </c>
      <c r="L552">
        <v>55</v>
      </c>
      <c r="M552" t="str">
        <f t="shared" si="17"/>
        <v>55</v>
      </c>
      <c r="N552" s="3" t="str">
        <f>VLOOKUP(Table2[[#This Row],[Tulu/kulu liik2]],Table5[[Tulu/kulu liik]:[Kontode koondnimetus]],4,FALSE)</f>
        <v>Muud tegevuskulud</v>
      </c>
      <c r="O552" s="3" t="str">
        <f>VLOOKUP(Table2[[#This Row],[Tulu/kulu liik2]],Table5[],6,FALSE)</f>
        <v>Majandamiskulud</v>
      </c>
      <c r="P552" s="3" t="str">
        <f>VLOOKUP(Table2[[#This Row],[Tulu/kulu liik2]],Table5[],5,FALSE)</f>
        <v>Põhitegevuse kulu</v>
      </c>
    </row>
    <row r="553" spans="1:16" hidden="1" x14ac:dyDescent="0.25">
      <c r="A553" t="str">
        <f t="shared" si="16"/>
        <v>08</v>
      </c>
      <c r="B553" t="s">
        <v>308</v>
      </c>
      <c r="C553" s="3" t="str">
        <f>VLOOKUP(Table2[[#This Row],[Tegevusala]],Table4[],2,FALSE)</f>
        <v>Ulvi Klubi</v>
      </c>
      <c r="D553" s="3" t="str">
        <f>VLOOKUP(Table2[[#This Row],[Tegevusala]],Table4[[Tegevusala kood]:[Tegevusala alanimetus]],4,FALSE)</f>
        <v>Rahvakultuur</v>
      </c>
      <c r="E553" s="3" t="str">
        <f>VLOOKUP(Table2[[#This Row],[Tegevusala nimetus2]],Table4[[Tegevusala nimetus]:[Tegevusala koondnimetus]],2,FALSE)</f>
        <v>Vabaaeg, kultuur ja religioon</v>
      </c>
      <c r="F553" t="s">
        <v>1122</v>
      </c>
      <c r="G553" t="s">
        <v>1135</v>
      </c>
      <c r="H553" s="40">
        <v>100</v>
      </c>
      <c r="I553" s="2" t="s">
        <v>1136</v>
      </c>
      <c r="J553">
        <v>5511</v>
      </c>
      <c r="K553" s="3" t="str">
        <f>VLOOKUP(Table2[[#This Row],[Konto]],Table5[[Konto]:[Konto nimetus]],2,FALSE)</f>
        <v>Kinnistute, hoonete ja ruumide majandamiskulud</v>
      </c>
      <c r="L553">
        <v>55</v>
      </c>
      <c r="M553" t="str">
        <f t="shared" si="17"/>
        <v>55</v>
      </c>
      <c r="N553" s="3" t="str">
        <f>VLOOKUP(Table2[[#This Row],[Tulu/kulu liik2]],Table5[[Tulu/kulu liik]:[Kontode koondnimetus]],4,FALSE)</f>
        <v>Muud tegevuskulud</v>
      </c>
      <c r="O553" s="3" t="str">
        <f>VLOOKUP(Table2[[#This Row],[Tulu/kulu liik2]],Table5[],6,FALSE)</f>
        <v>Majandamiskulud</v>
      </c>
      <c r="P553" s="3" t="str">
        <f>VLOOKUP(Table2[[#This Row],[Tulu/kulu liik2]],Table5[],5,FALSE)</f>
        <v>Põhitegevuse kulu</v>
      </c>
    </row>
    <row r="554" spans="1:16" hidden="1" x14ac:dyDescent="0.25">
      <c r="A554" t="str">
        <f t="shared" si="16"/>
        <v>08</v>
      </c>
      <c r="B554" t="s">
        <v>308</v>
      </c>
      <c r="C554" s="3" t="str">
        <f>VLOOKUP(Table2[[#This Row],[Tegevusala]],Table4[],2,FALSE)</f>
        <v>Ulvi Klubi</v>
      </c>
      <c r="D554" s="3" t="str">
        <f>VLOOKUP(Table2[[#This Row],[Tegevusala]],Table4[[Tegevusala kood]:[Tegevusala alanimetus]],4,FALSE)</f>
        <v>Rahvakultuur</v>
      </c>
      <c r="E554" s="3" t="str">
        <f>VLOOKUP(Table2[[#This Row],[Tegevusala nimetus2]],Table4[[Tegevusala nimetus]:[Tegevusala koondnimetus]],2,FALSE)</f>
        <v>Vabaaeg, kultuur ja religioon</v>
      </c>
      <c r="F554" t="s">
        <v>1122</v>
      </c>
      <c r="G554" t="s">
        <v>178</v>
      </c>
      <c r="H554" s="40">
        <v>10000</v>
      </c>
      <c r="I554" s="2" t="s">
        <v>1137</v>
      </c>
      <c r="J554">
        <v>5511</v>
      </c>
      <c r="K554" s="3" t="str">
        <f>VLOOKUP(Table2[[#This Row],[Konto]],Table5[[Konto]:[Konto nimetus]],2,FALSE)</f>
        <v>Kinnistute, hoonete ja ruumide majandamiskulud</v>
      </c>
      <c r="L554">
        <v>55</v>
      </c>
      <c r="M554" t="str">
        <f t="shared" si="17"/>
        <v>55</v>
      </c>
      <c r="N554" s="3" t="str">
        <f>VLOOKUP(Table2[[#This Row],[Tulu/kulu liik2]],Table5[[Tulu/kulu liik]:[Kontode koondnimetus]],4,FALSE)</f>
        <v>Muud tegevuskulud</v>
      </c>
      <c r="O554" s="3" t="str">
        <f>VLOOKUP(Table2[[#This Row],[Tulu/kulu liik2]],Table5[],6,FALSE)</f>
        <v>Majandamiskulud</v>
      </c>
      <c r="P554" s="3" t="str">
        <f>VLOOKUP(Table2[[#This Row],[Tulu/kulu liik2]],Table5[],5,FALSE)</f>
        <v>Põhitegevuse kulu</v>
      </c>
    </row>
    <row r="555" spans="1:16" hidden="1" x14ac:dyDescent="0.25">
      <c r="A555" t="str">
        <f t="shared" si="16"/>
        <v>08</v>
      </c>
      <c r="B555" t="s">
        <v>308</v>
      </c>
      <c r="C555" s="3" t="str">
        <f>VLOOKUP(Table2[[#This Row],[Tegevusala]],Table4[],2,FALSE)</f>
        <v>Ulvi Klubi</v>
      </c>
      <c r="D555" s="3" t="str">
        <f>VLOOKUP(Table2[[#This Row],[Tegevusala]],Table4[[Tegevusala kood]:[Tegevusala alanimetus]],4,FALSE)</f>
        <v>Rahvakultuur</v>
      </c>
      <c r="E555" s="3" t="str">
        <f>VLOOKUP(Table2[[#This Row],[Tegevusala nimetus2]],Table4[[Tegevusala nimetus]:[Tegevusala koondnimetus]],2,FALSE)</f>
        <v>Vabaaeg, kultuur ja religioon</v>
      </c>
      <c r="F555" t="s">
        <v>1122</v>
      </c>
      <c r="G555" t="s">
        <v>1138</v>
      </c>
      <c r="H555" s="40">
        <v>1000</v>
      </c>
      <c r="I555" s="2" t="s">
        <v>1139</v>
      </c>
      <c r="J555">
        <v>5511</v>
      </c>
      <c r="K555" s="3" t="str">
        <f>VLOOKUP(Table2[[#This Row],[Konto]],Table5[[Konto]:[Konto nimetus]],2,FALSE)</f>
        <v>Kinnistute, hoonete ja ruumide majandamiskulud</v>
      </c>
      <c r="L555">
        <v>55</v>
      </c>
      <c r="M555" t="str">
        <f t="shared" si="17"/>
        <v>55</v>
      </c>
      <c r="N555" s="3" t="str">
        <f>VLOOKUP(Table2[[#This Row],[Tulu/kulu liik2]],Table5[[Tulu/kulu liik]:[Kontode koondnimetus]],4,FALSE)</f>
        <v>Muud tegevuskulud</v>
      </c>
      <c r="O555" s="3" t="str">
        <f>VLOOKUP(Table2[[#This Row],[Tulu/kulu liik2]],Table5[],6,FALSE)</f>
        <v>Majandamiskulud</v>
      </c>
      <c r="P555" s="3" t="str">
        <f>VLOOKUP(Table2[[#This Row],[Tulu/kulu liik2]],Table5[],5,FALSE)</f>
        <v>Põhitegevuse kulu</v>
      </c>
    </row>
    <row r="556" spans="1:16" hidden="1" x14ac:dyDescent="0.25">
      <c r="A556" t="str">
        <f t="shared" si="16"/>
        <v>08</v>
      </c>
      <c r="B556" t="s">
        <v>308</v>
      </c>
      <c r="C556" s="3" t="str">
        <f>VLOOKUP(Table2[[#This Row],[Tegevusala]],Table4[],2,FALSE)</f>
        <v>Ulvi Klubi</v>
      </c>
      <c r="D556" s="3" t="str">
        <f>VLOOKUP(Table2[[#This Row],[Tegevusala]],Table4[[Tegevusala kood]:[Tegevusala alanimetus]],4,FALSE)</f>
        <v>Rahvakultuur</v>
      </c>
      <c r="E556" s="3" t="str">
        <f>VLOOKUP(Table2[[#This Row],[Tegevusala nimetus2]],Table4[[Tegevusala nimetus]:[Tegevusala koondnimetus]],2,FALSE)</f>
        <v>Vabaaeg, kultuur ja religioon</v>
      </c>
      <c r="F556" t="s">
        <v>1122</v>
      </c>
      <c r="G556" t="s">
        <v>1140</v>
      </c>
      <c r="H556" s="40">
        <v>200</v>
      </c>
      <c r="I556" s="2" t="s">
        <v>1141</v>
      </c>
      <c r="J556">
        <v>5511</v>
      </c>
      <c r="K556" s="3" t="str">
        <f>VLOOKUP(Table2[[#This Row],[Konto]],Table5[[Konto]:[Konto nimetus]],2,FALSE)</f>
        <v>Kinnistute, hoonete ja ruumide majandamiskulud</v>
      </c>
      <c r="L556">
        <v>55</v>
      </c>
      <c r="M556" t="str">
        <f t="shared" si="17"/>
        <v>55</v>
      </c>
      <c r="N556" s="3" t="str">
        <f>VLOOKUP(Table2[[#This Row],[Tulu/kulu liik2]],Table5[[Tulu/kulu liik]:[Kontode koondnimetus]],4,FALSE)</f>
        <v>Muud tegevuskulud</v>
      </c>
      <c r="O556" s="3" t="str">
        <f>VLOOKUP(Table2[[#This Row],[Tulu/kulu liik2]],Table5[],6,FALSE)</f>
        <v>Majandamiskulud</v>
      </c>
      <c r="P556" s="3" t="str">
        <f>VLOOKUP(Table2[[#This Row],[Tulu/kulu liik2]],Table5[],5,FALSE)</f>
        <v>Põhitegevuse kulu</v>
      </c>
    </row>
    <row r="557" spans="1:16" hidden="1" x14ac:dyDescent="0.25">
      <c r="A557" t="str">
        <f t="shared" si="16"/>
        <v>08</v>
      </c>
      <c r="B557" t="s">
        <v>308</v>
      </c>
      <c r="C557" s="3" t="str">
        <f>VLOOKUP(Table2[[#This Row],[Tegevusala]],Table4[],2,FALSE)</f>
        <v>Ulvi Klubi</v>
      </c>
      <c r="D557" s="3" t="str">
        <f>VLOOKUP(Table2[[#This Row],[Tegevusala]],Table4[[Tegevusala kood]:[Tegevusala alanimetus]],4,FALSE)</f>
        <v>Rahvakultuur</v>
      </c>
      <c r="E557" s="3" t="str">
        <f>VLOOKUP(Table2[[#This Row],[Tegevusala nimetus2]],Table4[[Tegevusala nimetus]:[Tegevusala koondnimetus]],2,FALSE)</f>
        <v>Vabaaeg, kultuur ja religioon</v>
      </c>
      <c r="F557" t="s">
        <v>1122</v>
      </c>
      <c r="G557" t="s">
        <v>1142</v>
      </c>
      <c r="H557" s="40">
        <v>120</v>
      </c>
      <c r="I557" s="2" t="s">
        <v>1143</v>
      </c>
      <c r="J557">
        <v>5511</v>
      </c>
      <c r="K557" s="3" t="str">
        <f>VLOOKUP(Table2[[#This Row],[Konto]],Table5[[Konto]:[Konto nimetus]],2,FALSE)</f>
        <v>Kinnistute, hoonete ja ruumide majandamiskulud</v>
      </c>
      <c r="L557">
        <v>55</v>
      </c>
      <c r="M557" t="str">
        <f t="shared" si="17"/>
        <v>55</v>
      </c>
      <c r="N557" s="3" t="str">
        <f>VLOOKUP(Table2[[#This Row],[Tulu/kulu liik2]],Table5[[Tulu/kulu liik]:[Kontode koondnimetus]],4,FALSE)</f>
        <v>Muud tegevuskulud</v>
      </c>
      <c r="O557" s="3" t="str">
        <f>VLOOKUP(Table2[[#This Row],[Tulu/kulu liik2]],Table5[],6,FALSE)</f>
        <v>Majandamiskulud</v>
      </c>
      <c r="P557" s="3" t="str">
        <f>VLOOKUP(Table2[[#This Row],[Tulu/kulu liik2]],Table5[],5,FALSE)</f>
        <v>Põhitegevuse kulu</v>
      </c>
    </row>
    <row r="558" spans="1:16" hidden="1" x14ac:dyDescent="0.25">
      <c r="A558" t="str">
        <f t="shared" si="16"/>
        <v>08</v>
      </c>
      <c r="B558" t="s">
        <v>308</v>
      </c>
      <c r="C558" s="3" t="str">
        <f>VLOOKUP(Table2[[#This Row],[Tegevusala]],Table4[],2,FALSE)</f>
        <v>Ulvi Klubi</v>
      </c>
      <c r="D558" s="3" t="str">
        <f>VLOOKUP(Table2[[#This Row],[Tegevusala]],Table4[[Tegevusala kood]:[Tegevusala alanimetus]],4,FALSE)</f>
        <v>Rahvakultuur</v>
      </c>
      <c r="E558" s="3" t="str">
        <f>VLOOKUP(Table2[[#This Row],[Tegevusala nimetus2]],Table4[[Tegevusala nimetus]:[Tegevusala koondnimetus]],2,FALSE)</f>
        <v>Vabaaeg, kultuur ja religioon</v>
      </c>
      <c r="F558" t="s">
        <v>1122</v>
      </c>
      <c r="G558" t="s">
        <v>1144</v>
      </c>
      <c r="H558" s="40">
        <v>1000</v>
      </c>
      <c r="I558" s="2" t="s">
        <v>1145</v>
      </c>
      <c r="J558">
        <v>5511</v>
      </c>
      <c r="K558" s="3" t="str">
        <f>VLOOKUP(Table2[[#This Row],[Konto]],Table5[[Konto]:[Konto nimetus]],2,FALSE)</f>
        <v>Kinnistute, hoonete ja ruumide majandamiskulud</v>
      </c>
      <c r="L558">
        <v>55</v>
      </c>
      <c r="M558" t="str">
        <f t="shared" si="17"/>
        <v>55</v>
      </c>
      <c r="N558" s="3" t="str">
        <f>VLOOKUP(Table2[[#This Row],[Tulu/kulu liik2]],Table5[[Tulu/kulu liik]:[Kontode koondnimetus]],4,FALSE)</f>
        <v>Muud tegevuskulud</v>
      </c>
      <c r="O558" s="3" t="str">
        <f>VLOOKUP(Table2[[#This Row],[Tulu/kulu liik2]],Table5[],6,FALSE)</f>
        <v>Majandamiskulud</v>
      </c>
      <c r="P558" s="3" t="str">
        <f>VLOOKUP(Table2[[#This Row],[Tulu/kulu liik2]],Table5[],5,FALSE)</f>
        <v>Põhitegevuse kulu</v>
      </c>
    </row>
    <row r="559" spans="1:16" hidden="1" x14ac:dyDescent="0.25">
      <c r="A559" t="str">
        <f t="shared" si="16"/>
        <v>08</v>
      </c>
      <c r="B559" t="s">
        <v>308</v>
      </c>
      <c r="C559" s="3" t="str">
        <f>VLOOKUP(Table2[[#This Row],[Tegevusala]],Table4[],2,FALSE)</f>
        <v>Ulvi Klubi</v>
      </c>
      <c r="D559" s="3" t="str">
        <f>VLOOKUP(Table2[[#This Row],[Tegevusala]],Table4[[Tegevusala kood]:[Tegevusala alanimetus]],4,FALSE)</f>
        <v>Rahvakultuur</v>
      </c>
      <c r="E559" s="3" t="str">
        <f>VLOOKUP(Table2[[#This Row],[Tegevusala nimetus2]],Table4[[Tegevusala nimetus]:[Tegevusala koondnimetus]],2,FALSE)</f>
        <v>Vabaaeg, kultuur ja religioon</v>
      </c>
      <c r="F559" t="s">
        <v>1122</v>
      </c>
      <c r="G559" t="s">
        <v>1146</v>
      </c>
      <c r="H559" s="40">
        <v>800</v>
      </c>
      <c r="I559" s="2" t="s">
        <v>1147</v>
      </c>
      <c r="J559">
        <v>5511</v>
      </c>
      <c r="K559" s="3" t="str">
        <f>VLOOKUP(Table2[[#This Row],[Konto]],Table5[[Konto]:[Konto nimetus]],2,FALSE)</f>
        <v>Kinnistute, hoonete ja ruumide majandamiskulud</v>
      </c>
      <c r="L559">
        <v>55</v>
      </c>
      <c r="M559" t="str">
        <f t="shared" si="17"/>
        <v>55</v>
      </c>
      <c r="N559" s="3" t="str">
        <f>VLOOKUP(Table2[[#This Row],[Tulu/kulu liik2]],Table5[[Tulu/kulu liik]:[Kontode koondnimetus]],4,FALSE)</f>
        <v>Muud tegevuskulud</v>
      </c>
      <c r="O559" s="3" t="str">
        <f>VLOOKUP(Table2[[#This Row],[Tulu/kulu liik2]],Table5[],6,FALSE)</f>
        <v>Majandamiskulud</v>
      </c>
      <c r="P559" s="3" t="str">
        <f>VLOOKUP(Table2[[#This Row],[Tulu/kulu liik2]],Table5[],5,FALSE)</f>
        <v>Põhitegevuse kulu</v>
      </c>
    </row>
    <row r="560" spans="1:16" hidden="1" x14ac:dyDescent="0.25">
      <c r="A560" t="str">
        <f t="shared" si="16"/>
        <v>08</v>
      </c>
      <c r="B560" t="s">
        <v>308</v>
      </c>
      <c r="C560" s="3" t="str">
        <f>VLOOKUP(Table2[[#This Row],[Tegevusala]],Table4[],2,FALSE)</f>
        <v>Ulvi Klubi</v>
      </c>
      <c r="D560" s="3" t="str">
        <f>VLOOKUP(Table2[[#This Row],[Tegevusala]],Table4[[Tegevusala kood]:[Tegevusala alanimetus]],4,FALSE)</f>
        <v>Rahvakultuur</v>
      </c>
      <c r="E560" s="3" t="str">
        <f>VLOOKUP(Table2[[#This Row],[Tegevusala nimetus2]],Table4[[Tegevusala nimetus]:[Tegevusala koondnimetus]],2,FALSE)</f>
        <v>Vabaaeg, kultuur ja religioon</v>
      </c>
      <c r="F560" t="s">
        <v>1122</v>
      </c>
      <c r="G560" t="s">
        <v>1148</v>
      </c>
      <c r="H560" s="40">
        <v>1000</v>
      </c>
      <c r="I560" s="2" t="s">
        <v>1149</v>
      </c>
      <c r="J560">
        <v>5511</v>
      </c>
      <c r="K560" s="3" t="str">
        <f>VLOOKUP(Table2[[#This Row],[Konto]],Table5[[Konto]:[Konto nimetus]],2,FALSE)</f>
        <v>Kinnistute, hoonete ja ruumide majandamiskulud</v>
      </c>
      <c r="L560">
        <v>55</v>
      </c>
      <c r="M560" t="str">
        <f t="shared" si="17"/>
        <v>55</v>
      </c>
      <c r="N560" s="3" t="str">
        <f>VLOOKUP(Table2[[#This Row],[Tulu/kulu liik2]],Table5[[Tulu/kulu liik]:[Kontode koondnimetus]],4,FALSE)</f>
        <v>Muud tegevuskulud</v>
      </c>
      <c r="O560" s="3" t="str">
        <f>VLOOKUP(Table2[[#This Row],[Tulu/kulu liik2]],Table5[],6,FALSE)</f>
        <v>Majandamiskulud</v>
      </c>
      <c r="P560" s="3" t="str">
        <f>VLOOKUP(Table2[[#This Row],[Tulu/kulu liik2]],Table5[],5,FALSE)</f>
        <v>Põhitegevuse kulu</v>
      </c>
    </row>
    <row r="561" spans="1:16" hidden="1" x14ac:dyDescent="0.25">
      <c r="A561" t="str">
        <f t="shared" si="16"/>
        <v>08</v>
      </c>
      <c r="B561" t="s">
        <v>308</v>
      </c>
      <c r="C561" s="3" t="str">
        <f>VLOOKUP(Table2[[#This Row],[Tegevusala]],Table4[],2,FALSE)</f>
        <v>Ulvi Klubi</v>
      </c>
      <c r="D561" s="3" t="str">
        <f>VLOOKUP(Table2[[#This Row],[Tegevusala]],Table4[[Tegevusala kood]:[Tegevusala alanimetus]],4,FALSE)</f>
        <v>Rahvakultuur</v>
      </c>
      <c r="E561" s="3" t="str">
        <f>VLOOKUP(Table2[[#This Row],[Tegevusala nimetus2]],Table4[[Tegevusala nimetus]:[Tegevusala koondnimetus]],2,FALSE)</f>
        <v>Vabaaeg, kultuur ja religioon</v>
      </c>
      <c r="F561" t="s">
        <v>1122</v>
      </c>
      <c r="G561" t="s">
        <v>1150</v>
      </c>
      <c r="H561" s="40">
        <v>100</v>
      </c>
      <c r="J561">
        <v>5511</v>
      </c>
      <c r="K561" s="3" t="str">
        <f>VLOOKUP(Table2[[#This Row],[Konto]],Table5[[Konto]:[Konto nimetus]],2,FALSE)</f>
        <v>Kinnistute, hoonete ja ruumide majandamiskulud</v>
      </c>
      <c r="L561">
        <v>55</v>
      </c>
      <c r="M561" t="str">
        <f t="shared" si="17"/>
        <v>55</v>
      </c>
      <c r="N561" s="3" t="str">
        <f>VLOOKUP(Table2[[#This Row],[Tulu/kulu liik2]],Table5[[Tulu/kulu liik]:[Kontode koondnimetus]],4,FALSE)</f>
        <v>Muud tegevuskulud</v>
      </c>
      <c r="O561" s="3" t="str">
        <f>VLOOKUP(Table2[[#This Row],[Tulu/kulu liik2]],Table5[],6,FALSE)</f>
        <v>Majandamiskulud</v>
      </c>
      <c r="P561" s="3" t="str">
        <f>VLOOKUP(Table2[[#This Row],[Tulu/kulu liik2]],Table5[],5,FALSE)</f>
        <v>Põhitegevuse kulu</v>
      </c>
    </row>
    <row r="562" spans="1:16" hidden="1" x14ac:dyDescent="0.25">
      <c r="A562" t="str">
        <f t="shared" si="16"/>
        <v>08</v>
      </c>
      <c r="B562" t="s">
        <v>308</v>
      </c>
      <c r="C562" s="3" t="str">
        <f>VLOOKUP(Table2[[#This Row],[Tegevusala]],Table4[],2,FALSE)</f>
        <v>Ulvi Klubi</v>
      </c>
      <c r="D562" s="3" t="str">
        <f>VLOOKUP(Table2[[#This Row],[Tegevusala]],Table4[[Tegevusala kood]:[Tegevusala alanimetus]],4,FALSE)</f>
        <v>Rahvakultuur</v>
      </c>
      <c r="E562" s="3" t="str">
        <f>VLOOKUP(Table2[[#This Row],[Tegevusala nimetus2]],Table4[[Tegevusala nimetus]:[Tegevusala koondnimetus]],2,FALSE)</f>
        <v>Vabaaeg, kultuur ja religioon</v>
      </c>
      <c r="F562" t="s">
        <v>1122</v>
      </c>
      <c r="G562" t="s">
        <v>1151</v>
      </c>
      <c r="H562" s="40">
        <v>300</v>
      </c>
      <c r="J562">
        <v>5511</v>
      </c>
      <c r="K562" s="3" t="str">
        <f>VLOOKUP(Table2[[#This Row],[Konto]],Table5[[Konto]:[Konto nimetus]],2,FALSE)</f>
        <v>Kinnistute, hoonete ja ruumide majandamiskulud</v>
      </c>
      <c r="L562">
        <v>55</v>
      </c>
      <c r="M562" t="str">
        <f t="shared" si="17"/>
        <v>55</v>
      </c>
      <c r="N562" s="3" t="str">
        <f>VLOOKUP(Table2[[#This Row],[Tulu/kulu liik2]],Table5[[Tulu/kulu liik]:[Kontode koondnimetus]],4,FALSE)</f>
        <v>Muud tegevuskulud</v>
      </c>
      <c r="O562" s="3" t="str">
        <f>VLOOKUP(Table2[[#This Row],[Tulu/kulu liik2]],Table5[],6,FALSE)</f>
        <v>Majandamiskulud</v>
      </c>
      <c r="P562" s="3" t="str">
        <f>VLOOKUP(Table2[[#This Row],[Tulu/kulu liik2]],Table5[],5,FALSE)</f>
        <v>Põhitegevuse kulu</v>
      </c>
    </row>
    <row r="563" spans="1:16" hidden="1" x14ac:dyDescent="0.25">
      <c r="A563" t="str">
        <f t="shared" si="16"/>
        <v>08</v>
      </c>
      <c r="B563" t="s">
        <v>308</v>
      </c>
      <c r="C563" s="3" t="str">
        <f>VLOOKUP(Table2[[#This Row],[Tegevusala]],Table4[],2,FALSE)</f>
        <v>Ulvi Klubi</v>
      </c>
      <c r="D563" s="3" t="str">
        <f>VLOOKUP(Table2[[#This Row],[Tegevusala]],Table4[[Tegevusala kood]:[Tegevusala alanimetus]],4,FALSE)</f>
        <v>Rahvakultuur</v>
      </c>
      <c r="E563" s="3" t="str">
        <f>VLOOKUP(Table2[[#This Row],[Tegevusala nimetus2]],Table4[[Tegevusala nimetus]:[Tegevusala koondnimetus]],2,FALSE)</f>
        <v>Vabaaeg, kultuur ja religioon</v>
      </c>
      <c r="F563" t="s">
        <v>1122</v>
      </c>
      <c r="G563" t="s">
        <v>1154</v>
      </c>
      <c r="H563" s="40">
        <v>300</v>
      </c>
      <c r="J563">
        <v>5514</v>
      </c>
      <c r="K563" s="3" t="str">
        <f>VLOOKUP(Table2[[#This Row],[Konto]],Table5[[Konto]:[Konto nimetus]],2,FALSE)</f>
        <v>Info- ja kommunikatsioonitehnoliigised kulud</v>
      </c>
      <c r="L563">
        <v>55</v>
      </c>
      <c r="M563" t="str">
        <f t="shared" si="17"/>
        <v>55</v>
      </c>
      <c r="N563" s="3" t="str">
        <f>VLOOKUP(Table2[[#This Row],[Tulu/kulu liik2]],Table5[[Tulu/kulu liik]:[Kontode koondnimetus]],4,FALSE)</f>
        <v>Muud tegevuskulud</v>
      </c>
      <c r="O563" s="3" t="str">
        <f>VLOOKUP(Table2[[#This Row],[Tulu/kulu liik2]],Table5[],6,FALSE)</f>
        <v>Majandamiskulud</v>
      </c>
      <c r="P563" s="3" t="str">
        <f>VLOOKUP(Table2[[#This Row],[Tulu/kulu liik2]],Table5[],5,FALSE)</f>
        <v>Põhitegevuse kulu</v>
      </c>
    </row>
    <row r="564" spans="1:16" hidden="1" x14ac:dyDescent="0.25">
      <c r="A564" t="str">
        <f t="shared" si="16"/>
        <v>08</v>
      </c>
      <c r="B564" t="s">
        <v>2051</v>
      </c>
      <c r="C564" s="3" t="str">
        <f>VLOOKUP(Table2[[#This Row],[Tegevusala]],Table4[],2,FALSE)</f>
        <v>Vinni Vallamuuseum</v>
      </c>
      <c r="D564" s="3" t="str">
        <f>VLOOKUP(Table2[[#This Row],[Tegevusala]],Table4[[Tegevusala kood]:[Tegevusala alanimetus]],4,FALSE)</f>
        <v>Muuseumid</v>
      </c>
      <c r="E564" s="3" t="str">
        <f>VLOOKUP(Table2[[#This Row],[Tegevusala nimetus2]],Table4[[Tegevusala nimetus]:[Tegevusala koondnimetus]],2,FALSE)</f>
        <v>Vabaaeg, kultuur ja religioon</v>
      </c>
      <c r="F564" t="s">
        <v>2056</v>
      </c>
      <c r="G564" t="s">
        <v>2057</v>
      </c>
      <c r="H564" s="40">
        <f>300+300+400</f>
        <v>1000</v>
      </c>
      <c r="I564" s="2" t="s">
        <v>2058</v>
      </c>
      <c r="J564">
        <v>5540</v>
      </c>
      <c r="K564" s="3" t="str">
        <f>VLOOKUP(Table2[[#This Row],[Konto]],Table5[[Konto]:[Konto nimetus]],2,FALSE)</f>
        <v>Mitmesugused majanduskulud</v>
      </c>
      <c r="L564">
        <v>55</v>
      </c>
      <c r="M564" t="str">
        <f t="shared" si="17"/>
        <v>55</v>
      </c>
      <c r="N564" s="3" t="str">
        <f>VLOOKUP(Table2[[#This Row],[Tulu/kulu liik2]],Table5[[Tulu/kulu liik]:[Kontode koondnimetus]],4,FALSE)</f>
        <v>Muud tegevuskulud</v>
      </c>
      <c r="O564" s="34" t="str">
        <f>VLOOKUP(Table2[[#This Row],[Tulu/kulu liik2]],Table5[],6,FALSE)</f>
        <v>Majandamiskulud</v>
      </c>
      <c r="P564" s="3" t="str">
        <f>VLOOKUP(Table2[[#This Row],[Tulu/kulu liik2]],Table5[],5,FALSE)</f>
        <v>Põhitegevuse kulu</v>
      </c>
    </row>
    <row r="565" spans="1:16" hidden="1" x14ac:dyDescent="0.25">
      <c r="A565" t="str">
        <f t="shared" si="16"/>
        <v>08</v>
      </c>
      <c r="B565" t="s">
        <v>2051</v>
      </c>
      <c r="C565" s="3" t="str">
        <f>VLOOKUP(Table2[[#This Row],[Tegevusala]],Table4[],2,FALSE)</f>
        <v>Vinni Vallamuuseum</v>
      </c>
      <c r="D565" s="3" t="str">
        <f>VLOOKUP(Table2[[#This Row],[Tegevusala]],Table4[[Tegevusala kood]:[Tegevusala alanimetus]],4,FALSE)</f>
        <v>Muuseumid</v>
      </c>
      <c r="E565" s="3" t="str">
        <f>VLOOKUP(Table2[[#This Row],[Tegevusala nimetus2]],Table4[[Tegevusala nimetus]:[Tegevusala koondnimetus]],2,FALSE)</f>
        <v>Vabaaeg, kultuur ja religioon</v>
      </c>
      <c r="F565" t="s">
        <v>2056</v>
      </c>
      <c r="G565" t="s">
        <v>2059</v>
      </c>
      <c r="H565" s="40">
        <f>90+90+90+90+90+90</f>
        <v>540</v>
      </c>
      <c r="I565" s="2" t="s">
        <v>2061</v>
      </c>
      <c r="J565">
        <v>5514</v>
      </c>
      <c r="K565" s="3" t="str">
        <f>VLOOKUP(Table2[[#This Row],[Konto]],Table5[[Konto]:[Konto nimetus]],2,FALSE)</f>
        <v>Info- ja kommunikatsioonitehnoliigised kulud</v>
      </c>
      <c r="L565">
        <v>55</v>
      </c>
      <c r="M565" t="str">
        <f t="shared" si="17"/>
        <v>55</v>
      </c>
      <c r="N565" s="3" t="str">
        <f>VLOOKUP(Table2[[#This Row],[Tulu/kulu liik2]],Table5[[Tulu/kulu liik]:[Kontode koondnimetus]],4,FALSE)</f>
        <v>Muud tegevuskulud</v>
      </c>
      <c r="O565" s="34" t="str">
        <f>VLOOKUP(Table2[[#This Row],[Tulu/kulu liik2]],Table5[],6,FALSE)</f>
        <v>Majandamiskulud</v>
      </c>
      <c r="P565" s="3" t="str">
        <f>VLOOKUP(Table2[[#This Row],[Tulu/kulu liik2]],Table5[],5,FALSE)</f>
        <v>Põhitegevuse kulu</v>
      </c>
    </row>
    <row r="566" spans="1:16" hidden="1" x14ac:dyDescent="0.25">
      <c r="A566" t="str">
        <f t="shared" si="16"/>
        <v>08</v>
      </c>
      <c r="B566" t="s">
        <v>2051</v>
      </c>
      <c r="C566" s="3" t="str">
        <f>VLOOKUP(Table2[[#This Row],[Tegevusala]],Table4[],2,FALSE)</f>
        <v>Vinni Vallamuuseum</v>
      </c>
      <c r="D566" s="3" t="str">
        <f>VLOOKUP(Table2[[#This Row],[Tegevusala]],Table4[[Tegevusala kood]:[Tegevusala alanimetus]],4,FALSE)</f>
        <v>Muuseumid</v>
      </c>
      <c r="E566" s="3" t="str">
        <f>VLOOKUP(Table2[[#This Row],[Tegevusala nimetus2]],Table4[[Tegevusala nimetus]:[Tegevusala koondnimetus]],2,FALSE)</f>
        <v>Vabaaeg, kultuur ja religioon</v>
      </c>
      <c r="F566" t="s">
        <v>2056</v>
      </c>
      <c r="G566" t="s">
        <v>2060</v>
      </c>
      <c r="H566" s="40">
        <f>400+400+400+400+400+400</f>
        <v>2400</v>
      </c>
      <c r="I566" s="2" t="s">
        <v>2061</v>
      </c>
      <c r="J566">
        <v>5500</v>
      </c>
      <c r="K566" s="3" t="str">
        <f>VLOOKUP(Table2[[#This Row],[Konto]],Table5[[Konto]:[Konto nimetus]],2,FALSE)</f>
        <v>Administreerimiskulud</v>
      </c>
      <c r="L566">
        <v>55</v>
      </c>
      <c r="M566" t="str">
        <f t="shared" si="17"/>
        <v>55</v>
      </c>
      <c r="N566" s="3" t="str">
        <f>VLOOKUP(Table2[[#This Row],[Tulu/kulu liik2]],Table5[[Tulu/kulu liik]:[Kontode koondnimetus]],4,FALSE)</f>
        <v>Muud tegevuskulud</v>
      </c>
      <c r="O566" s="34" t="str">
        <f>VLOOKUP(Table2[[#This Row],[Tulu/kulu liik2]],Table5[],6,FALSE)</f>
        <v>Majandamiskulud</v>
      </c>
      <c r="P566" s="3" t="str">
        <f>VLOOKUP(Table2[[#This Row],[Tulu/kulu liik2]],Table5[],5,FALSE)</f>
        <v>Põhitegevuse kulu</v>
      </c>
    </row>
    <row r="567" spans="1:16" hidden="1" x14ac:dyDescent="0.25">
      <c r="A567" t="str">
        <f t="shared" si="16"/>
        <v>08</v>
      </c>
      <c r="B567" t="s">
        <v>2051</v>
      </c>
      <c r="C567" s="3" t="str">
        <f>VLOOKUP(Table2[[#This Row],[Tegevusala]],Table4[],2,FALSE)</f>
        <v>Vinni Vallamuuseum</v>
      </c>
      <c r="D567" s="3" t="str">
        <f>VLOOKUP(Table2[[#This Row],[Tegevusala]],Table4[[Tegevusala kood]:[Tegevusala alanimetus]],4,FALSE)</f>
        <v>Muuseumid</v>
      </c>
      <c r="E567" s="3" t="str">
        <f>VLOOKUP(Table2[[#This Row],[Tegevusala nimetus2]],Table4[[Tegevusala nimetus]:[Tegevusala koondnimetus]],2,FALSE)</f>
        <v>Vabaaeg, kultuur ja religioon</v>
      </c>
      <c r="F567" t="s">
        <v>2056</v>
      </c>
      <c r="G567" t="s">
        <v>2062</v>
      </c>
      <c r="H567" s="40">
        <f>500+500+500</f>
        <v>1500</v>
      </c>
      <c r="I567" s="2" t="s">
        <v>2063</v>
      </c>
      <c r="J567">
        <v>5540</v>
      </c>
      <c r="K567" s="3" t="str">
        <f>VLOOKUP(Table2[[#This Row],[Konto]],Table5[[Konto]:[Konto nimetus]],2,FALSE)</f>
        <v>Mitmesugused majanduskulud</v>
      </c>
      <c r="L567">
        <v>55</v>
      </c>
      <c r="M567" t="str">
        <f t="shared" si="17"/>
        <v>55</v>
      </c>
      <c r="N567" s="3" t="str">
        <f>VLOOKUP(Table2[[#This Row],[Tulu/kulu liik2]],Table5[[Tulu/kulu liik]:[Kontode koondnimetus]],4,FALSE)</f>
        <v>Muud tegevuskulud</v>
      </c>
      <c r="O567" s="34" t="str">
        <f>VLOOKUP(Table2[[#This Row],[Tulu/kulu liik2]],Table5[],6,FALSE)</f>
        <v>Majandamiskulud</v>
      </c>
      <c r="P567" s="3" t="str">
        <f>VLOOKUP(Table2[[#This Row],[Tulu/kulu liik2]],Table5[],5,FALSE)</f>
        <v>Põhitegevuse kulu</v>
      </c>
    </row>
    <row r="568" spans="1:16" hidden="1" x14ac:dyDescent="0.25">
      <c r="A568" t="str">
        <f t="shared" si="16"/>
        <v>08</v>
      </c>
      <c r="B568" t="s">
        <v>2051</v>
      </c>
      <c r="C568" s="3" t="str">
        <f>VLOOKUP(Table2[[#This Row],[Tegevusala]],Table4[],2,FALSE)</f>
        <v>Vinni Vallamuuseum</v>
      </c>
      <c r="D568" s="3" t="str">
        <f>VLOOKUP(Table2[[#This Row],[Tegevusala]],Table4[[Tegevusala kood]:[Tegevusala alanimetus]],4,FALSE)</f>
        <v>Muuseumid</v>
      </c>
      <c r="E568" s="3" t="str">
        <f>VLOOKUP(Table2[[#This Row],[Tegevusala nimetus2]],Table4[[Tegevusala nimetus]:[Tegevusala koondnimetus]],2,FALSE)</f>
        <v>Vabaaeg, kultuur ja religioon</v>
      </c>
      <c r="F568" t="s">
        <v>2056</v>
      </c>
      <c r="G568" t="s">
        <v>424</v>
      </c>
      <c r="H568" s="40">
        <f>11*335</f>
        <v>3685</v>
      </c>
      <c r="J568">
        <v>5513</v>
      </c>
      <c r="K568" s="3" t="str">
        <f>VLOOKUP(Table2[[#This Row],[Konto]],Table5[[Konto]:[Konto nimetus]],2,FALSE)</f>
        <v>Sõidukite ülalpidamise kulud</v>
      </c>
      <c r="L568">
        <v>55</v>
      </c>
      <c r="M568" t="str">
        <f t="shared" si="17"/>
        <v>55</v>
      </c>
      <c r="N568" s="3" t="str">
        <f>VLOOKUP(Table2[[#This Row],[Tulu/kulu liik2]],Table5[[Tulu/kulu liik]:[Kontode koondnimetus]],4,FALSE)</f>
        <v>Muud tegevuskulud</v>
      </c>
      <c r="O568" s="34" t="str">
        <f>VLOOKUP(Table2[[#This Row],[Tulu/kulu liik2]],Table5[],6,FALSE)</f>
        <v>Majandamiskulud</v>
      </c>
      <c r="P568" s="3" t="str">
        <f>VLOOKUP(Table2[[#This Row],[Tulu/kulu liik2]],Table5[],5,FALSE)</f>
        <v>Põhitegevuse kulu</v>
      </c>
    </row>
    <row r="569" spans="1:16" hidden="1" x14ac:dyDescent="0.25">
      <c r="A569" t="str">
        <f t="shared" si="16"/>
        <v>08</v>
      </c>
      <c r="B569" t="s">
        <v>2051</v>
      </c>
      <c r="C569" s="3" t="str">
        <f>VLOOKUP(Table2[[#This Row],[Tegevusala]],Table4[],2,FALSE)</f>
        <v>Vinni Vallamuuseum</v>
      </c>
      <c r="D569" s="3" t="str">
        <f>VLOOKUP(Table2[[#This Row],[Tegevusala]],Table4[[Tegevusala kood]:[Tegevusala alanimetus]],4,FALSE)</f>
        <v>Muuseumid</v>
      </c>
      <c r="E569" s="3" t="str">
        <f>VLOOKUP(Table2[[#This Row],[Tegevusala nimetus2]],Table4[[Tegevusala nimetus]:[Tegevusala koondnimetus]],2,FALSE)</f>
        <v>Vabaaeg, kultuur ja religioon</v>
      </c>
      <c r="F569" t="s">
        <v>2056</v>
      </c>
      <c r="G569" t="s">
        <v>775</v>
      </c>
      <c r="H569" s="40">
        <f>15*12</f>
        <v>180</v>
      </c>
      <c r="J569">
        <v>5500</v>
      </c>
      <c r="K569" s="3" t="str">
        <f>VLOOKUP(Table2[[#This Row],[Konto]],Table5[[Konto]:[Konto nimetus]],2,FALSE)</f>
        <v>Administreerimiskulud</v>
      </c>
      <c r="L569">
        <v>55</v>
      </c>
      <c r="M569" t="str">
        <f t="shared" si="17"/>
        <v>55</v>
      </c>
      <c r="N569" s="3" t="str">
        <f>VLOOKUP(Table2[[#This Row],[Tulu/kulu liik2]],Table5[[Tulu/kulu liik]:[Kontode koondnimetus]],4,FALSE)</f>
        <v>Muud tegevuskulud</v>
      </c>
      <c r="O569" s="34" t="str">
        <f>VLOOKUP(Table2[[#This Row],[Tulu/kulu liik2]],Table5[],6,FALSE)</f>
        <v>Majandamiskulud</v>
      </c>
      <c r="P569" s="3" t="str">
        <f>VLOOKUP(Table2[[#This Row],[Tulu/kulu liik2]],Table5[],5,FALSE)</f>
        <v>Põhitegevuse kulu</v>
      </c>
    </row>
    <row r="570" spans="1:16" hidden="1" x14ac:dyDescent="0.25">
      <c r="A570" t="str">
        <f t="shared" si="16"/>
        <v>08</v>
      </c>
      <c r="B570" t="s">
        <v>2051</v>
      </c>
      <c r="C570" s="3" t="str">
        <f>VLOOKUP(Table2[[#This Row],[Tegevusala]],Table4[],2,FALSE)</f>
        <v>Vinni Vallamuuseum</v>
      </c>
      <c r="D570" s="3" t="str">
        <f>VLOOKUP(Table2[[#This Row],[Tegevusala]],Table4[[Tegevusala kood]:[Tegevusala alanimetus]],4,FALSE)</f>
        <v>Muuseumid</v>
      </c>
      <c r="E570" s="3" t="str">
        <f>VLOOKUP(Table2[[#This Row],[Tegevusala nimetus2]],Table4[[Tegevusala nimetus]:[Tegevusala koondnimetus]],2,FALSE)</f>
        <v>Vabaaeg, kultuur ja religioon</v>
      </c>
      <c r="F570" t="s">
        <v>2056</v>
      </c>
      <c r="G570" t="s">
        <v>2065</v>
      </c>
      <c r="H570" s="40">
        <v>300</v>
      </c>
      <c r="J570">
        <v>5514</v>
      </c>
      <c r="K570" s="3" t="str">
        <f>VLOOKUP(Table2[[#This Row],[Konto]],Table5[[Konto]:[Konto nimetus]],2,FALSE)</f>
        <v>Info- ja kommunikatsioonitehnoliigised kulud</v>
      </c>
      <c r="L570">
        <v>55</v>
      </c>
      <c r="M570" t="str">
        <f t="shared" si="17"/>
        <v>55</v>
      </c>
      <c r="N570" s="3" t="str">
        <f>VLOOKUP(Table2[[#This Row],[Tulu/kulu liik2]],Table5[[Tulu/kulu liik]:[Kontode koondnimetus]],4,FALSE)</f>
        <v>Muud tegevuskulud</v>
      </c>
      <c r="O570" s="34" t="str">
        <f>VLOOKUP(Table2[[#This Row],[Tulu/kulu liik2]],Table5[],6,FALSE)</f>
        <v>Majandamiskulud</v>
      </c>
      <c r="P570" s="3" t="str">
        <f>VLOOKUP(Table2[[#This Row],[Tulu/kulu liik2]],Table5[],5,FALSE)</f>
        <v>Põhitegevuse kulu</v>
      </c>
    </row>
    <row r="571" spans="1:16" hidden="1" x14ac:dyDescent="0.25">
      <c r="A571" t="str">
        <f t="shared" si="16"/>
        <v>08</v>
      </c>
      <c r="B571" t="s">
        <v>2051</v>
      </c>
      <c r="C571" s="3" t="str">
        <f>VLOOKUP(Table2[[#This Row],[Tegevusala]],Table4[],2,FALSE)</f>
        <v>Vinni Vallamuuseum</v>
      </c>
      <c r="D571" s="3" t="str">
        <f>VLOOKUP(Table2[[#This Row],[Tegevusala]],Table4[[Tegevusala kood]:[Tegevusala alanimetus]],4,FALSE)</f>
        <v>Muuseumid</v>
      </c>
      <c r="E571" s="3" t="str">
        <f>VLOOKUP(Table2[[#This Row],[Tegevusala nimetus2]],Table4[[Tegevusala nimetus]:[Tegevusala koondnimetus]],2,FALSE)</f>
        <v>Vabaaeg, kultuur ja religioon</v>
      </c>
      <c r="F571" t="s">
        <v>2056</v>
      </c>
      <c r="G571" t="s">
        <v>2066</v>
      </c>
      <c r="H571" s="40">
        <v>200</v>
      </c>
      <c r="J571">
        <v>5504</v>
      </c>
      <c r="K571" s="3" t="str">
        <f>VLOOKUP(Table2[[#This Row],[Konto]],Table5[[Konto]:[Konto nimetus]],2,FALSE)</f>
        <v>Koolituskulud</v>
      </c>
      <c r="L571">
        <v>55</v>
      </c>
      <c r="M571" t="str">
        <f t="shared" si="17"/>
        <v>55</v>
      </c>
      <c r="N571" s="3" t="str">
        <f>VLOOKUP(Table2[[#This Row],[Tulu/kulu liik2]],Table5[[Tulu/kulu liik]:[Kontode koondnimetus]],4,FALSE)</f>
        <v>Muud tegevuskulud</v>
      </c>
      <c r="O571" s="34" t="str">
        <f>VLOOKUP(Table2[[#This Row],[Tulu/kulu liik2]],Table5[],6,FALSE)</f>
        <v>Majandamiskulud</v>
      </c>
      <c r="P571" s="3" t="str">
        <f>VLOOKUP(Table2[[#This Row],[Tulu/kulu liik2]],Table5[],5,FALSE)</f>
        <v>Põhitegevuse kulu</v>
      </c>
    </row>
    <row r="572" spans="1:16" hidden="1" x14ac:dyDescent="0.25">
      <c r="A572" t="str">
        <f t="shared" si="16"/>
        <v>08</v>
      </c>
      <c r="B572" t="s">
        <v>2051</v>
      </c>
      <c r="C572" s="3" t="str">
        <f>VLOOKUP(Table2[[#This Row],[Tegevusala]],Table4[],2,FALSE)</f>
        <v>Vinni Vallamuuseum</v>
      </c>
      <c r="D572" s="3" t="str">
        <f>VLOOKUP(Table2[[#This Row],[Tegevusala]],Table4[[Tegevusala kood]:[Tegevusala alanimetus]],4,FALSE)</f>
        <v>Muuseumid</v>
      </c>
      <c r="E572" s="3" t="str">
        <f>VLOOKUP(Table2[[#This Row],[Tegevusala nimetus2]],Table4[[Tegevusala nimetus]:[Tegevusala koondnimetus]],2,FALSE)</f>
        <v>Vabaaeg, kultuur ja religioon</v>
      </c>
      <c r="F572" t="s">
        <v>2056</v>
      </c>
      <c r="G572" t="s">
        <v>2067</v>
      </c>
      <c r="H572" s="40">
        <v>1200</v>
      </c>
      <c r="I572" s="2" t="s">
        <v>2068</v>
      </c>
      <c r="J572">
        <v>5540</v>
      </c>
      <c r="K572" s="3" t="str">
        <f>VLOOKUP(Table2[[#This Row],[Konto]],Table5[[Konto]:[Konto nimetus]],2,FALSE)</f>
        <v>Mitmesugused majanduskulud</v>
      </c>
      <c r="L572">
        <v>55</v>
      </c>
      <c r="M572" t="str">
        <f t="shared" si="17"/>
        <v>55</v>
      </c>
      <c r="N572" s="3" t="str">
        <f>VLOOKUP(Table2[[#This Row],[Tulu/kulu liik2]],Table5[[Tulu/kulu liik]:[Kontode koondnimetus]],4,FALSE)</f>
        <v>Muud tegevuskulud</v>
      </c>
      <c r="O572" s="34" t="str">
        <f>VLOOKUP(Table2[[#This Row],[Tulu/kulu liik2]],Table5[],6,FALSE)</f>
        <v>Majandamiskulud</v>
      </c>
      <c r="P572" s="3" t="str">
        <f>VLOOKUP(Table2[[#This Row],[Tulu/kulu liik2]],Table5[],5,FALSE)</f>
        <v>Põhitegevuse kulu</v>
      </c>
    </row>
    <row r="573" spans="1:16" hidden="1" x14ac:dyDescent="0.25">
      <c r="A573" t="str">
        <f t="shared" si="16"/>
        <v>08</v>
      </c>
      <c r="B573" t="s">
        <v>2051</v>
      </c>
      <c r="C573" s="3" t="str">
        <f>VLOOKUP(Table2[[#This Row],[Tegevusala]],Table4[],2,FALSE)</f>
        <v>Vinni Vallamuuseum</v>
      </c>
      <c r="D573" s="3" t="str">
        <f>VLOOKUP(Table2[[#This Row],[Tegevusala]],Table4[[Tegevusala kood]:[Tegevusala alanimetus]],4,FALSE)</f>
        <v>Muuseumid</v>
      </c>
      <c r="E573" s="3" t="str">
        <f>VLOOKUP(Table2[[#This Row],[Tegevusala nimetus2]],Table4[[Tegevusala nimetus]:[Tegevusala koondnimetus]],2,FALSE)</f>
        <v>Vabaaeg, kultuur ja religioon</v>
      </c>
      <c r="F573" t="s">
        <v>2056</v>
      </c>
      <c r="G573" t="s">
        <v>2060</v>
      </c>
      <c r="H573" s="40">
        <v>1000</v>
      </c>
      <c r="J573">
        <v>5500</v>
      </c>
      <c r="K573" s="3" t="str">
        <f>VLOOKUP(Table2[[#This Row],[Konto]],Table5[[Konto]:[Konto nimetus]],2,FALSE)</f>
        <v>Administreerimiskulud</v>
      </c>
      <c r="L573">
        <v>55</v>
      </c>
      <c r="M573" t="str">
        <f t="shared" si="17"/>
        <v>55</v>
      </c>
      <c r="N573" s="3" t="str">
        <f>VLOOKUP(Table2[[#This Row],[Tulu/kulu liik2]],Table5[[Tulu/kulu liik]:[Kontode koondnimetus]],4,FALSE)</f>
        <v>Muud tegevuskulud</v>
      </c>
      <c r="O573" s="34" t="str">
        <f>VLOOKUP(Table2[[#This Row],[Tulu/kulu liik2]],Table5[],6,FALSE)</f>
        <v>Majandamiskulud</v>
      </c>
      <c r="P573" s="3" t="str">
        <f>VLOOKUP(Table2[[#This Row],[Tulu/kulu liik2]],Table5[],5,FALSE)</f>
        <v>Põhitegevuse kulu</v>
      </c>
    </row>
    <row r="574" spans="1:16" hidden="1" x14ac:dyDescent="0.25">
      <c r="A574" t="str">
        <f t="shared" ref="A574:A637" si="18">LEFT(B574,2)</f>
        <v>08</v>
      </c>
      <c r="B574" t="s">
        <v>2051</v>
      </c>
      <c r="C574" s="3" t="str">
        <f>VLOOKUP(Table2[[#This Row],[Tegevusala]],Table4[],2,FALSE)</f>
        <v>Vinni Vallamuuseum</v>
      </c>
      <c r="D574" s="3" t="str">
        <f>VLOOKUP(Table2[[#This Row],[Tegevusala]],Table4[[Tegevusala kood]:[Tegevusala alanimetus]],4,FALSE)</f>
        <v>Muuseumid</v>
      </c>
      <c r="E574" s="3" t="str">
        <f>VLOOKUP(Table2[[#This Row],[Tegevusala nimetus2]],Table4[[Tegevusala nimetus]:[Tegevusala koondnimetus]],2,FALSE)</f>
        <v>Vabaaeg, kultuur ja religioon</v>
      </c>
      <c r="F574" t="s">
        <v>2056</v>
      </c>
      <c r="G574" t="s">
        <v>391</v>
      </c>
      <c r="H574" s="40">
        <v>500</v>
      </c>
      <c r="J574">
        <v>5504</v>
      </c>
      <c r="K574" s="3" t="str">
        <f>VLOOKUP(Table2[[#This Row],[Konto]],Table5[[Konto]:[Konto nimetus]],2,FALSE)</f>
        <v>Koolituskulud</v>
      </c>
      <c r="L574">
        <v>55</v>
      </c>
      <c r="M574" t="str">
        <f t="shared" ref="M574:M637" si="19">LEFT(J574,2)</f>
        <v>55</v>
      </c>
      <c r="N574" s="3" t="str">
        <f>VLOOKUP(Table2[[#This Row],[Tulu/kulu liik2]],Table5[[Tulu/kulu liik]:[Kontode koondnimetus]],4,FALSE)</f>
        <v>Muud tegevuskulud</v>
      </c>
      <c r="O574" s="34" t="str">
        <f>VLOOKUP(Table2[[#This Row],[Tulu/kulu liik2]],Table5[],6,FALSE)</f>
        <v>Majandamiskulud</v>
      </c>
      <c r="P574" s="3" t="str">
        <f>VLOOKUP(Table2[[#This Row],[Tulu/kulu liik2]],Table5[],5,FALSE)</f>
        <v>Põhitegevuse kulu</v>
      </c>
    </row>
    <row r="575" spans="1:16" hidden="1" x14ac:dyDescent="0.25">
      <c r="A575" t="str">
        <f t="shared" si="18"/>
        <v>08</v>
      </c>
      <c r="B575" t="s">
        <v>2051</v>
      </c>
      <c r="C575" s="3" t="str">
        <f>VLOOKUP(Table2[[#This Row],[Tegevusala]],Table4[],2,FALSE)</f>
        <v>Vinni Vallamuuseum</v>
      </c>
      <c r="D575" s="3" t="str">
        <f>VLOOKUP(Table2[[#This Row],[Tegevusala]],Table4[[Tegevusala kood]:[Tegevusala alanimetus]],4,FALSE)</f>
        <v>Muuseumid</v>
      </c>
      <c r="E575" s="3" t="str">
        <f>VLOOKUP(Table2[[#This Row],[Tegevusala nimetus2]],Table4[[Tegevusala nimetus]:[Tegevusala koondnimetus]],2,FALSE)</f>
        <v>Vabaaeg, kultuur ja religioon</v>
      </c>
      <c r="F575" t="s">
        <v>2056</v>
      </c>
      <c r="G575" t="s">
        <v>2069</v>
      </c>
      <c r="H575" s="40">
        <v>600</v>
      </c>
      <c r="J575">
        <v>5540</v>
      </c>
      <c r="K575" s="3" t="str">
        <f>VLOOKUP(Table2[[#This Row],[Konto]],Table5[[Konto]:[Konto nimetus]],2,FALSE)</f>
        <v>Mitmesugused majanduskulud</v>
      </c>
      <c r="L575">
        <v>55</v>
      </c>
      <c r="M575" t="str">
        <f t="shared" si="19"/>
        <v>55</v>
      </c>
      <c r="N575" s="3" t="str">
        <f>VLOOKUP(Table2[[#This Row],[Tulu/kulu liik2]],Table5[[Tulu/kulu liik]:[Kontode koondnimetus]],4,FALSE)</f>
        <v>Muud tegevuskulud</v>
      </c>
      <c r="O575" s="34" t="str">
        <f>VLOOKUP(Table2[[#This Row],[Tulu/kulu liik2]],Table5[],6,FALSE)</f>
        <v>Majandamiskulud</v>
      </c>
      <c r="P575" s="3" t="str">
        <f>VLOOKUP(Table2[[#This Row],[Tulu/kulu liik2]],Table5[],5,FALSE)</f>
        <v>Põhitegevuse kulu</v>
      </c>
    </row>
    <row r="576" spans="1:16" hidden="1" x14ac:dyDescent="0.25">
      <c r="A576" s="82" t="str">
        <f t="shared" si="18"/>
        <v>08</v>
      </c>
      <c r="B576" s="82" t="s">
        <v>2051</v>
      </c>
      <c r="C576" s="83" t="str">
        <f>VLOOKUP(Table2[[#This Row],[Tegevusala]],Table4[],2,FALSE)</f>
        <v>Vinni Vallamuuseum</v>
      </c>
      <c r="D576" s="83" t="str">
        <f>VLOOKUP(Table2[[#This Row],[Tegevusala]],Table4[[Tegevusala kood]:[Tegevusala alanimetus]],4,FALSE)</f>
        <v>Muuseumid</v>
      </c>
      <c r="E576" s="83" t="str">
        <f>VLOOKUP(Table2[[#This Row],[Tegevusala nimetus2]],Table4[[Tegevusala nimetus]:[Tegevusala koondnimetus]],2,FALSE)</f>
        <v>Vabaaeg, kultuur ja religioon</v>
      </c>
      <c r="F576" s="82" t="s">
        <v>2056</v>
      </c>
      <c r="G576" s="82" t="s">
        <v>1054</v>
      </c>
      <c r="H576" s="84">
        <v>2500</v>
      </c>
      <c r="I576" s="85"/>
      <c r="J576" s="82">
        <v>5540</v>
      </c>
      <c r="K576" s="83" t="str">
        <f>VLOOKUP(Table2[[#This Row],[Konto]],Table5[[Konto]:[Konto nimetus]],2,FALSE)</f>
        <v>Mitmesugused majanduskulud</v>
      </c>
      <c r="L576" s="82">
        <v>55</v>
      </c>
      <c r="M576" s="82" t="str">
        <f t="shared" si="19"/>
        <v>55</v>
      </c>
      <c r="N576" s="83" t="str">
        <f>VLOOKUP(Table2[[#This Row],[Tulu/kulu liik2]],Table5[[Tulu/kulu liik]:[Kontode koondnimetus]],4,FALSE)</f>
        <v>Muud tegevuskulud</v>
      </c>
      <c r="O576" s="83" t="str">
        <f>VLOOKUP(Table2[[#This Row],[Tulu/kulu liik2]],Table5[],6,FALSE)</f>
        <v>Majandamiskulud</v>
      </c>
      <c r="P576" s="83" t="str">
        <f>VLOOKUP(Table2[[#This Row],[Tulu/kulu liik2]],Table5[],5,FALSE)</f>
        <v>Põhitegevuse kulu</v>
      </c>
    </row>
    <row r="577" spans="1:16" hidden="1" x14ac:dyDescent="0.25">
      <c r="A577" t="str">
        <f t="shared" si="18"/>
        <v>08</v>
      </c>
      <c r="B577" t="s">
        <v>45</v>
      </c>
      <c r="C577" s="3" t="str">
        <f>VLOOKUP(Table2[[#This Row],[Tegevusala]],Table4[],2,FALSE)</f>
        <v xml:space="preserve"> Ringhäälingu- ja kirjastamisteenused</v>
      </c>
      <c r="D577" s="3" t="str">
        <f>VLOOKUP(Table2[[#This Row],[Tegevusala]],Table4[[Tegevusala kood]:[Tegevusala alanimetus]],4,FALSE)</f>
        <v>Ringhäälingu- ja kirjastamisteenused</v>
      </c>
      <c r="E577" s="3" t="str">
        <f>VLOOKUP(Table2[[#This Row],[Tegevusala nimetus2]],Table4[[Tegevusala nimetus]:[Tegevusala koondnimetus]],2,FALSE)</f>
        <v>Vabaaeg, kultuur ja religioon</v>
      </c>
      <c r="F577" t="s">
        <v>1815</v>
      </c>
      <c r="G577" t="s">
        <v>1821</v>
      </c>
      <c r="H577" s="40">
        <v>14000</v>
      </c>
      <c r="J577">
        <v>5500</v>
      </c>
      <c r="K577" s="3" t="str">
        <f>VLOOKUP(Table2[[#This Row],[Konto]],Table5[[Konto]:[Konto nimetus]],2,FALSE)</f>
        <v>Administreerimiskulud</v>
      </c>
      <c r="L577">
        <v>55</v>
      </c>
      <c r="M577" t="str">
        <f t="shared" si="19"/>
        <v>55</v>
      </c>
      <c r="N577" s="3" t="str">
        <f>VLOOKUP(Table2[[#This Row],[Tulu/kulu liik2]],Table5[[Tulu/kulu liik]:[Kontode koondnimetus]],4,FALSE)</f>
        <v>Muud tegevuskulud</v>
      </c>
      <c r="O577" s="3" t="str">
        <f>VLOOKUP(Table2[[#This Row],[Tulu/kulu liik2]],Table5[],6,FALSE)</f>
        <v>Majandamiskulud</v>
      </c>
      <c r="P577" s="3" t="str">
        <f>VLOOKUP(Table2[[#This Row],[Tulu/kulu liik2]],Table5[],5,FALSE)</f>
        <v>Põhitegevuse kulu</v>
      </c>
    </row>
    <row r="578" spans="1:16" hidden="1" x14ac:dyDescent="0.25">
      <c r="A578" s="82" t="str">
        <f t="shared" si="18"/>
        <v>08</v>
      </c>
      <c r="B578" s="82" t="s">
        <v>47</v>
      </c>
      <c r="C578" s="83" t="str">
        <f>VLOOKUP(Table2[[#This Row],[Tegevusala]],Table4[],2,FALSE)</f>
        <v xml:space="preserve"> Muu vaba aeg, kultuur, religioon, sh haldus</v>
      </c>
      <c r="D578" s="83" t="str">
        <f>VLOOKUP(Table2[[#This Row],[Tegevusala]],Table4[[Tegevusala kood]:[Tegevusala alanimetus]],4,FALSE)</f>
        <v>Muu vaba aeg, kultuur, religioon, sh haldus</v>
      </c>
      <c r="E578" s="83" t="str">
        <f>VLOOKUP(Table2[[#This Row],[Tegevusala nimetus2]],Table4[[Tegevusala nimetus]:[Tegevusala koondnimetus]],2,FALSE)</f>
        <v>Vabaaeg, kultuur ja religioon</v>
      </c>
      <c r="F578" s="82" t="s">
        <v>799</v>
      </c>
      <c r="G578" s="82" t="s">
        <v>424</v>
      </c>
      <c r="H578" s="84">
        <f>11*150</f>
        <v>1650</v>
      </c>
      <c r="I578" s="85" t="s">
        <v>2048</v>
      </c>
      <c r="J578" s="82">
        <v>5513</v>
      </c>
      <c r="K578" s="83" t="str">
        <f>VLOOKUP(Table2[[#This Row],[Konto]],Table5[[Konto]:[Konto nimetus]],2,FALSE)</f>
        <v>Sõidukite ülalpidamise kulud</v>
      </c>
      <c r="L578" s="82">
        <v>55</v>
      </c>
      <c r="M578" s="82" t="str">
        <f t="shared" si="19"/>
        <v>55</v>
      </c>
      <c r="N578" s="83" t="str">
        <f>VLOOKUP(Table2[[#This Row],[Tulu/kulu liik2]],Table5[[Tulu/kulu liik]:[Kontode koondnimetus]],4,FALSE)</f>
        <v>Muud tegevuskulud</v>
      </c>
      <c r="O578" s="83" t="str">
        <f>VLOOKUP(Table2[[#This Row],[Tulu/kulu liik2]],Table5[],6,FALSE)</f>
        <v>Majandamiskulud</v>
      </c>
      <c r="P578" s="83" t="str">
        <f>VLOOKUP(Table2[[#This Row],[Tulu/kulu liik2]],Table5[],5,FALSE)</f>
        <v>Põhitegevuse kulu</v>
      </c>
    </row>
    <row r="579" spans="1:16" hidden="1" x14ac:dyDescent="0.25">
      <c r="A579" s="82" t="str">
        <f t="shared" si="18"/>
        <v>08</v>
      </c>
      <c r="B579" s="82" t="s">
        <v>47</v>
      </c>
      <c r="C579" s="83" t="str">
        <f>VLOOKUP(Table2[[#This Row],[Tegevusala]],Table4[],2,FALSE)</f>
        <v xml:space="preserve"> Muu vaba aeg, kultuur, religioon, sh haldus</v>
      </c>
      <c r="D579" s="83" t="str">
        <f>VLOOKUP(Table2[[#This Row],[Tegevusala]],Table4[[Tegevusala kood]:[Tegevusala alanimetus]],4,FALSE)</f>
        <v>Muu vaba aeg, kultuur, religioon, sh haldus</v>
      </c>
      <c r="E579" s="83" t="str">
        <f>VLOOKUP(Table2[[#This Row],[Tegevusala nimetus2]],Table4[[Tegevusala nimetus]:[Tegevusala koondnimetus]],2,FALSE)</f>
        <v>Vabaaeg, kultuur ja religioon</v>
      </c>
      <c r="F579" s="82" t="s">
        <v>799</v>
      </c>
      <c r="G579" s="82" t="s">
        <v>1500</v>
      </c>
      <c r="H579" s="84">
        <v>350</v>
      </c>
      <c r="I579" s="85"/>
      <c r="J579" s="82">
        <v>5504</v>
      </c>
      <c r="K579" s="83" t="str">
        <f>VLOOKUP(Table2[[#This Row],[Konto]],Table5[[Konto]:[Konto nimetus]],2,FALSE)</f>
        <v>Koolituskulud</v>
      </c>
      <c r="L579" s="82">
        <v>55</v>
      </c>
      <c r="M579" s="82" t="str">
        <f t="shared" si="19"/>
        <v>55</v>
      </c>
      <c r="N579" s="83" t="str">
        <f>VLOOKUP(Table2[[#This Row],[Tulu/kulu liik2]],Table5[[Tulu/kulu liik]:[Kontode koondnimetus]],4,FALSE)</f>
        <v>Muud tegevuskulud</v>
      </c>
      <c r="O579" s="83" t="str">
        <f>VLOOKUP(Table2[[#This Row],[Tulu/kulu liik2]],Table5[],6,FALSE)</f>
        <v>Majandamiskulud</v>
      </c>
      <c r="P579" s="83" t="str">
        <f>VLOOKUP(Table2[[#This Row],[Tulu/kulu liik2]],Table5[],5,FALSE)</f>
        <v>Põhitegevuse kulu</v>
      </c>
    </row>
    <row r="580" spans="1:16" hidden="1" x14ac:dyDescent="0.25">
      <c r="A580" s="82" t="str">
        <f t="shared" si="18"/>
        <v>08</v>
      </c>
      <c r="B580" s="82" t="s">
        <v>47</v>
      </c>
      <c r="C580" s="83" t="str">
        <f>VLOOKUP(Table2[[#This Row],[Tegevusala]],Table4[],2,FALSE)</f>
        <v xml:space="preserve"> Muu vaba aeg, kultuur, religioon, sh haldus</v>
      </c>
      <c r="D580" s="83" t="str">
        <f>VLOOKUP(Table2[[#This Row],[Tegevusala]],Table4[[Tegevusala kood]:[Tegevusala alanimetus]],4,FALSE)</f>
        <v>Muu vaba aeg, kultuur, religioon, sh haldus</v>
      </c>
      <c r="E580" s="83" t="str">
        <f>VLOOKUP(Table2[[#This Row],[Tegevusala nimetus2]],Table4[[Tegevusala nimetus]:[Tegevusala koondnimetus]],2,FALSE)</f>
        <v>Vabaaeg, kultuur ja religioon</v>
      </c>
      <c r="F580" s="82" t="s">
        <v>799</v>
      </c>
      <c r="G580" s="82" t="s">
        <v>775</v>
      </c>
      <c r="H580" s="84">
        <v>120</v>
      </c>
      <c r="I580" s="85"/>
      <c r="J580" s="82">
        <v>5500</v>
      </c>
      <c r="K580" s="83" t="str">
        <f>VLOOKUP(Table2[[#This Row],[Konto]],Table5[[Konto]:[Konto nimetus]],2,FALSE)</f>
        <v>Administreerimiskulud</v>
      </c>
      <c r="L580" s="82">
        <v>55</v>
      </c>
      <c r="M580" s="82" t="str">
        <f t="shared" si="19"/>
        <v>55</v>
      </c>
      <c r="N580" s="83" t="str">
        <f>VLOOKUP(Table2[[#This Row],[Tulu/kulu liik2]],Table5[[Tulu/kulu liik]:[Kontode koondnimetus]],4,FALSE)</f>
        <v>Muud tegevuskulud</v>
      </c>
      <c r="O580" s="83" t="str">
        <f>VLOOKUP(Table2[[#This Row],[Tulu/kulu liik2]],Table5[],6,FALSE)</f>
        <v>Majandamiskulud</v>
      </c>
      <c r="P580" s="83" t="str">
        <f>VLOOKUP(Table2[[#This Row],[Tulu/kulu liik2]],Table5[],5,FALSE)</f>
        <v>Põhitegevuse kulu</v>
      </c>
    </row>
    <row r="581" spans="1:16" hidden="1" x14ac:dyDescent="0.25">
      <c r="A581" s="33" t="str">
        <f t="shared" si="18"/>
        <v>08</v>
      </c>
      <c r="B581" s="33" t="s">
        <v>47</v>
      </c>
      <c r="C581" s="34" t="str">
        <f>VLOOKUP(Table2[[#This Row],[Tegevusala]],Table4[],2,FALSE)</f>
        <v xml:space="preserve"> Muu vaba aeg, kultuur, religioon, sh haldus</v>
      </c>
      <c r="D581" s="34" t="str">
        <f>VLOOKUP(Table2[[#This Row],[Tegevusala]],Table4[[Tegevusala kood]:[Tegevusala alanimetus]],4,FALSE)</f>
        <v>Muu vaba aeg, kultuur, religioon, sh haldus</v>
      </c>
      <c r="E581" s="34" t="str">
        <f>VLOOKUP(Table2[[#This Row],[Tegevusala nimetus2]],Table4[[Tegevusala nimetus]:[Tegevusala koondnimetus]],2,FALSE)</f>
        <v>Vabaaeg, kultuur ja religioon</v>
      </c>
      <c r="F581" s="33" t="s">
        <v>630</v>
      </c>
      <c r="G581" s="33" t="s">
        <v>2031</v>
      </c>
      <c r="H581" s="47">
        <v>20000</v>
      </c>
      <c r="I581" s="35"/>
      <c r="J581" s="33">
        <v>1551</v>
      </c>
      <c r="K581" s="34" t="str">
        <f>VLOOKUP(Table2[[#This Row],[Konto]],Table5[[Konto]:[Konto nimetus]],2,FALSE)</f>
        <v>Rajatiste ja hoonete soetamine ja renoveerimine</v>
      </c>
      <c r="L581" s="33">
        <v>15</v>
      </c>
      <c r="M581" s="33" t="str">
        <f t="shared" si="19"/>
        <v>15</v>
      </c>
      <c r="N581" s="34" t="str">
        <f>VLOOKUP(Table2[[#This Row],[Tulu/kulu liik2]],Table5[[Tulu/kulu liik]:[Kontode koondnimetus]],4,FALSE)</f>
        <v>Põhivara soetus (-)</v>
      </c>
      <c r="O581" s="34" t="str">
        <f>VLOOKUP(Table2[[#This Row],[Tulu/kulu liik2]],Table5[],6,FALSE)</f>
        <v>Põhivara soetus (-)</v>
      </c>
      <c r="P581" s="34" t="str">
        <f>VLOOKUP(Table2[[#This Row],[Tulu/kulu liik2]],Table5[],5,FALSE)</f>
        <v>Investeerimistegevus</v>
      </c>
    </row>
    <row r="582" spans="1:16" hidden="1" x14ac:dyDescent="0.25">
      <c r="A582" t="str">
        <f t="shared" si="18"/>
        <v>09</v>
      </c>
      <c r="B582" t="s">
        <v>309</v>
      </c>
      <c r="C582" s="3" t="str">
        <f>VLOOKUP(Table2[[#This Row],[Tegevusala]],Table4[],2,FALSE)</f>
        <v xml:space="preserve"> Vinni Lasteaed</v>
      </c>
      <c r="D582" s="3" t="str">
        <f>VLOOKUP(Table2[[#This Row],[Tegevusala]],Table4[[Tegevusala kood]:[Tegevusala alanimetus]],4,FALSE)</f>
        <v>Alusharidus</v>
      </c>
      <c r="E582" s="3" t="str">
        <f>VLOOKUP(Table2[[#This Row],[Tegevusala nimetus2]],Table4[[Tegevusala nimetus]:[Tegevusala koondnimetus]],2,FALSE)</f>
        <v>Haridus</v>
      </c>
      <c r="F582" t="s">
        <v>1183</v>
      </c>
      <c r="G582" t="s">
        <v>2244</v>
      </c>
      <c r="H582" s="40">
        <v>800</v>
      </c>
      <c r="I582" s="2" t="s">
        <v>1195</v>
      </c>
      <c r="J582">
        <v>5500</v>
      </c>
      <c r="K582" s="3" t="str">
        <f>VLOOKUP(Table2[[#This Row],[Konto]],Table5[[Konto]:[Konto nimetus]],2,FALSE)</f>
        <v>Administreerimiskulud</v>
      </c>
      <c r="L582">
        <v>55</v>
      </c>
      <c r="M582" t="str">
        <f t="shared" si="19"/>
        <v>55</v>
      </c>
      <c r="N582" s="3" t="str">
        <f>VLOOKUP(Table2[[#This Row],[Tulu/kulu liik2]],Table5[[Tulu/kulu liik]:[Kontode koondnimetus]],4,FALSE)</f>
        <v>Muud tegevuskulud</v>
      </c>
      <c r="O582" s="3" t="str">
        <f>VLOOKUP(Table2[[#This Row],[Tulu/kulu liik2]],Table5[],6,FALSE)</f>
        <v>Majandamiskulud</v>
      </c>
      <c r="P582" s="3" t="str">
        <f>VLOOKUP(Table2[[#This Row],[Tulu/kulu liik2]],Table5[],5,FALSE)</f>
        <v>Põhitegevuse kulu</v>
      </c>
    </row>
    <row r="583" spans="1:16" hidden="1" x14ac:dyDescent="0.25">
      <c r="A583" t="str">
        <f t="shared" si="18"/>
        <v>09</v>
      </c>
      <c r="B583" t="s">
        <v>309</v>
      </c>
      <c r="C583" s="3" t="str">
        <f>VLOOKUP(Table2[[#This Row],[Tegevusala]],Table4[],2,FALSE)</f>
        <v xml:space="preserve"> Vinni Lasteaed</v>
      </c>
      <c r="D583" s="3" t="str">
        <f>VLOOKUP(Table2[[#This Row],[Tegevusala]],Table4[[Tegevusala kood]:[Tegevusala alanimetus]],4,FALSE)</f>
        <v>Alusharidus</v>
      </c>
      <c r="E583" s="3" t="str">
        <f>VLOOKUP(Table2[[#This Row],[Tegevusala nimetus2]],Table4[[Tegevusala nimetus]:[Tegevusala koondnimetus]],2,FALSE)</f>
        <v>Haridus</v>
      </c>
      <c r="F583" t="s">
        <v>1183</v>
      </c>
      <c r="G583" t="s">
        <v>1196</v>
      </c>
      <c r="H583" s="40">
        <v>500</v>
      </c>
      <c r="I583" s="2" t="s">
        <v>1197</v>
      </c>
      <c r="J583">
        <v>5500</v>
      </c>
      <c r="K583" s="3" t="str">
        <f>VLOOKUP(Table2[[#This Row],[Konto]],Table5[[Konto]:[Konto nimetus]],2,FALSE)</f>
        <v>Administreerimiskulud</v>
      </c>
      <c r="L583">
        <v>55</v>
      </c>
      <c r="M583" t="str">
        <f t="shared" si="19"/>
        <v>55</v>
      </c>
      <c r="N583" s="3" t="str">
        <f>VLOOKUP(Table2[[#This Row],[Tulu/kulu liik2]],Table5[[Tulu/kulu liik]:[Kontode koondnimetus]],4,FALSE)</f>
        <v>Muud tegevuskulud</v>
      </c>
      <c r="O583" s="3" t="str">
        <f>VLOOKUP(Table2[[#This Row],[Tulu/kulu liik2]],Table5[],6,FALSE)</f>
        <v>Majandamiskulud</v>
      </c>
      <c r="P583" s="3" t="str">
        <f>VLOOKUP(Table2[[#This Row],[Tulu/kulu liik2]],Table5[],5,FALSE)</f>
        <v>Põhitegevuse kulu</v>
      </c>
    </row>
    <row r="584" spans="1:16" hidden="1" x14ac:dyDescent="0.25">
      <c r="A584" t="str">
        <f t="shared" si="18"/>
        <v>09</v>
      </c>
      <c r="B584" t="s">
        <v>309</v>
      </c>
      <c r="C584" s="3" t="str">
        <f>VLOOKUP(Table2[[#This Row],[Tegevusala]],Table4[],2,FALSE)</f>
        <v xml:space="preserve"> Vinni Lasteaed</v>
      </c>
      <c r="D584" s="3" t="str">
        <f>VLOOKUP(Table2[[#This Row],[Tegevusala]],Table4[[Tegevusala kood]:[Tegevusala alanimetus]],4,FALSE)</f>
        <v>Alusharidus</v>
      </c>
      <c r="E584" s="3" t="str">
        <f>VLOOKUP(Table2[[#This Row],[Tegevusala nimetus2]],Table4[[Tegevusala nimetus]:[Tegevusala koondnimetus]],2,FALSE)</f>
        <v>Haridus</v>
      </c>
      <c r="F584" t="s">
        <v>1183</v>
      </c>
      <c r="G584" t="s">
        <v>1198</v>
      </c>
      <c r="H584" s="40">
        <v>450</v>
      </c>
      <c r="I584" s="2" t="s">
        <v>1199</v>
      </c>
      <c r="J584">
        <v>5500</v>
      </c>
      <c r="K584" s="3" t="str">
        <f>VLOOKUP(Table2[[#This Row],[Konto]],Table5[[Konto]:[Konto nimetus]],2,FALSE)</f>
        <v>Administreerimiskulud</v>
      </c>
      <c r="L584">
        <v>55</v>
      </c>
      <c r="M584" t="str">
        <f t="shared" si="19"/>
        <v>55</v>
      </c>
      <c r="N584" s="3" t="str">
        <f>VLOOKUP(Table2[[#This Row],[Tulu/kulu liik2]],Table5[[Tulu/kulu liik]:[Kontode koondnimetus]],4,FALSE)</f>
        <v>Muud tegevuskulud</v>
      </c>
      <c r="O584" s="3" t="str">
        <f>VLOOKUP(Table2[[#This Row],[Tulu/kulu liik2]],Table5[],6,FALSE)</f>
        <v>Majandamiskulud</v>
      </c>
      <c r="P584" s="3" t="str">
        <f>VLOOKUP(Table2[[#This Row],[Tulu/kulu liik2]],Table5[],5,FALSE)</f>
        <v>Põhitegevuse kulu</v>
      </c>
    </row>
    <row r="585" spans="1:16" hidden="1" x14ac:dyDescent="0.25">
      <c r="A585" t="str">
        <f t="shared" si="18"/>
        <v>09</v>
      </c>
      <c r="B585" t="s">
        <v>309</v>
      </c>
      <c r="C585" s="3" t="str">
        <f>VLOOKUP(Table2[[#This Row],[Tegevusala]],Table4[],2,FALSE)</f>
        <v xml:space="preserve"> Vinni Lasteaed</v>
      </c>
      <c r="D585" s="3" t="str">
        <f>VLOOKUP(Table2[[#This Row],[Tegevusala]],Table4[[Tegevusala kood]:[Tegevusala alanimetus]],4,FALSE)</f>
        <v>Alusharidus</v>
      </c>
      <c r="E585" s="3" t="str">
        <f>VLOOKUP(Table2[[#This Row],[Tegevusala nimetus2]],Table4[[Tegevusala nimetus]:[Tegevusala koondnimetus]],2,FALSE)</f>
        <v>Haridus</v>
      </c>
      <c r="F585" t="s">
        <v>1183</v>
      </c>
      <c r="G585" t="s">
        <v>1200</v>
      </c>
      <c r="H585" s="40">
        <v>1200</v>
      </c>
      <c r="J585">
        <v>5504</v>
      </c>
      <c r="K585" s="3" t="str">
        <f>VLOOKUP(Table2[[#This Row],[Konto]],Table5[[Konto]:[Konto nimetus]],2,FALSE)</f>
        <v>Koolituskulud</v>
      </c>
      <c r="L585">
        <v>55</v>
      </c>
      <c r="M585" t="str">
        <f t="shared" si="19"/>
        <v>55</v>
      </c>
      <c r="N585" s="3" t="str">
        <f>VLOOKUP(Table2[[#This Row],[Tulu/kulu liik2]],Table5[[Tulu/kulu liik]:[Kontode koondnimetus]],4,FALSE)</f>
        <v>Muud tegevuskulud</v>
      </c>
      <c r="O585" s="3" t="str">
        <f>VLOOKUP(Table2[[#This Row],[Tulu/kulu liik2]],Table5[],6,FALSE)</f>
        <v>Majandamiskulud</v>
      </c>
      <c r="P585" s="3" t="str">
        <f>VLOOKUP(Table2[[#This Row],[Tulu/kulu liik2]],Table5[],5,FALSE)</f>
        <v>Põhitegevuse kulu</v>
      </c>
    </row>
    <row r="586" spans="1:16" hidden="1" x14ac:dyDescent="0.25">
      <c r="A586" t="str">
        <f t="shared" si="18"/>
        <v>09</v>
      </c>
      <c r="B586" t="s">
        <v>309</v>
      </c>
      <c r="C586" s="3" t="str">
        <f>VLOOKUP(Table2[[#This Row],[Tegevusala]],Table4[],2,FALSE)</f>
        <v xml:space="preserve"> Vinni Lasteaed</v>
      </c>
      <c r="D586" s="3" t="str">
        <f>VLOOKUP(Table2[[#This Row],[Tegevusala]],Table4[[Tegevusala kood]:[Tegevusala alanimetus]],4,FALSE)</f>
        <v>Alusharidus</v>
      </c>
      <c r="E586" s="3" t="str">
        <f>VLOOKUP(Table2[[#This Row],[Tegevusala nimetus2]],Table4[[Tegevusala nimetus]:[Tegevusala koondnimetus]],2,FALSE)</f>
        <v>Haridus</v>
      </c>
      <c r="F586" t="s">
        <v>1183</v>
      </c>
      <c r="G586" t="s">
        <v>1201</v>
      </c>
      <c r="H586" s="40">
        <v>500</v>
      </c>
      <c r="J586">
        <v>5504</v>
      </c>
      <c r="K586" s="3" t="str">
        <f>VLOOKUP(Table2[[#This Row],[Konto]],Table5[[Konto]:[Konto nimetus]],2,FALSE)</f>
        <v>Koolituskulud</v>
      </c>
      <c r="L586">
        <v>55</v>
      </c>
      <c r="M586" t="str">
        <f t="shared" si="19"/>
        <v>55</v>
      </c>
      <c r="N586" s="3" t="str">
        <f>VLOOKUP(Table2[[#This Row],[Tulu/kulu liik2]],Table5[[Tulu/kulu liik]:[Kontode koondnimetus]],4,FALSE)</f>
        <v>Muud tegevuskulud</v>
      </c>
      <c r="O586" s="3" t="str">
        <f>VLOOKUP(Table2[[#This Row],[Tulu/kulu liik2]],Table5[],6,FALSE)</f>
        <v>Majandamiskulud</v>
      </c>
      <c r="P586" s="3" t="str">
        <f>VLOOKUP(Table2[[#This Row],[Tulu/kulu liik2]],Table5[],5,FALSE)</f>
        <v>Põhitegevuse kulu</v>
      </c>
    </row>
    <row r="587" spans="1:16" hidden="1" x14ac:dyDescent="0.25">
      <c r="A587" t="str">
        <f t="shared" si="18"/>
        <v>09</v>
      </c>
      <c r="B587" t="s">
        <v>309</v>
      </c>
      <c r="C587" s="3" t="str">
        <f>VLOOKUP(Table2[[#This Row],[Tegevusala]],Table4[],2,FALSE)</f>
        <v xml:space="preserve"> Vinni Lasteaed</v>
      </c>
      <c r="D587" s="3" t="str">
        <f>VLOOKUP(Table2[[#This Row],[Tegevusala]],Table4[[Tegevusala kood]:[Tegevusala alanimetus]],4,FALSE)</f>
        <v>Alusharidus</v>
      </c>
      <c r="E587" s="3" t="str">
        <f>VLOOKUP(Table2[[#This Row],[Tegevusala nimetus2]],Table4[[Tegevusala nimetus]:[Tegevusala koondnimetus]],2,FALSE)</f>
        <v>Haridus</v>
      </c>
      <c r="F587" t="s">
        <v>1183</v>
      </c>
      <c r="G587" t="s">
        <v>1202</v>
      </c>
      <c r="H587" s="40">
        <v>300</v>
      </c>
      <c r="J587">
        <v>5504</v>
      </c>
      <c r="K587" s="3" t="str">
        <f>VLOOKUP(Table2[[#This Row],[Konto]],Table5[[Konto]:[Konto nimetus]],2,FALSE)</f>
        <v>Koolituskulud</v>
      </c>
      <c r="L587">
        <v>55</v>
      </c>
      <c r="M587" t="str">
        <f t="shared" si="19"/>
        <v>55</v>
      </c>
      <c r="N587" s="3" t="str">
        <f>VLOOKUP(Table2[[#This Row],[Tulu/kulu liik2]],Table5[[Tulu/kulu liik]:[Kontode koondnimetus]],4,FALSE)</f>
        <v>Muud tegevuskulud</v>
      </c>
      <c r="O587" s="3" t="str">
        <f>VLOOKUP(Table2[[#This Row],[Tulu/kulu liik2]],Table5[],6,FALSE)</f>
        <v>Majandamiskulud</v>
      </c>
      <c r="P587" s="3" t="str">
        <f>VLOOKUP(Table2[[#This Row],[Tulu/kulu liik2]],Table5[],5,FALSE)</f>
        <v>Põhitegevuse kulu</v>
      </c>
    </row>
    <row r="588" spans="1:16" hidden="1" x14ac:dyDescent="0.25">
      <c r="A588" t="str">
        <f t="shared" si="18"/>
        <v>09</v>
      </c>
      <c r="B588" t="s">
        <v>309</v>
      </c>
      <c r="C588" s="3" t="str">
        <f>VLOOKUP(Table2[[#This Row],[Tegevusala]],Table4[],2,FALSE)</f>
        <v xml:space="preserve"> Vinni Lasteaed</v>
      </c>
      <c r="D588" s="3" t="str">
        <f>VLOOKUP(Table2[[#This Row],[Tegevusala]],Table4[[Tegevusala kood]:[Tegevusala alanimetus]],4,FALSE)</f>
        <v>Alusharidus</v>
      </c>
      <c r="E588" s="3" t="str">
        <f>VLOOKUP(Table2[[#This Row],[Tegevusala nimetus2]],Table4[[Tegevusala nimetus]:[Tegevusala koondnimetus]],2,FALSE)</f>
        <v>Haridus</v>
      </c>
      <c r="F588" t="s">
        <v>1183</v>
      </c>
      <c r="G588" t="s">
        <v>1203</v>
      </c>
      <c r="H588" s="40">
        <v>300</v>
      </c>
      <c r="I588" s="2" t="s">
        <v>1204</v>
      </c>
      <c r="J588">
        <v>5504</v>
      </c>
      <c r="K588" s="3" t="str">
        <f>VLOOKUP(Table2[[#This Row],[Konto]],Table5[[Konto]:[Konto nimetus]],2,FALSE)</f>
        <v>Koolituskulud</v>
      </c>
      <c r="L588">
        <v>55</v>
      </c>
      <c r="M588" t="str">
        <f t="shared" si="19"/>
        <v>55</v>
      </c>
      <c r="N588" s="3" t="str">
        <f>VLOOKUP(Table2[[#This Row],[Tulu/kulu liik2]],Table5[[Tulu/kulu liik]:[Kontode koondnimetus]],4,FALSE)</f>
        <v>Muud tegevuskulud</v>
      </c>
      <c r="O588" s="3" t="str">
        <f>VLOOKUP(Table2[[#This Row],[Tulu/kulu liik2]],Table5[],6,FALSE)</f>
        <v>Majandamiskulud</v>
      </c>
      <c r="P588" s="3" t="str">
        <f>VLOOKUP(Table2[[#This Row],[Tulu/kulu liik2]],Table5[],5,FALSE)</f>
        <v>Põhitegevuse kulu</v>
      </c>
    </row>
    <row r="589" spans="1:16" hidden="1" x14ac:dyDescent="0.25">
      <c r="A589" t="str">
        <f t="shared" si="18"/>
        <v>09</v>
      </c>
      <c r="B589" t="s">
        <v>309</v>
      </c>
      <c r="C589" s="3" t="str">
        <f>VLOOKUP(Table2[[#This Row],[Tegevusala]],Table4[],2,FALSE)</f>
        <v xml:space="preserve"> Vinni Lasteaed</v>
      </c>
      <c r="D589" s="3" t="str">
        <f>VLOOKUP(Table2[[#This Row],[Tegevusala]],Table4[[Tegevusala kood]:[Tegevusala alanimetus]],4,FALSE)</f>
        <v>Alusharidus</v>
      </c>
      <c r="E589" s="3" t="str">
        <f>VLOOKUP(Table2[[#This Row],[Tegevusala nimetus2]],Table4[[Tegevusala nimetus]:[Tegevusala koondnimetus]],2,FALSE)</f>
        <v>Haridus</v>
      </c>
      <c r="F589" t="s">
        <v>1183</v>
      </c>
      <c r="G589" t="s">
        <v>1223</v>
      </c>
      <c r="H589" s="40">
        <v>1536</v>
      </c>
      <c r="I589" s="2" t="s">
        <v>1224</v>
      </c>
      <c r="J589">
        <v>5513</v>
      </c>
      <c r="K589" s="3" t="str">
        <f>VLOOKUP(Table2[[#This Row],[Konto]],Table5[[Konto]:[Konto nimetus]],2,FALSE)</f>
        <v>Sõidukite ülalpidamise kulud</v>
      </c>
      <c r="L589">
        <v>55</v>
      </c>
      <c r="M589" t="str">
        <f t="shared" si="19"/>
        <v>55</v>
      </c>
      <c r="N589" s="3" t="str">
        <f>VLOOKUP(Table2[[#This Row],[Tulu/kulu liik2]],Table5[[Tulu/kulu liik]:[Kontode koondnimetus]],4,FALSE)</f>
        <v>Muud tegevuskulud</v>
      </c>
      <c r="O589" s="3" t="str">
        <f>VLOOKUP(Table2[[#This Row],[Tulu/kulu liik2]],Table5[],6,FALSE)</f>
        <v>Majandamiskulud</v>
      </c>
      <c r="P589" s="3" t="str">
        <f>VLOOKUP(Table2[[#This Row],[Tulu/kulu liik2]],Table5[],5,FALSE)</f>
        <v>Põhitegevuse kulu</v>
      </c>
    </row>
    <row r="590" spans="1:16" hidden="1" x14ac:dyDescent="0.25">
      <c r="A590" t="str">
        <f t="shared" si="18"/>
        <v>09</v>
      </c>
      <c r="B590" t="s">
        <v>309</v>
      </c>
      <c r="C590" s="3" t="str">
        <f>VLOOKUP(Table2[[#This Row],[Tegevusala]],Table4[],2,FALSE)</f>
        <v xml:space="preserve"> Vinni Lasteaed</v>
      </c>
      <c r="D590" s="3" t="str">
        <f>VLOOKUP(Table2[[#This Row],[Tegevusala]],Table4[[Tegevusala kood]:[Tegevusala alanimetus]],4,FALSE)</f>
        <v>Alusharidus</v>
      </c>
      <c r="E590" s="3" t="str">
        <f>VLOOKUP(Table2[[#This Row],[Tegevusala nimetus2]],Table4[[Tegevusala nimetus]:[Tegevusala koondnimetus]],2,FALSE)</f>
        <v>Haridus</v>
      </c>
      <c r="F590" t="s">
        <v>1183</v>
      </c>
      <c r="G590" t="s">
        <v>1229</v>
      </c>
      <c r="H590" s="40">
        <v>1500</v>
      </c>
      <c r="J590">
        <v>5515</v>
      </c>
      <c r="K590" s="3" t="str">
        <f>VLOOKUP(Table2[[#This Row],[Konto]],Table5[[Konto]:[Konto nimetus]],2,FALSE)</f>
        <v>Inventari kulud, v.a infotehnoloogia ja kaitseotstarbelised kulud</v>
      </c>
      <c r="L590">
        <v>55</v>
      </c>
      <c r="M590" t="str">
        <f t="shared" si="19"/>
        <v>55</v>
      </c>
      <c r="N590" s="3" t="str">
        <f>VLOOKUP(Table2[[#This Row],[Tulu/kulu liik2]],Table5[[Tulu/kulu liik]:[Kontode koondnimetus]],4,FALSE)</f>
        <v>Muud tegevuskulud</v>
      </c>
      <c r="O590" s="3" t="str">
        <f>VLOOKUP(Table2[[#This Row],[Tulu/kulu liik2]],Table5[],6,FALSE)</f>
        <v>Majandamiskulud</v>
      </c>
      <c r="P590" s="3" t="str">
        <f>VLOOKUP(Table2[[#This Row],[Tulu/kulu liik2]],Table5[],5,FALSE)</f>
        <v>Põhitegevuse kulu</v>
      </c>
    </row>
    <row r="591" spans="1:16" hidden="1" x14ac:dyDescent="0.25">
      <c r="A591" t="str">
        <f t="shared" si="18"/>
        <v>09</v>
      </c>
      <c r="B591" t="s">
        <v>309</v>
      </c>
      <c r="C591" s="3" t="str">
        <f>VLOOKUP(Table2[[#This Row],[Tegevusala]],Table4[],2,FALSE)</f>
        <v xml:space="preserve"> Vinni Lasteaed</v>
      </c>
      <c r="D591" s="3" t="str">
        <f>VLOOKUP(Table2[[#This Row],[Tegevusala]],Table4[[Tegevusala kood]:[Tegevusala alanimetus]],4,FALSE)</f>
        <v>Alusharidus</v>
      </c>
      <c r="E591" s="3" t="str">
        <f>VLOOKUP(Table2[[#This Row],[Tegevusala nimetus2]],Table4[[Tegevusala nimetus]:[Tegevusala koondnimetus]],2,FALSE)</f>
        <v>Haridus</v>
      </c>
      <c r="F591" t="s">
        <v>1183</v>
      </c>
      <c r="G591" t="s">
        <v>1230</v>
      </c>
      <c r="H591" s="40">
        <v>1000</v>
      </c>
      <c r="J591">
        <v>5515</v>
      </c>
      <c r="K591" s="3" t="str">
        <f>VLOOKUP(Table2[[#This Row],[Konto]],Table5[[Konto]:[Konto nimetus]],2,FALSE)</f>
        <v>Inventari kulud, v.a infotehnoloogia ja kaitseotstarbelised kulud</v>
      </c>
      <c r="L591">
        <v>55</v>
      </c>
      <c r="M591" t="str">
        <f t="shared" si="19"/>
        <v>55</v>
      </c>
      <c r="N591" s="3" t="str">
        <f>VLOOKUP(Table2[[#This Row],[Tulu/kulu liik2]],Table5[[Tulu/kulu liik]:[Kontode koondnimetus]],4,FALSE)</f>
        <v>Muud tegevuskulud</v>
      </c>
      <c r="O591" s="3" t="str">
        <f>VLOOKUP(Table2[[#This Row],[Tulu/kulu liik2]],Table5[],6,FALSE)</f>
        <v>Majandamiskulud</v>
      </c>
      <c r="P591" s="3" t="str">
        <f>VLOOKUP(Table2[[#This Row],[Tulu/kulu liik2]],Table5[],5,FALSE)</f>
        <v>Põhitegevuse kulu</v>
      </c>
    </row>
    <row r="592" spans="1:16" hidden="1" x14ac:dyDescent="0.25">
      <c r="A592" t="str">
        <f t="shared" si="18"/>
        <v>09</v>
      </c>
      <c r="B592" t="s">
        <v>309</v>
      </c>
      <c r="C592" s="3" t="str">
        <f>VLOOKUP(Table2[[#This Row],[Tegevusala]],Table4[],2,FALSE)</f>
        <v xml:space="preserve"> Vinni Lasteaed</v>
      </c>
      <c r="D592" s="3" t="str">
        <f>VLOOKUP(Table2[[#This Row],[Tegevusala]],Table4[[Tegevusala kood]:[Tegevusala alanimetus]],4,FALSE)</f>
        <v>Alusharidus</v>
      </c>
      <c r="E592" s="3" t="str">
        <f>VLOOKUP(Table2[[#This Row],[Tegevusala nimetus2]],Table4[[Tegevusala nimetus]:[Tegevusala koondnimetus]],2,FALSE)</f>
        <v>Haridus</v>
      </c>
      <c r="F592" t="s">
        <v>1183</v>
      </c>
      <c r="G592" t="s">
        <v>1231</v>
      </c>
      <c r="H592" s="40">
        <v>22000</v>
      </c>
      <c r="J592">
        <v>5521</v>
      </c>
      <c r="K592" s="3" t="str">
        <f>VLOOKUP(Table2[[#This Row],[Konto]],Table5[[Konto]:[Konto nimetus]],2,FALSE)</f>
        <v>Toiduained ja toitlustusteenused</v>
      </c>
      <c r="L592">
        <v>55</v>
      </c>
      <c r="M592" t="str">
        <f t="shared" si="19"/>
        <v>55</v>
      </c>
      <c r="N592" s="3" t="str">
        <f>VLOOKUP(Table2[[#This Row],[Tulu/kulu liik2]],Table5[[Tulu/kulu liik]:[Kontode koondnimetus]],4,FALSE)</f>
        <v>Muud tegevuskulud</v>
      </c>
      <c r="O592" s="3" t="str">
        <f>VLOOKUP(Table2[[#This Row],[Tulu/kulu liik2]],Table5[],6,FALSE)</f>
        <v>Majandamiskulud</v>
      </c>
      <c r="P592" s="3" t="str">
        <f>VLOOKUP(Table2[[#This Row],[Tulu/kulu liik2]],Table5[],5,FALSE)</f>
        <v>Põhitegevuse kulu</v>
      </c>
    </row>
    <row r="593" spans="1:16" hidden="1" x14ac:dyDescent="0.25">
      <c r="A593" t="str">
        <f t="shared" si="18"/>
        <v>09</v>
      </c>
      <c r="B593" t="s">
        <v>309</v>
      </c>
      <c r="C593" s="3" t="str">
        <f>VLOOKUP(Table2[[#This Row],[Tegevusala]],Table4[],2,FALSE)</f>
        <v xml:space="preserve"> Vinni Lasteaed</v>
      </c>
      <c r="D593" s="3" t="str">
        <f>VLOOKUP(Table2[[#This Row],[Tegevusala]],Table4[[Tegevusala kood]:[Tegevusala alanimetus]],4,FALSE)</f>
        <v>Alusharidus</v>
      </c>
      <c r="E593" s="3" t="str">
        <f>VLOOKUP(Table2[[#This Row],[Tegevusala nimetus2]],Table4[[Tegevusala nimetus]:[Tegevusala koondnimetus]],2,FALSE)</f>
        <v>Haridus</v>
      </c>
      <c r="F593" t="s">
        <v>1183</v>
      </c>
      <c r="G593" t="s">
        <v>1232</v>
      </c>
      <c r="H593" s="40">
        <v>300</v>
      </c>
      <c r="I593" s="2" t="s">
        <v>1233</v>
      </c>
      <c r="J593">
        <v>5522</v>
      </c>
      <c r="K593" s="3" t="str">
        <f>VLOOKUP(Table2[[#This Row],[Konto]],Table5[[Konto]:[Konto nimetus]],2,FALSE)</f>
        <v>Meditsiinikulud ja hügieenitarbed</v>
      </c>
      <c r="L593">
        <v>55</v>
      </c>
      <c r="M593" t="str">
        <f t="shared" si="19"/>
        <v>55</v>
      </c>
      <c r="N593" s="3" t="str">
        <f>VLOOKUP(Table2[[#This Row],[Tulu/kulu liik2]],Table5[[Tulu/kulu liik]:[Kontode koondnimetus]],4,FALSE)</f>
        <v>Muud tegevuskulud</v>
      </c>
      <c r="O593" s="3" t="str">
        <f>VLOOKUP(Table2[[#This Row],[Tulu/kulu liik2]],Table5[],6,FALSE)</f>
        <v>Majandamiskulud</v>
      </c>
      <c r="P593" s="3" t="str">
        <f>VLOOKUP(Table2[[#This Row],[Tulu/kulu liik2]],Table5[],5,FALSE)</f>
        <v>Põhitegevuse kulu</v>
      </c>
    </row>
    <row r="594" spans="1:16" hidden="1" x14ac:dyDescent="0.25">
      <c r="A594" t="str">
        <f t="shared" si="18"/>
        <v>09</v>
      </c>
      <c r="B594" t="s">
        <v>309</v>
      </c>
      <c r="C594" s="3" t="str">
        <f>VLOOKUP(Table2[[#This Row],[Tegevusala]],Table4[],2,FALSE)</f>
        <v xml:space="preserve"> Vinni Lasteaed</v>
      </c>
      <c r="D594" s="3" t="str">
        <f>VLOOKUP(Table2[[#This Row],[Tegevusala]],Table4[[Tegevusala kood]:[Tegevusala alanimetus]],4,FALSE)</f>
        <v>Alusharidus</v>
      </c>
      <c r="E594" s="3" t="str">
        <f>VLOOKUP(Table2[[#This Row],[Tegevusala nimetus2]],Table4[[Tegevusala nimetus]:[Tegevusala koondnimetus]],2,FALSE)</f>
        <v>Haridus</v>
      </c>
      <c r="F594" t="s">
        <v>1183</v>
      </c>
      <c r="G594" t="s">
        <v>1234</v>
      </c>
      <c r="H594" s="40">
        <v>200</v>
      </c>
      <c r="I594" s="2" t="s">
        <v>1235</v>
      </c>
      <c r="J594">
        <v>5522</v>
      </c>
      <c r="K594" s="3" t="str">
        <f>VLOOKUP(Table2[[#This Row],[Konto]],Table5[[Konto]:[Konto nimetus]],2,FALSE)</f>
        <v>Meditsiinikulud ja hügieenitarbed</v>
      </c>
      <c r="L594">
        <v>55</v>
      </c>
      <c r="M594" t="str">
        <f t="shared" si="19"/>
        <v>55</v>
      </c>
      <c r="N594" s="3" t="str">
        <f>VLOOKUP(Table2[[#This Row],[Tulu/kulu liik2]],Table5[[Tulu/kulu liik]:[Kontode koondnimetus]],4,FALSE)</f>
        <v>Muud tegevuskulud</v>
      </c>
      <c r="O594" s="3" t="str">
        <f>VLOOKUP(Table2[[#This Row],[Tulu/kulu liik2]],Table5[],6,FALSE)</f>
        <v>Majandamiskulud</v>
      </c>
      <c r="P594" s="3" t="str">
        <f>VLOOKUP(Table2[[#This Row],[Tulu/kulu liik2]],Table5[],5,FALSE)</f>
        <v>Põhitegevuse kulu</v>
      </c>
    </row>
    <row r="595" spans="1:16" hidden="1" x14ac:dyDescent="0.25">
      <c r="A595" t="str">
        <f t="shared" si="18"/>
        <v>09</v>
      </c>
      <c r="B595" t="s">
        <v>309</v>
      </c>
      <c r="C595" s="3" t="str">
        <f>VLOOKUP(Table2[[#This Row],[Tegevusala]],Table4[],2,FALSE)</f>
        <v xml:space="preserve"> Vinni Lasteaed</v>
      </c>
      <c r="D595" s="3" t="str">
        <f>VLOOKUP(Table2[[#This Row],[Tegevusala]],Table4[[Tegevusala kood]:[Tegevusala alanimetus]],4,FALSE)</f>
        <v>Alusharidus</v>
      </c>
      <c r="E595" s="3" t="str">
        <f>VLOOKUP(Table2[[#This Row],[Tegevusala nimetus2]],Table4[[Tegevusala nimetus]:[Tegevusala koondnimetus]],2,FALSE)</f>
        <v>Haridus</v>
      </c>
      <c r="F595" t="s">
        <v>1183</v>
      </c>
      <c r="G595" t="s">
        <v>1236</v>
      </c>
      <c r="H595" s="40">
        <v>500</v>
      </c>
      <c r="J595">
        <v>5524</v>
      </c>
      <c r="K595" s="3" t="str">
        <f>VLOOKUP(Table2[[#This Row],[Konto]],Table5[[Konto]:[Konto nimetus]],2,FALSE)</f>
        <v>Õppevahendid</v>
      </c>
      <c r="L595">
        <v>55</v>
      </c>
      <c r="M595" t="str">
        <f t="shared" si="19"/>
        <v>55</v>
      </c>
      <c r="N595" s="3" t="str">
        <f>VLOOKUP(Table2[[#This Row],[Tulu/kulu liik2]],Table5[[Tulu/kulu liik]:[Kontode koondnimetus]],4,FALSE)</f>
        <v>Muud tegevuskulud</v>
      </c>
      <c r="O595" s="3" t="str">
        <f>VLOOKUP(Table2[[#This Row],[Tulu/kulu liik2]],Table5[],6,FALSE)</f>
        <v>Majandamiskulud</v>
      </c>
      <c r="P595" s="3" t="str">
        <f>VLOOKUP(Table2[[#This Row],[Tulu/kulu liik2]],Table5[],5,FALSE)</f>
        <v>Põhitegevuse kulu</v>
      </c>
    </row>
    <row r="596" spans="1:16" hidden="1" x14ac:dyDescent="0.25">
      <c r="A596" t="str">
        <f t="shared" si="18"/>
        <v>09</v>
      </c>
      <c r="B596" t="s">
        <v>309</v>
      </c>
      <c r="C596" s="3" t="str">
        <f>VLOOKUP(Table2[[#This Row],[Tegevusala]],Table4[],2,FALSE)</f>
        <v xml:space="preserve"> Vinni Lasteaed</v>
      </c>
      <c r="D596" s="3" t="str">
        <f>VLOOKUP(Table2[[#This Row],[Tegevusala]],Table4[[Tegevusala kood]:[Tegevusala alanimetus]],4,FALSE)</f>
        <v>Alusharidus</v>
      </c>
      <c r="E596" s="3" t="str">
        <f>VLOOKUP(Table2[[#This Row],[Tegevusala nimetus2]],Table4[[Tegevusala nimetus]:[Tegevusala koondnimetus]],2,FALSE)</f>
        <v>Haridus</v>
      </c>
      <c r="F596" t="s">
        <v>1183</v>
      </c>
      <c r="G596" t="s">
        <v>1237</v>
      </c>
      <c r="H596" s="40">
        <v>500</v>
      </c>
      <c r="J596">
        <v>5524</v>
      </c>
      <c r="K596" s="3" t="str">
        <f>VLOOKUP(Table2[[#This Row],[Konto]],Table5[[Konto]:[Konto nimetus]],2,FALSE)</f>
        <v>Õppevahendid</v>
      </c>
      <c r="L596">
        <v>55</v>
      </c>
      <c r="M596" t="str">
        <f t="shared" si="19"/>
        <v>55</v>
      </c>
      <c r="N596" s="3" t="str">
        <f>VLOOKUP(Table2[[#This Row],[Tulu/kulu liik2]],Table5[[Tulu/kulu liik]:[Kontode koondnimetus]],4,FALSE)</f>
        <v>Muud tegevuskulud</v>
      </c>
      <c r="O596" s="3" t="str">
        <f>VLOOKUP(Table2[[#This Row],[Tulu/kulu liik2]],Table5[],6,FALSE)</f>
        <v>Majandamiskulud</v>
      </c>
      <c r="P596" s="3" t="str">
        <f>VLOOKUP(Table2[[#This Row],[Tulu/kulu liik2]],Table5[],5,FALSE)</f>
        <v>Põhitegevuse kulu</v>
      </c>
    </row>
    <row r="597" spans="1:16" hidden="1" x14ac:dyDescent="0.25">
      <c r="A597" t="str">
        <f t="shared" si="18"/>
        <v>09</v>
      </c>
      <c r="B597" t="s">
        <v>309</v>
      </c>
      <c r="C597" s="3" t="str">
        <f>VLOOKUP(Table2[[#This Row],[Tegevusala]],Table4[],2,FALSE)</f>
        <v xml:space="preserve"> Vinni Lasteaed</v>
      </c>
      <c r="D597" s="3" t="str">
        <f>VLOOKUP(Table2[[#This Row],[Tegevusala]],Table4[[Tegevusala kood]:[Tegevusala alanimetus]],4,FALSE)</f>
        <v>Alusharidus</v>
      </c>
      <c r="E597" s="3" t="str">
        <f>VLOOKUP(Table2[[#This Row],[Tegevusala nimetus2]],Table4[[Tegevusala nimetus]:[Tegevusala koondnimetus]],2,FALSE)</f>
        <v>Haridus</v>
      </c>
      <c r="F597" t="s">
        <v>1183</v>
      </c>
      <c r="G597" t="s">
        <v>1238</v>
      </c>
      <c r="H597" s="40">
        <v>4400</v>
      </c>
      <c r="J597">
        <v>5524</v>
      </c>
      <c r="K597" s="3" t="str">
        <f>VLOOKUP(Table2[[#This Row],[Konto]],Table5[[Konto]:[Konto nimetus]],2,FALSE)</f>
        <v>Õppevahendid</v>
      </c>
      <c r="L597">
        <v>55</v>
      </c>
      <c r="M597" t="str">
        <f t="shared" si="19"/>
        <v>55</v>
      </c>
      <c r="N597" s="3" t="str">
        <f>VLOOKUP(Table2[[#This Row],[Tulu/kulu liik2]],Table5[[Tulu/kulu liik]:[Kontode koondnimetus]],4,FALSE)</f>
        <v>Muud tegevuskulud</v>
      </c>
      <c r="O597" s="3" t="str">
        <f>VLOOKUP(Table2[[#This Row],[Tulu/kulu liik2]],Table5[],6,FALSE)</f>
        <v>Majandamiskulud</v>
      </c>
      <c r="P597" s="3" t="str">
        <f>VLOOKUP(Table2[[#This Row],[Tulu/kulu liik2]],Table5[],5,FALSE)</f>
        <v>Põhitegevuse kulu</v>
      </c>
    </row>
    <row r="598" spans="1:16" hidden="1" x14ac:dyDescent="0.25">
      <c r="A598" t="str">
        <f t="shared" si="18"/>
        <v>09</v>
      </c>
      <c r="B598" t="s">
        <v>309</v>
      </c>
      <c r="C598" s="3" t="str">
        <f>VLOOKUP(Table2[[#This Row],[Tegevusala]],Table4[],2,FALSE)</f>
        <v xml:space="preserve"> Vinni Lasteaed</v>
      </c>
      <c r="D598" s="3" t="str">
        <f>VLOOKUP(Table2[[#This Row],[Tegevusala]],Table4[[Tegevusala kood]:[Tegevusala alanimetus]],4,FALSE)</f>
        <v>Alusharidus</v>
      </c>
      <c r="E598" s="3" t="str">
        <f>VLOOKUP(Table2[[#This Row],[Tegevusala nimetus2]],Table4[[Tegevusala nimetus]:[Tegevusala koondnimetus]],2,FALSE)</f>
        <v>Haridus</v>
      </c>
      <c r="F598" t="s">
        <v>1183</v>
      </c>
      <c r="G598" t="s">
        <v>1239</v>
      </c>
      <c r="H598" s="40">
        <v>4400</v>
      </c>
      <c r="J598">
        <v>5524</v>
      </c>
      <c r="K598" s="3" t="str">
        <f>VLOOKUP(Table2[[#This Row],[Konto]],Table5[[Konto]:[Konto nimetus]],2,FALSE)</f>
        <v>Õppevahendid</v>
      </c>
      <c r="L598">
        <v>55</v>
      </c>
      <c r="M598" t="str">
        <f t="shared" si="19"/>
        <v>55</v>
      </c>
      <c r="N598" s="3" t="str">
        <f>VLOOKUP(Table2[[#This Row],[Tulu/kulu liik2]],Table5[[Tulu/kulu liik]:[Kontode koondnimetus]],4,FALSE)</f>
        <v>Muud tegevuskulud</v>
      </c>
      <c r="O598" s="3" t="str">
        <f>VLOOKUP(Table2[[#This Row],[Tulu/kulu liik2]],Table5[],6,FALSE)</f>
        <v>Majandamiskulud</v>
      </c>
      <c r="P598" s="3" t="str">
        <f>VLOOKUP(Table2[[#This Row],[Tulu/kulu liik2]],Table5[],5,FALSE)</f>
        <v>Põhitegevuse kulu</v>
      </c>
    </row>
    <row r="599" spans="1:16" hidden="1" x14ac:dyDescent="0.25">
      <c r="A599" t="str">
        <f t="shared" si="18"/>
        <v>09</v>
      </c>
      <c r="B599" t="s">
        <v>309</v>
      </c>
      <c r="C599" s="3" t="str">
        <f>VLOOKUP(Table2[[#This Row],[Tegevusala]],Table4[],2,FALSE)</f>
        <v xml:space="preserve"> Vinni Lasteaed</v>
      </c>
      <c r="D599" s="3" t="str">
        <f>VLOOKUP(Table2[[#This Row],[Tegevusala]],Table4[[Tegevusala kood]:[Tegevusala alanimetus]],4,FALSE)</f>
        <v>Alusharidus</v>
      </c>
      <c r="E599" s="3" t="str">
        <f>VLOOKUP(Table2[[#This Row],[Tegevusala nimetus2]],Table4[[Tegevusala nimetus]:[Tegevusala koondnimetus]],2,FALSE)</f>
        <v>Haridus</v>
      </c>
      <c r="F599" t="s">
        <v>1183</v>
      </c>
      <c r="G599" t="s">
        <v>1240</v>
      </c>
      <c r="H599" s="40">
        <v>2000</v>
      </c>
      <c r="I599" s="2" t="s">
        <v>1241</v>
      </c>
      <c r="J599">
        <v>5525</v>
      </c>
      <c r="K599" s="3" t="str">
        <f>VLOOKUP(Table2[[#This Row],[Konto]],Table5[[Konto]:[Konto nimetus]],2,FALSE)</f>
        <v>Kommunikatsiooni-, kultuuri- ja vaba aja sisustamise kulud</v>
      </c>
      <c r="L599">
        <v>55</v>
      </c>
      <c r="M599" t="str">
        <f t="shared" si="19"/>
        <v>55</v>
      </c>
      <c r="N599" s="3" t="str">
        <f>VLOOKUP(Table2[[#This Row],[Tulu/kulu liik2]],Table5[[Tulu/kulu liik]:[Kontode koondnimetus]],4,FALSE)</f>
        <v>Muud tegevuskulud</v>
      </c>
      <c r="O599" s="3" t="str">
        <f>VLOOKUP(Table2[[#This Row],[Tulu/kulu liik2]],Table5[],6,FALSE)</f>
        <v>Majandamiskulud</v>
      </c>
      <c r="P599" s="3" t="str">
        <f>VLOOKUP(Table2[[#This Row],[Tulu/kulu liik2]],Table5[],5,FALSE)</f>
        <v>Põhitegevuse kulu</v>
      </c>
    </row>
    <row r="600" spans="1:16" hidden="1" x14ac:dyDescent="0.25">
      <c r="A600" t="str">
        <f t="shared" si="18"/>
        <v>09</v>
      </c>
      <c r="B600" t="s">
        <v>309</v>
      </c>
      <c r="C600" s="3" t="str">
        <f>VLOOKUP(Table2[[#This Row],[Tegevusala]],Table4[],2,FALSE)</f>
        <v xml:space="preserve"> Vinni Lasteaed</v>
      </c>
      <c r="D600" s="3" t="str">
        <f>VLOOKUP(Table2[[#This Row],[Tegevusala]],Table4[[Tegevusala kood]:[Tegevusala alanimetus]],4,FALSE)</f>
        <v>Alusharidus</v>
      </c>
      <c r="E600" s="3" t="str">
        <f>VLOOKUP(Table2[[#This Row],[Tegevusala nimetus2]],Table4[[Tegevusala nimetus]:[Tegevusala koondnimetus]],2,FALSE)</f>
        <v>Haridus</v>
      </c>
      <c r="F600" t="s">
        <v>1183</v>
      </c>
      <c r="G600" t="s">
        <v>1242</v>
      </c>
      <c r="H600" s="40">
        <v>2000</v>
      </c>
      <c r="I600" s="2" t="s">
        <v>1243</v>
      </c>
      <c r="J600">
        <v>5525</v>
      </c>
      <c r="K600" s="3" t="str">
        <f>VLOOKUP(Table2[[#This Row],[Konto]],Table5[[Konto]:[Konto nimetus]],2,FALSE)</f>
        <v>Kommunikatsiooni-, kultuuri- ja vaba aja sisustamise kulud</v>
      </c>
      <c r="L600">
        <v>55</v>
      </c>
      <c r="M600" t="str">
        <f t="shared" si="19"/>
        <v>55</v>
      </c>
      <c r="N600" s="3" t="str">
        <f>VLOOKUP(Table2[[#This Row],[Tulu/kulu liik2]],Table5[[Tulu/kulu liik]:[Kontode koondnimetus]],4,FALSE)</f>
        <v>Muud tegevuskulud</v>
      </c>
      <c r="O600" s="3" t="str">
        <f>VLOOKUP(Table2[[#This Row],[Tulu/kulu liik2]],Table5[],6,FALSE)</f>
        <v>Majandamiskulud</v>
      </c>
      <c r="P600" s="3" t="str">
        <f>VLOOKUP(Table2[[#This Row],[Tulu/kulu liik2]],Table5[],5,FALSE)</f>
        <v>Põhitegevuse kulu</v>
      </c>
    </row>
    <row r="601" spans="1:16" hidden="1" x14ac:dyDescent="0.25">
      <c r="A601" t="str">
        <f t="shared" si="18"/>
        <v>09</v>
      </c>
      <c r="B601" t="s">
        <v>309</v>
      </c>
      <c r="C601" s="3" t="str">
        <f>VLOOKUP(Table2[[#This Row],[Tegevusala]],Table4[],2,FALSE)</f>
        <v xml:space="preserve"> Vinni Lasteaed</v>
      </c>
      <c r="D601" s="3" t="str">
        <f>VLOOKUP(Table2[[#This Row],[Tegevusala]],Table4[[Tegevusala kood]:[Tegevusala alanimetus]],4,FALSE)</f>
        <v>Alusharidus</v>
      </c>
      <c r="E601" s="3" t="str">
        <f>VLOOKUP(Table2[[#This Row],[Tegevusala nimetus2]],Table4[[Tegevusala nimetus]:[Tegevusala koondnimetus]],2,FALSE)</f>
        <v>Haridus</v>
      </c>
      <c r="F601" t="s">
        <v>1183</v>
      </c>
      <c r="G601" t="s">
        <v>1205</v>
      </c>
      <c r="H601" s="40">
        <v>18000</v>
      </c>
      <c r="I601" s="2" t="s">
        <v>1206</v>
      </c>
      <c r="J601">
        <v>5511</v>
      </c>
      <c r="K601" s="3" t="str">
        <f>VLOOKUP(Table2[[#This Row],[Konto]],Table5[[Konto]:[Konto nimetus]],2,FALSE)</f>
        <v>Kinnistute, hoonete ja ruumide majandamiskulud</v>
      </c>
      <c r="L601">
        <v>55</v>
      </c>
      <c r="M601" t="str">
        <f t="shared" si="19"/>
        <v>55</v>
      </c>
      <c r="N601" s="3" t="str">
        <f>VLOOKUP(Table2[[#This Row],[Tulu/kulu liik2]],Table5[[Tulu/kulu liik]:[Kontode koondnimetus]],4,FALSE)</f>
        <v>Muud tegevuskulud</v>
      </c>
      <c r="O601" s="3" t="str">
        <f>VLOOKUP(Table2[[#This Row],[Tulu/kulu liik2]],Table5[],6,FALSE)</f>
        <v>Majandamiskulud</v>
      </c>
      <c r="P601" s="3" t="str">
        <f>VLOOKUP(Table2[[#This Row],[Tulu/kulu liik2]],Table5[],5,FALSE)</f>
        <v>Põhitegevuse kulu</v>
      </c>
    </row>
    <row r="602" spans="1:16" hidden="1" x14ac:dyDescent="0.25">
      <c r="A602" t="str">
        <f t="shared" si="18"/>
        <v>09</v>
      </c>
      <c r="B602" t="s">
        <v>309</v>
      </c>
      <c r="C602" s="3" t="str">
        <f>VLOOKUP(Table2[[#This Row],[Tegevusala]],Table4[],2,FALSE)</f>
        <v xml:space="preserve"> Vinni Lasteaed</v>
      </c>
      <c r="D602" s="3" t="str">
        <f>VLOOKUP(Table2[[#This Row],[Tegevusala]],Table4[[Tegevusala kood]:[Tegevusala alanimetus]],4,FALSE)</f>
        <v>Alusharidus</v>
      </c>
      <c r="E602" s="3" t="str">
        <f>VLOOKUP(Table2[[#This Row],[Tegevusala nimetus2]],Table4[[Tegevusala nimetus]:[Tegevusala koondnimetus]],2,FALSE)</f>
        <v>Haridus</v>
      </c>
      <c r="F602" t="s">
        <v>1183</v>
      </c>
      <c r="G602" t="s">
        <v>1109</v>
      </c>
      <c r="H602" s="40">
        <v>2500</v>
      </c>
      <c r="I602" s="2" t="s">
        <v>1207</v>
      </c>
      <c r="J602">
        <v>5511</v>
      </c>
      <c r="K602" s="3" t="str">
        <f>VLOOKUP(Table2[[#This Row],[Konto]],Table5[[Konto]:[Konto nimetus]],2,FALSE)</f>
        <v>Kinnistute, hoonete ja ruumide majandamiskulud</v>
      </c>
      <c r="L602">
        <v>55</v>
      </c>
      <c r="M602" t="str">
        <f t="shared" si="19"/>
        <v>55</v>
      </c>
      <c r="N602" s="3" t="str">
        <f>VLOOKUP(Table2[[#This Row],[Tulu/kulu liik2]],Table5[[Tulu/kulu liik]:[Kontode koondnimetus]],4,FALSE)</f>
        <v>Muud tegevuskulud</v>
      </c>
      <c r="O602" s="3" t="str">
        <f>VLOOKUP(Table2[[#This Row],[Tulu/kulu liik2]],Table5[],6,FALSE)</f>
        <v>Majandamiskulud</v>
      </c>
      <c r="P602" s="3" t="str">
        <f>VLOOKUP(Table2[[#This Row],[Tulu/kulu liik2]],Table5[],5,FALSE)</f>
        <v>Põhitegevuse kulu</v>
      </c>
    </row>
    <row r="603" spans="1:16" hidden="1" x14ac:dyDescent="0.25">
      <c r="A603" t="str">
        <f t="shared" si="18"/>
        <v>09</v>
      </c>
      <c r="B603" t="s">
        <v>309</v>
      </c>
      <c r="C603" s="3" t="str">
        <f>VLOOKUP(Table2[[#This Row],[Tegevusala]],Table4[],2,FALSE)</f>
        <v xml:space="preserve"> Vinni Lasteaed</v>
      </c>
      <c r="D603" s="3" t="str">
        <f>VLOOKUP(Table2[[#This Row],[Tegevusala]],Table4[[Tegevusala kood]:[Tegevusala alanimetus]],4,FALSE)</f>
        <v>Alusharidus</v>
      </c>
      <c r="E603" s="3" t="str">
        <f>VLOOKUP(Table2[[#This Row],[Tegevusala nimetus2]],Table4[[Tegevusala nimetus]:[Tegevusala koondnimetus]],2,FALSE)</f>
        <v>Haridus</v>
      </c>
      <c r="F603" t="s">
        <v>1183</v>
      </c>
      <c r="G603" t="s">
        <v>924</v>
      </c>
      <c r="H603" s="40">
        <v>6000</v>
      </c>
      <c r="I603" s="2" t="s">
        <v>1137</v>
      </c>
      <c r="J603">
        <v>5511</v>
      </c>
      <c r="K603" s="3" t="str">
        <f>VLOOKUP(Table2[[#This Row],[Konto]],Table5[[Konto]:[Konto nimetus]],2,FALSE)</f>
        <v>Kinnistute, hoonete ja ruumide majandamiskulud</v>
      </c>
      <c r="L603">
        <v>55</v>
      </c>
      <c r="M603" t="str">
        <f t="shared" si="19"/>
        <v>55</v>
      </c>
      <c r="N603" s="3" t="str">
        <f>VLOOKUP(Table2[[#This Row],[Tulu/kulu liik2]],Table5[[Tulu/kulu liik]:[Kontode koondnimetus]],4,FALSE)</f>
        <v>Muud tegevuskulud</v>
      </c>
      <c r="O603" s="3" t="str">
        <f>VLOOKUP(Table2[[#This Row],[Tulu/kulu liik2]],Table5[],6,FALSE)</f>
        <v>Majandamiskulud</v>
      </c>
      <c r="P603" s="3" t="str">
        <f>VLOOKUP(Table2[[#This Row],[Tulu/kulu liik2]],Table5[],5,FALSE)</f>
        <v>Põhitegevuse kulu</v>
      </c>
    </row>
    <row r="604" spans="1:16" hidden="1" x14ac:dyDescent="0.25">
      <c r="A604" t="str">
        <f t="shared" si="18"/>
        <v>09</v>
      </c>
      <c r="B604" t="s">
        <v>309</v>
      </c>
      <c r="C604" s="3" t="str">
        <f>VLOOKUP(Table2[[#This Row],[Tegevusala]],Table4[],2,FALSE)</f>
        <v xml:space="preserve"> Vinni Lasteaed</v>
      </c>
      <c r="D604" s="3" t="str">
        <f>VLOOKUP(Table2[[#This Row],[Tegevusala]],Table4[[Tegevusala kood]:[Tegevusala alanimetus]],4,FALSE)</f>
        <v>Alusharidus</v>
      </c>
      <c r="E604" s="3" t="str">
        <f>VLOOKUP(Table2[[#This Row],[Tegevusala nimetus2]],Table4[[Tegevusala nimetus]:[Tegevusala koondnimetus]],2,FALSE)</f>
        <v>Haridus</v>
      </c>
      <c r="F604" t="s">
        <v>1183</v>
      </c>
      <c r="G604" t="s">
        <v>1039</v>
      </c>
      <c r="H604" s="40">
        <v>360</v>
      </c>
      <c r="I604" s="2" t="s">
        <v>1208</v>
      </c>
      <c r="J604">
        <v>5511</v>
      </c>
      <c r="K604" s="3" t="str">
        <f>VLOOKUP(Table2[[#This Row],[Konto]],Table5[[Konto]:[Konto nimetus]],2,FALSE)</f>
        <v>Kinnistute, hoonete ja ruumide majandamiskulud</v>
      </c>
      <c r="L604">
        <v>55</v>
      </c>
      <c r="M604" t="str">
        <f t="shared" si="19"/>
        <v>55</v>
      </c>
      <c r="N604" s="3" t="str">
        <f>VLOOKUP(Table2[[#This Row],[Tulu/kulu liik2]],Table5[[Tulu/kulu liik]:[Kontode koondnimetus]],4,FALSE)</f>
        <v>Muud tegevuskulud</v>
      </c>
      <c r="O604" s="3" t="str">
        <f>VLOOKUP(Table2[[#This Row],[Tulu/kulu liik2]],Table5[],6,FALSE)</f>
        <v>Majandamiskulud</v>
      </c>
      <c r="P604" s="3" t="str">
        <f>VLOOKUP(Table2[[#This Row],[Tulu/kulu liik2]],Table5[],5,FALSE)</f>
        <v>Põhitegevuse kulu</v>
      </c>
    </row>
    <row r="605" spans="1:16" hidden="1" x14ac:dyDescent="0.25">
      <c r="A605" t="str">
        <f t="shared" si="18"/>
        <v>09</v>
      </c>
      <c r="B605" t="s">
        <v>309</v>
      </c>
      <c r="C605" s="3" t="str">
        <f>VLOOKUP(Table2[[#This Row],[Tegevusala]],Table4[],2,FALSE)</f>
        <v xml:space="preserve"> Vinni Lasteaed</v>
      </c>
      <c r="D605" s="3" t="str">
        <f>VLOOKUP(Table2[[#This Row],[Tegevusala]],Table4[[Tegevusala kood]:[Tegevusala alanimetus]],4,FALSE)</f>
        <v>Alusharidus</v>
      </c>
      <c r="E605" s="3" t="str">
        <f>VLOOKUP(Table2[[#This Row],[Tegevusala nimetus2]],Table4[[Tegevusala nimetus]:[Tegevusala koondnimetus]],2,FALSE)</f>
        <v>Haridus</v>
      </c>
      <c r="F605" t="s">
        <v>1183</v>
      </c>
      <c r="G605" t="s">
        <v>1209</v>
      </c>
      <c r="H605" s="40">
        <v>1020</v>
      </c>
      <c r="I605" s="2" t="s">
        <v>1210</v>
      </c>
      <c r="J605">
        <v>5511</v>
      </c>
      <c r="K605" s="3" t="str">
        <f>VLOOKUP(Table2[[#This Row],[Konto]],Table5[[Konto]:[Konto nimetus]],2,FALSE)</f>
        <v>Kinnistute, hoonete ja ruumide majandamiskulud</v>
      </c>
      <c r="L605">
        <v>55</v>
      </c>
      <c r="M605" t="str">
        <f t="shared" si="19"/>
        <v>55</v>
      </c>
      <c r="N605" s="3" t="str">
        <f>VLOOKUP(Table2[[#This Row],[Tulu/kulu liik2]],Table5[[Tulu/kulu liik]:[Kontode koondnimetus]],4,FALSE)</f>
        <v>Muud tegevuskulud</v>
      </c>
      <c r="O605" s="3" t="str">
        <f>VLOOKUP(Table2[[#This Row],[Tulu/kulu liik2]],Table5[],6,FALSE)</f>
        <v>Majandamiskulud</v>
      </c>
      <c r="P605" s="3" t="str">
        <f>VLOOKUP(Table2[[#This Row],[Tulu/kulu liik2]],Table5[],5,FALSE)</f>
        <v>Põhitegevuse kulu</v>
      </c>
    </row>
    <row r="606" spans="1:16" hidden="1" x14ac:dyDescent="0.25">
      <c r="A606" t="str">
        <f t="shared" si="18"/>
        <v>09</v>
      </c>
      <c r="B606" t="s">
        <v>309</v>
      </c>
      <c r="C606" s="3" t="str">
        <f>VLOOKUP(Table2[[#This Row],[Tegevusala]],Table4[],2,FALSE)</f>
        <v xml:space="preserve"> Vinni Lasteaed</v>
      </c>
      <c r="D606" s="3" t="str">
        <f>VLOOKUP(Table2[[#This Row],[Tegevusala]],Table4[[Tegevusala kood]:[Tegevusala alanimetus]],4,FALSE)</f>
        <v>Alusharidus</v>
      </c>
      <c r="E606" s="3" t="str">
        <f>VLOOKUP(Table2[[#This Row],[Tegevusala nimetus2]],Table4[[Tegevusala nimetus]:[Tegevusala koondnimetus]],2,FALSE)</f>
        <v>Haridus</v>
      </c>
      <c r="F606" t="s">
        <v>1183</v>
      </c>
      <c r="G606" t="s">
        <v>1211</v>
      </c>
      <c r="H606" s="40">
        <v>460</v>
      </c>
      <c r="I606" s="2" t="s">
        <v>1212</v>
      </c>
      <c r="J606">
        <v>5511</v>
      </c>
      <c r="K606" s="3" t="str">
        <f>VLOOKUP(Table2[[#This Row],[Konto]],Table5[[Konto]:[Konto nimetus]],2,FALSE)</f>
        <v>Kinnistute, hoonete ja ruumide majandamiskulud</v>
      </c>
      <c r="L606">
        <v>55</v>
      </c>
      <c r="M606" t="str">
        <f t="shared" si="19"/>
        <v>55</v>
      </c>
      <c r="N606" s="3" t="str">
        <f>VLOOKUP(Table2[[#This Row],[Tulu/kulu liik2]],Table5[[Tulu/kulu liik]:[Kontode koondnimetus]],4,FALSE)</f>
        <v>Muud tegevuskulud</v>
      </c>
      <c r="O606" s="3" t="str">
        <f>VLOOKUP(Table2[[#This Row],[Tulu/kulu liik2]],Table5[],6,FALSE)</f>
        <v>Majandamiskulud</v>
      </c>
      <c r="P606" s="3" t="str">
        <f>VLOOKUP(Table2[[#This Row],[Tulu/kulu liik2]],Table5[],5,FALSE)</f>
        <v>Põhitegevuse kulu</v>
      </c>
    </row>
    <row r="607" spans="1:16" hidden="1" x14ac:dyDescent="0.25">
      <c r="A607" t="str">
        <f t="shared" si="18"/>
        <v>09</v>
      </c>
      <c r="B607" t="s">
        <v>309</v>
      </c>
      <c r="C607" s="3" t="str">
        <f>VLOOKUP(Table2[[#This Row],[Tegevusala]],Table4[],2,FALSE)</f>
        <v xml:space="preserve"> Vinni Lasteaed</v>
      </c>
      <c r="D607" s="3" t="str">
        <f>VLOOKUP(Table2[[#This Row],[Tegevusala]],Table4[[Tegevusala kood]:[Tegevusala alanimetus]],4,FALSE)</f>
        <v>Alusharidus</v>
      </c>
      <c r="E607" s="3" t="str">
        <f>VLOOKUP(Table2[[#This Row],[Tegevusala nimetus2]],Table4[[Tegevusala nimetus]:[Tegevusala koondnimetus]],2,FALSE)</f>
        <v>Haridus</v>
      </c>
      <c r="F607" t="s">
        <v>1183</v>
      </c>
      <c r="G607" t="s">
        <v>1213</v>
      </c>
      <c r="H607" s="40">
        <v>1200</v>
      </c>
      <c r="I607" s="2" t="s">
        <v>1214</v>
      </c>
      <c r="J607">
        <v>5511</v>
      </c>
      <c r="K607" s="3" t="str">
        <f>VLOOKUP(Table2[[#This Row],[Konto]],Table5[[Konto]:[Konto nimetus]],2,FALSE)</f>
        <v>Kinnistute, hoonete ja ruumide majandamiskulud</v>
      </c>
      <c r="L607">
        <v>55</v>
      </c>
      <c r="M607" t="str">
        <f t="shared" si="19"/>
        <v>55</v>
      </c>
      <c r="N607" s="3" t="str">
        <f>VLOOKUP(Table2[[#This Row],[Tulu/kulu liik2]],Table5[[Tulu/kulu liik]:[Kontode koondnimetus]],4,FALSE)</f>
        <v>Muud tegevuskulud</v>
      </c>
      <c r="O607" s="3" t="str">
        <f>VLOOKUP(Table2[[#This Row],[Tulu/kulu liik2]],Table5[],6,FALSE)</f>
        <v>Majandamiskulud</v>
      </c>
      <c r="P607" s="3" t="str">
        <f>VLOOKUP(Table2[[#This Row],[Tulu/kulu liik2]],Table5[],5,FALSE)</f>
        <v>Põhitegevuse kulu</v>
      </c>
    </row>
    <row r="608" spans="1:16" hidden="1" x14ac:dyDescent="0.25">
      <c r="A608" t="str">
        <f t="shared" si="18"/>
        <v>09</v>
      </c>
      <c r="B608" t="s">
        <v>309</v>
      </c>
      <c r="C608" s="3" t="str">
        <f>VLOOKUP(Table2[[#This Row],[Tegevusala]],Table4[],2,FALSE)</f>
        <v xml:space="preserve"> Vinni Lasteaed</v>
      </c>
      <c r="D608" s="3" t="str">
        <f>VLOOKUP(Table2[[#This Row],[Tegevusala]],Table4[[Tegevusala kood]:[Tegevusala alanimetus]],4,FALSE)</f>
        <v>Alusharidus</v>
      </c>
      <c r="E608" s="3" t="str">
        <f>VLOOKUP(Table2[[#This Row],[Tegevusala nimetus2]],Table4[[Tegevusala nimetus]:[Tegevusala koondnimetus]],2,FALSE)</f>
        <v>Haridus</v>
      </c>
      <c r="F608" t="s">
        <v>1183</v>
      </c>
      <c r="G608" t="s">
        <v>1215</v>
      </c>
      <c r="H608" s="40">
        <v>192</v>
      </c>
      <c r="I608" s="2" t="s">
        <v>1216</v>
      </c>
      <c r="J608">
        <v>5511</v>
      </c>
      <c r="K608" s="3" t="str">
        <f>VLOOKUP(Table2[[#This Row],[Konto]],Table5[[Konto]:[Konto nimetus]],2,FALSE)</f>
        <v>Kinnistute, hoonete ja ruumide majandamiskulud</v>
      </c>
      <c r="L608">
        <v>55</v>
      </c>
      <c r="M608" t="str">
        <f t="shared" si="19"/>
        <v>55</v>
      </c>
      <c r="N608" s="3" t="str">
        <f>VLOOKUP(Table2[[#This Row],[Tulu/kulu liik2]],Table5[[Tulu/kulu liik]:[Kontode koondnimetus]],4,FALSE)</f>
        <v>Muud tegevuskulud</v>
      </c>
      <c r="O608" s="3" t="str">
        <f>VLOOKUP(Table2[[#This Row],[Tulu/kulu liik2]],Table5[],6,FALSE)</f>
        <v>Majandamiskulud</v>
      </c>
      <c r="P608" s="3" t="str">
        <f>VLOOKUP(Table2[[#This Row],[Tulu/kulu liik2]],Table5[],5,FALSE)</f>
        <v>Põhitegevuse kulu</v>
      </c>
    </row>
    <row r="609" spans="1:16" hidden="1" x14ac:dyDescent="0.25">
      <c r="A609" t="str">
        <f t="shared" si="18"/>
        <v>09</v>
      </c>
      <c r="B609" t="s">
        <v>309</v>
      </c>
      <c r="C609" s="3" t="str">
        <f>VLOOKUP(Table2[[#This Row],[Tegevusala]],Table4[],2,FALSE)</f>
        <v xml:space="preserve"> Vinni Lasteaed</v>
      </c>
      <c r="D609" s="3" t="str">
        <f>VLOOKUP(Table2[[#This Row],[Tegevusala]],Table4[[Tegevusala kood]:[Tegevusala alanimetus]],4,FALSE)</f>
        <v>Alusharidus</v>
      </c>
      <c r="E609" s="3" t="str">
        <f>VLOOKUP(Table2[[#This Row],[Tegevusala nimetus2]],Table4[[Tegevusala nimetus]:[Tegevusala koondnimetus]],2,FALSE)</f>
        <v>Haridus</v>
      </c>
      <c r="F609" t="s">
        <v>1183</v>
      </c>
      <c r="G609" t="s">
        <v>1217</v>
      </c>
      <c r="H609" s="40">
        <v>200</v>
      </c>
      <c r="I609" s="2" t="s">
        <v>1218</v>
      </c>
      <c r="J609">
        <v>5511</v>
      </c>
      <c r="K609" s="3" t="str">
        <f>VLOOKUP(Table2[[#This Row],[Konto]],Table5[[Konto]:[Konto nimetus]],2,FALSE)</f>
        <v>Kinnistute, hoonete ja ruumide majandamiskulud</v>
      </c>
      <c r="L609">
        <v>55</v>
      </c>
      <c r="M609" t="str">
        <f t="shared" si="19"/>
        <v>55</v>
      </c>
      <c r="N609" s="3" t="str">
        <f>VLOOKUP(Table2[[#This Row],[Tulu/kulu liik2]],Table5[[Tulu/kulu liik]:[Kontode koondnimetus]],4,FALSE)</f>
        <v>Muud tegevuskulud</v>
      </c>
      <c r="O609" s="3" t="str">
        <f>VLOOKUP(Table2[[#This Row],[Tulu/kulu liik2]],Table5[],6,FALSE)</f>
        <v>Majandamiskulud</v>
      </c>
      <c r="P609" s="3" t="str">
        <f>VLOOKUP(Table2[[#This Row],[Tulu/kulu liik2]],Table5[],5,FALSE)</f>
        <v>Põhitegevuse kulu</v>
      </c>
    </row>
    <row r="610" spans="1:16" hidden="1" x14ac:dyDescent="0.25">
      <c r="A610" t="str">
        <f t="shared" si="18"/>
        <v>09</v>
      </c>
      <c r="B610" t="s">
        <v>309</v>
      </c>
      <c r="C610" s="3" t="str">
        <f>VLOOKUP(Table2[[#This Row],[Tegevusala]],Table4[],2,FALSE)</f>
        <v xml:space="preserve"> Vinni Lasteaed</v>
      </c>
      <c r="D610" s="3" t="str">
        <f>VLOOKUP(Table2[[#This Row],[Tegevusala]],Table4[[Tegevusala kood]:[Tegevusala alanimetus]],4,FALSE)</f>
        <v>Alusharidus</v>
      </c>
      <c r="E610" s="3" t="str">
        <f>VLOOKUP(Table2[[#This Row],[Tegevusala nimetus2]],Table4[[Tegevusala nimetus]:[Tegevusala koondnimetus]],2,FALSE)</f>
        <v>Haridus</v>
      </c>
      <c r="F610" t="s">
        <v>1183</v>
      </c>
      <c r="G610" t="s">
        <v>1219</v>
      </c>
      <c r="H610" s="40">
        <v>4000</v>
      </c>
      <c r="I610" s="2" t="s">
        <v>1220</v>
      </c>
      <c r="J610">
        <v>5511</v>
      </c>
      <c r="K610" s="3" t="str">
        <f>VLOOKUP(Table2[[#This Row],[Konto]],Table5[[Konto]:[Konto nimetus]],2,FALSE)</f>
        <v>Kinnistute, hoonete ja ruumide majandamiskulud</v>
      </c>
      <c r="L610">
        <v>55</v>
      </c>
      <c r="M610" t="str">
        <f t="shared" si="19"/>
        <v>55</v>
      </c>
      <c r="N610" s="3" t="str">
        <f>VLOOKUP(Table2[[#This Row],[Tulu/kulu liik2]],Table5[[Tulu/kulu liik]:[Kontode koondnimetus]],4,FALSE)</f>
        <v>Muud tegevuskulud</v>
      </c>
      <c r="O610" s="3" t="str">
        <f>VLOOKUP(Table2[[#This Row],[Tulu/kulu liik2]],Table5[],6,FALSE)</f>
        <v>Majandamiskulud</v>
      </c>
      <c r="P610" s="3" t="str">
        <f>VLOOKUP(Table2[[#This Row],[Tulu/kulu liik2]],Table5[],5,FALSE)</f>
        <v>Põhitegevuse kulu</v>
      </c>
    </row>
    <row r="611" spans="1:16" hidden="1" x14ac:dyDescent="0.25">
      <c r="A611" t="str">
        <f t="shared" si="18"/>
        <v>09</v>
      </c>
      <c r="B611" t="s">
        <v>309</v>
      </c>
      <c r="C611" s="3" t="str">
        <f>VLOOKUP(Table2[[#This Row],[Tegevusala]],Table4[],2,FALSE)</f>
        <v xml:space="preserve"> Vinni Lasteaed</v>
      </c>
      <c r="D611" s="3" t="str">
        <f>VLOOKUP(Table2[[#This Row],[Tegevusala]],Table4[[Tegevusala kood]:[Tegevusala alanimetus]],4,FALSE)</f>
        <v>Alusharidus</v>
      </c>
      <c r="E611" s="3" t="str">
        <f>VLOOKUP(Table2[[#This Row],[Tegevusala nimetus2]],Table4[[Tegevusala nimetus]:[Tegevusala koondnimetus]],2,FALSE)</f>
        <v>Haridus</v>
      </c>
      <c r="F611" t="s">
        <v>1183</v>
      </c>
      <c r="G611" t="s">
        <v>1221</v>
      </c>
      <c r="H611" s="40">
        <v>3000</v>
      </c>
      <c r="I611" s="2" t="s">
        <v>1222</v>
      </c>
      <c r="J611">
        <v>5511</v>
      </c>
      <c r="K611" s="3" t="str">
        <f>VLOOKUP(Table2[[#This Row],[Konto]],Table5[[Konto]:[Konto nimetus]],2,FALSE)</f>
        <v>Kinnistute, hoonete ja ruumide majandamiskulud</v>
      </c>
      <c r="L611">
        <v>55</v>
      </c>
      <c r="M611" t="str">
        <f t="shared" si="19"/>
        <v>55</v>
      </c>
      <c r="N611" s="3" t="str">
        <f>VLOOKUP(Table2[[#This Row],[Tulu/kulu liik2]],Table5[[Tulu/kulu liik]:[Kontode koondnimetus]],4,FALSE)</f>
        <v>Muud tegevuskulud</v>
      </c>
      <c r="O611" s="3" t="str">
        <f>VLOOKUP(Table2[[#This Row],[Tulu/kulu liik2]],Table5[],6,FALSE)</f>
        <v>Majandamiskulud</v>
      </c>
      <c r="P611" s="3" t="str">
        <f>VLOOKUP(Table2[[#This Row],[Tulu/kulu liik2]],Table5[],5,FALSE)</f>
        <v>Põhitegevuse kulu</v>
      </c>
    </row>
    <row r="612" spans="1:16" hidden="1" x14ac:dyDescent="0.25">
      <c r="A612" t="str">
        <f t="shared" si="18"/>
        <v>09</v>
      </c>
      <c r="B612" t="s">
        <v>309</v>
      </c>
      <c r="C612" s="3" t="str">
        <f>VLOOKUP(Table2[[#This Row],[Tegevusala]],Table4[],2,FALSE)</f>
        <v xml:space="preserve"> Vinni Lasteaed</v>
      </c>
      <c r="D612" s="3" t="str">
        <f>VLOOKUP(Table2[[#This Row],[Tegevusala]],Table4[[Tegevusala kood]:[Tegevusala alanimetus]],4,FALSE)</f>
        <v>Alusharidus</v>
      </c>
      <c r="E612" s="3" t="str">
        <f>VLOOKUP(Table2[[#This Row],[Tegevusala nimetus2]],Table4[[Tegevusala nimetus]:[Tegevusala koondnimetus]],2,FALSE)</f>
        <v>Haridus</v>
      </c>
      <c r="F612" t="s">
        <v>1183</v>
      </c>
      <c r="G612" t="s">
        <v>1225</v>
      </c>
      <c r="H612" s="40">
        <v>850</v>
      </c>
      <c r="J612">
        <v>5514</v>
      </c>
      <c r="K612" s="3" t="str">
        <f>VLOOKUP(Table2[[#This Row],[Konto]],Table5[[Konto]:[Konto nimetus]],2,FALSE)</f>
        <v>Info- ja kommunikatsioonitehnoliigised kulud</v>
      </c>
      <c r="L612">
        <v>55</v>
      </c>
      <c r="M612" t="str">
        <f t="shared" si="19"/>
        <v>55</v>
      </c>
      <c r="N612" s="3" t="str">
        <f>VLOOKUP(Table2[[#This Row],[Tulu/kulu liik2]],Table5[[Tulu/kulu liik]:[Kontode koondnimetus]],4,FALSE)</f>
        <v>Muud tegevuskulud</v>
      </c>
      <c r="O612" s="3" t="str">
        <f>VLOOKUP(Table2[[#This Row],[Tulu/kulu liik2]],Table5[],6,FALSE)</f>
        <v>Majandamiskulud</v>
      </c>
      <c r="P612" s="3" t="str">
        <f>VLOOKUP(Table2[[#This Row],[Tulu/kulu liik2]],Table5[],5,FALSE)</f>
        <v>Põhitegevuse kulu</v>
      </c>
    </row>
    <row r="613" spans="1:16" hidden="1" x14ac:dyDescent="0.25">
      <c r="A613" t="str">
        <f t="shared" si="18"/>
        <v>09</v>
      </c>
      <c r="B613" t="s">
        <v>309</v>
      </c>
      <c r="C613" s="3" t="str">
        <f>VLOOKUP(Table2[[#This Row],[Tegevusala]],Table4[],2,FALSE)</f>
        <v xml:space="preserve"> Vinni Lasteaed</v>
      </c>
      <c r="D613" s="3" t="str">
        <f>VLOOKUP(Table2[[#This Row],[Tegevusala]],Table4[[Tegevusala kood]:[Tegevusala alanimetus]],4,FALSE)</f>
        <v>Alusharidus</v>
      </c>
      <c r="E613" s="3" t="str">
        <f>VLOOKUP(Table2[[#This Row],[Tegevusala nimetus2]],Table4[[Tegevusala nimetus]:[Tegevusala koondnimetus]],2,FALSE)</f>
        <v>Haridus</v>
      </c>
      <c r="F613" t="s">
        <v>1183</v>
      </c>
      <c r="G613" t="s">
        <v>1226</v>
      </c>
      <c r="H613" s="40">
        <v>350</v>
      </c>
      <c r="I613" s="2" t="s">
        <v>1227</v>
      </c>
      <c r="J613">
        <v>5514</v>
      </c>
      <c r="K613" s="3" t="str">
        <f>VLOOKUP(Table2[[#This Row],[Konto]],Table5[[Konto]:[Konto nimetus]],2,FALSE)</f>
        <v>Info- ja kommunikatsioonitehnoliigised kulud</v>
      </c>
      <c r="L613">
        <v>55</v>
      </c>
      <c r="M613" t="str">
        <f t="shared" si="19"/>
        <v>55</v>
      </c>
      <c r="N613" s="3" t="str">
        <f>VLOOKUP(Table2[[#This Row],[Tulu/kulu liik2]],Table5[[Tulu/kulu liik]:[Kontode koondnimetus]],4,FALSE)</f>
        <v>Muud tegevuskulud</v>
      </c>
      <c r="O613" s="3" t="str">
        <f>VLOOKUP(Table2[[#This Row],[Tulu/kulu liik2]],Table5[],6,FALSE)</f>
        <v>Majandamiskulud</v>
      </c>
      <c r="P613" s="3" t="str">
        <f>VLOOKUP(Table2[[#This Row],[Tulu/kulu liik2]],Table5[],5,FALSE)</f>
        <v>Põhitegevuse kulu</v>
      </c>
    </row>
    <row r="614" spans="1:16" hidden="1" x14ac:dyDescent="0.25">
      <c r="A614" t="str">
        <f t="shared" si="18"/>
        <v>09</v>
      </c>
      <c r="B614" t="s">
        <v>309</v>
      </c>
      <c r="C614" s="3" t="str">
        <f>VLOOKUP(Table2[[#This Row],[Tegevusala]],Table4[],2,FALSE)</f>
        <v xml:space="preserve"> Vinni Lasteaed</v>
      </c>
      <c r="D614" s="3" t="str">
        <f>VLOOKUP(Table2[[#This Row],[Tegevusala]],Table4[[Tegevusala kood]:[Tegevusala alanimetus]],4,FALSE)</f>
        <v>Alusharidus</v>
      </c>
      <c r="E614" s="3" t="str">
        <f>VLOOKUP(Table2[[#This Row],[Tegevusala nimetus2]],Table4[[Tegevusala nimetus]:[Tegevusala koondnimetus]],2,FALSE)</f>
        <v>Haridus</v>
      </c>
      <c r="F614" t="s">
        <v>1183</v>
      </c>
      <c r="G614" t="s">
        <v>1228</v>
      </c>
      <c r="H614" s="40">
        <v>200</v>
      </c>
      <c r="J614">
        <v>5514</v>
      </c>
      <c r="K614" s="3" t="str">
        <f>VLOOKUP(Table2[[#This Row],[Konto]],Table5[[Konto]:[Konto nimetus]],2,FALSE)</f>
        <v>Info- ja kommunikatsioonitehnoliigised kulud</v>
      </c>
      <c r="L614">
        <v>55</v>
      </c>
      <c r="M614" t="str">
        <f t="shared" si="19"/>
        <v>55</v>
      </c>
      <c r="N614" s="3" t="str">
        <f>VLOOKUP(Table2[[#This Row],[Tulu/kulu liik2]],Table5[[Tulu/kulu liik]:[Kontode koondnimetus]],4,FALSE)</f>
        <v>Muud tegevuskulud</v>
      </c>
      <c r="O614" s="3" t="str">
        <f>VLOOKUP(Table2[[#This Row],[Tulu/kulu liik2]],Table5[],6,FALSE)</f>
        <v>Majandamiskulud</v>
      </c>
      <c r="P614" s="3" t="str">
        <f>VLOOKUP(Table2[[#This Row],[Tulu/kulu liik2]],Table5[],5,FALSE)</f>
        <v>Põhitegevuse kulu</v>
      </c>
    </row>
    <row r="615" spans="1:16" hidden="1" x14ac:dyDescent="0.25">
      <c r="A615" s="77" t="str">
        <f t="shared" si="18"/>
        <v>09</v>
      </c>
      <c r="B615" s="77" t="s">
        <v>309</v>
      </c>
      <c r="C615" s="79" t="str">
        <f>VLOOKUP(Table2[[#This Row],[Tegevusala]],Table4[],2,FALSE)</f>
        <v xml:space="preserve"> Vinni Lasteaed</v>
      </c>
      <c r="D615" s="79" t="str">
        <f>VLOOKUP(Table2[[#This Row],[Tegevusala]],Table4[[Tegevusala kood]:[Tegevusala alanimetus]],4,FALSE)</f>
        <v>Alusharidus</v>
      </c>
      <c r="E615" s="79" t="str">
        <f>VLOOKUP(Table2[[#This Row],[Tegevusala nimetus2]],Table4[[Tegevusala nimetus]:[Tegevusala koondnimetus]],2,FALSE)</f>
        <v>Haridus</v>
      </c>
      <c r="F615" s="77" t="s">
        <v>1183</v>
      </c>
      <c r="G615" s="77" t="s">
        <v>1179</v>
      </c>
      <c r="H615" s="78">
        <v>5000</v>
      </c>
      <c r="I615" s="80" t="s">
        <v>2159</v>
      </c>
      <c r="J615" s="77">
        <v>5511</v>
      </c>
      <c r="K615" s="79" t="str">
        <f>VLOOKUP(Table2[[#This Row],[Konto]],Table5[[Konto]:[Konto nimetus]],2,FALSE)</f>
        <v>Kinnistute, hoonete ja ruumide majandamiskulud</v>
      </c>
      <c r="L615" s="77">
        <v>55</v>
      </c>
      <c r="M615" s="77" t="str">
        <f t="shared" si="19"/>
        <v>55</v>
      </c>
      <c r="N615" s="79" t="str">
        <f>VLOOKUP(Table2[[#This Row],[Tulu/kulu liik2]],Table5[[Tulu/kulu liik]:[Kontode koondnimetus]],4,FALSE)</f>
        <v>Muud tegevuskulud</v>
      </c>
      <c r="O615" s="79" t="str">
        <f>VLOOKUP(Table2[[#This Row],[Tulu/kulu liik2]],Table5[],6,FALSE)</f>
        <v>Majandamiskulud</v>
      </c>
      <c r="P615" s="79" t="str">
        <f>VLOOKUP(Table2[[#This Row],[Tulu/kulu liik2]],Table5[],5,FALSE)</f>
        <v>Põhitegevuse kulu</v>
      </c>
    </row>
    <row r="616" spans="1:16" hidden="1" x14ac:dyDescent="0.25">
      <c r="A616" s="77" t="str">
        <f t="shared" si="18"/>
        <v>09</v>
      </c>
      <c r="B616" s="77" t="s">
        <v>309</v>
      </c>
      <c r="C616" s="79" t="str">
        <f>VLOOKUP(Table2[[#This Row],[Tegevusala]],Table4[],2,FALSE)</f>
        <v xml:space="preserve"> Vinni Lasteaed</v>
      </c>
      <c r="D616" s="79" t="str">
        <f>VLOOKUP(Table2[[#This Row],[Tegevusala]],Table4[[Tegevusala kood]:[Tegevusala alanimetus]],4,FALSE)</f>
        <v>Alusharidus</v>
      </c>
      <c r="E616" s="79" t="str">
        <f>VLOOKUP(Table2[[#This Row],[Tegevusala nimetus2]],Table4[[Tegevusala nimetus]:[Tegevusala koondnimetus]],2,FALSE)</f>
        <v>Haridus</v>
      </c>
      <c r="F616" s="77" t="s">
        <v>1183</v>
      </c>
      <c r="G616" s="77" t="s">
        <v>2158</v>
      </c>
      <c r="H616" s="78">
        <v>500</v>
      </c>
      <c r="I616" s="80" t="s">
        <v>2163</v>
      </c>
      <c r="J616" s="77">
        <v>5511</v>
      </c>
      <c r="K616" s="79" t="str">
        <f>VLOOKUP(Table2[[#This Row],[Konto]],Table5[[Konto]:[Konto nimetus]],2,FALSE)</f>
        <v>Kinnistute, hoonete ja ruumide majandamiskulud</v>
      </c>
      <c r="L616" s="77">
        <v>55</v>
      </c>
      <c r="M616" s="77" t="str">
        <f t="shared" si="19"/>
        <v>55</v>
      </c>
      <c r="N616" s="79" t="str">
        <f>VLOOKUP(Table2[[#This Row],[Tulu/kulu liik2]],Table5[[Tulu/kulu liik]:[Kontode koondnimetus]],4,FALSE)</f>
        <v>Muud tegevuskulud</v>
      </c>
      <c r="O616" s="79" t="str">
        <f>VLOOKUP(Table2[[#This Row],[Tulu/kulu liik2]],Table5[],6,FALSE)</f>
        <v>Majandamiskulud</v>
      </c>
      <c r="P616" s="79" t="str">
        <f>VLOOKUP(Table2[[#This Row],[Tulu/kulu liik2]],Table5[],5,FALSE)</f>
        <v>Põhitegevuse kulu</v>
      </c>
    </row>
    <row r="617" spans="1:16" hidden="1" x14ac:dyDescent="0.25">
      <c r="A617" t="str">
        <f t="shared" si="18"/>
        <v>09</v>
      </c>
      <c r="B617" t="s">
        <v>311</v>
      </c>
      <c r="C617" s="3" t="str">
        <f>VLOOKUP(Table2[[#This Row],[Tegevusala]],Table4[],2,FALSE)</f>
        <v xml:space="preserve"> Pajusti Lasteaed</v>
      </c>
      <c r="D617" s="3" t="str">
        <f>VLOOKUP(Table2[[#This Row],[Tegevusala]],Table4[[Tegevusala kood]:[Tegevusala alanimetus]],4,FALSE)</f>
        <v>Alusharidus</v>
      </c>
      <c r="E617" s="3" t="str">
        <f>VLOOKUP(Table2[[#This Row],[Tegevusala nimetus2]],Table4[[Tegevusala nimetus]:[Tegevusala koondnimetus]],2,FALSE)</f>
        <v>Haridus</v>
      </c>
      <c r="F617" t="s">
        <v>1252</v>
      </c>
      <c r="G617" t="s">
        <v>167</v>
      </c>
      <c r="H617" s="40">
        <v>760</v>
      </c>
      <c r="J617">
        <v>5500</v>
      </c>
      <c r="K617" s="3" t="str">
        <f>VLOOKUP(Table2[[#This Row],[Konto]],Table5[[Konto]:[Konto nimetus]],2,FALSE)</f>
        <v>Administreerimiskulud</v>
      </c>
      <c r="L617">
        <v>55</v>
      </c>
      <c r="M617" t="str">
        <f t="shared" si="19"/>
        <v>55</v>
      </c>
      <c r="N617" s="3" t="str">
        <f>VLOOKUP(Table2[[#This Row],[Tulu/kulu liik2]],Table5[[Tulu/kulu liik]:[Kontode koondnimetus]],4,FALSE)</f>
        <v>Muud tegevuskulud</v>
      </c>
      <c r="O617" s="3" t="str">
        <f>VLOOKUP(Table2[[#This Row],[Tulu/kulu liik2]],Table5[],6,FALSE)</f>
        <v>Majandamiskulud</v>
      </c>
      <c r="P617" s="3" t="str">
        <f>VLOOKUP(Table2[[#This Row],[Tulu/kulu liik2]],Table5[],5,FALSE)</f>
        <v>Põhitegevuse kulu</v>
      </c>
    </row>
    <row r="618" spans="1:16" hidden="1" x14ac:dyDescent="0.25">
      <c r="A618" t="str">
        <f t="shared" si="18"/>
        <v>09</v>
      </c>
      <c r="B618" t="s">
        <v>311</v>
      </c>
      <c r="C618" s="3" t="str">
        <f>VLOOKUP(Table2[[#This Row],[Tegevusala]],Table4[],2,FALSE)</f>
        <v xml:space="preserve"> Pajusti Lasteaed</v>
      </c>
      <c r="D618" s="3" t="str">
        <f>VLOOKUP(Table2[[#This Row],[Tegevusala]],Table4[[Tegevusala kood]:[Tegevusala alanimetus]],4,FALSE)</f>
        <v>Alusharidus</v>
      </c>
      <c r="E618" s="3" t="str">
        <f>VLOOKUP(Table2[[#This Row],[Tegevusala nimetus2]],Table4[[Tegevusala nimetus]:[Tegevusala koondnimetus]],2,FALSE)</f>
        <v>Haridus</v>
      </c>
      <c r="F618" t="s">
        <v>1252</v>
      </c>
      <c r="G618" t="s">
        <v>1260</v>
      </c>
      <c r="H618" s="40">
        <v>25</v>
      </c>
      <c r="J618">
        <v>5500</v>
      </c>
      <c r="K618" s="3" t="str">
        <f>VLOOKUP(Table2[[#This Row],[Konto]],Table5[[Konto]:[Konto nimetus]],2,FALSE)</f>
        <v>Administreerimiskulud</v>
      </c>
      <c r="L618">
        <v>55</v>
      </c>
      <c r="M618" t="str">
        <f t="shared" si="19"/>
        <v>55</v>
      </c>
      <c r="N618" s="3" t="str">
        <f>VLOOKUP(Table2[[#This Row],[Tulu/kulu liik2]],Table5[[Tulu/kulu liik]:[Kontode koondnimetus]],4,FALSE)</f>
        <v>Muud tegevuskulud</v>
      </c>
      <c r="O618" s="3" t="str">
        <f>VLOOKUP(Table2[[#This Row],[Tulu/kulu liik2]],Table5[],6,FALSE)</f>
        <v>Majandamiskulud</v>
      </c>
      <c r="P618" s="3" t="str">
        <f>VLOOKUP(Table2[[#This Row],[Tulu/kulu liik2]],Table5[],5,FALSE)</f>
        <v>Põhitegevuse kulu</v>
      </c>
    </row>
    <row r="619" spans="1:16" hidden="1" x14ac:dyDescent="0.25">
      <c r="A619" t="str">
        <f t="shared" si="18"/>
        <v>09</v>
      </c>
      <c r="B619" t="s">
        <v>311</v>
      </c>
      <c r="C619" s="3" t="str">
        <f>VLOOKUP(Table2[[#This Row],[Tegevusala]],Table4[],2,FALSE)</f>
        <v xml:space="preserve"> Pajusti Lasteaed</v>
      </c>
      <c r="D619" s="3" t="str">
        <f>VLOOKUP(Table2[[#This Row],[Tegevusala]],Table4[[Tegevusala kood]:[Tegevusala alanimetus]],4,FALSE)</f>
        <v>Alusharidus</v>
      </c>
      <c r="E619" s="3" t="str">
        <f>VLOOKUP(Table2[[#This Row],[Tegevusala nimetus2]],Table4[[Tegevusala nimetus]:[Tegevusala koondnimetus]],2,FALSE)</f>
        <v>Haridus</v>
      </c>
      <c r="F619" t="s">
        <v>1252</v>
      </c>
      <c r="G619" t="s">
        <v>1261</v>
      </c>
      <c r="H619" s="40">
        <v>60</v>
      </c>
      <c r="J619">
        <v>5500</v>
      </c>
      <c r="K619" s="3" t="str">
        <f>VLOOKUP(Table2[[#This Row],[Konto]],Table5[[Konto]:[Konto nimetus]],2,FALSE)</f>
        <v>Administreerimiskulud</v>
      </c>
      <c r="L619">
        <v>55</v>
      </c>
      <c r="M619" t="str">
        <f t="shared" si="19"/>
        <v>55</v>
      </c>
      <c r="N619" s="3" t="str">
        <f>VLOOKUP(Table2[[#This Row],[Tulu/kulu liik2]],Table5[[Tulu/kulu liik]:[Kontode koondnimetus]],4,FALSE)</f>
        <v>Muud tegevuskulud</v>
      </c>
      <c r="O619" s="3" t="str">
        <f>VLOOKUP(Table2[[#This Row],[Tulu/kulu liik2]],Table5[],6,FALSE)</f>
        <v>Majandamiskulud</v>
      </c>
      <c r="P619" s="3" t="str">
        <f>VLOOKUP(Table2[[#This Row],[Tulu/kulu liik2]],Table5[],5,FALSE)</f>
        <v>Põhitegevuse kulu</v>
      </c>
    </row>
    <row r="620" spans="1:16" hidden="1" x14ac:dyDescent="0.25">
      <c r="A620" t="str">
        <f t="shared" si="18"/>
        <v>09</v>
      </c>
      <c r="B620" t="s">
        <v>311</v>
      </c>
      <c r="C620" s="3" t="str">
        <f>VLOOKUP(Table2[[#This Row],[Tegevusala]],Table4[],2,FALSE)</f>
        <v xml:space="preserve"> Pajusti Lasteaed</v>
      </c>
      <c r="D620" s="3" t="str">
        <f>VLOOKUP(Table2[[#This Row],[Tegevusala]],Table4[[Tegevusala kood]:[Tegevusala alanimetus]],4,FALSE)</f>
        <v>Alusharidus</v>
      </c>
      <c r="E620" s="3" t="str">
        <f>VLOOKUP(Table2[[#This Row],[Tegevusala nimetus2]],Table4[[Tegevusala nimetus]:[Tegevusala koondnimetus]],2,FALSE)</f>
        <v>Haridus</v>
      </c>
      <c r="F620" t="s">
        <v>1252</v>
      </c>
      <c r="G620" t="s">
        <v>1263</v>
      </c>
      <c r="H620" s="40">
        <v>500</v>
      </c>
      <c r="J620">
        <v>5500</v>
      </c>
      <c r="K620" s="3" t="str">
        <f>VLOOKUP(Table2[[#This Row],[Konto]],Table5[[Konto]:[Konto nimetus]],2,FALSE)</f>
        <v>Administreerimiskulud</v>
      </c>
      <c r="L620">
        <v>55</v>
      </c>
      <c r="M620" t="str">
        <f t="shared" si="19"/>
        <v>55</v>
      </c>
      <c r="N620" s="3" t="str">
        <f>VLOOKUP(Table2[[#This Row],[Tulu/kulu liik2]],Table5[[Tulu/kulu liik]:[Kontode koondnimetus]],4,FALSE)</f>
        <v>Muud tegevuskulud</v>
      </c>
      <c r="O620" s="3" t="str">
        <f>VLOOKUP(Table2[[#This Row],[Tulu/kulu liik2]],Table5[],6,FALSE)</f>
        <v>Majandamiskulud</v>
      </c>
      <c r="P620" s="3" t="str">
        <f>VLOOKUP(Table2[[#This Row],[Tulu/kulu liik2]],Table5[],5,FALSE)</f>
        <v>Põhitegevuse kulu</v>
      </c>
    </row>
    <row r="621" spans="1:16" hidden="1" x14ac:dyDescent="0.25">
      <c r="A621" t="str">
        <f t="shared" si="18"/>
        <v>09</v>
      </c>
      <c r="B621" t="s">
        <v>311</v>
      </c>
      <c r="C621" s="3" t="str">
        <f>VLOOKUP(Table2[[#This Row],[Tegevusala]],Table4[],2,FALSE)</f>
        <v xml:space="preserve"> Pajusti Lasteaed</v>
      </c>
      <c r="D621" s="3" t="str">
        <f>VLOOKUP(Table2[[#This Row],[Tegevusala]],Table4[[Tegevusala kood]:[Tegevusala alanimetus]],4,FALSE)</f>
        <v>Alusharidus</v>
      </c>
      <c r="E621" s="3" t="str">
        <f>VLOOKUP(Table2[[#This Row],[Tegevusala nimetus2]],Table4[[Tegevusala nimetus]:[Tegevusala koondnimetus]],2,FALSE)</f>
        <v>Haridus</v>
      </c>
      <c r="F621" t="s">
        <v>1252</v>
      </c>
      <c r="G621" t="s">
        <v>391</v>
      </c>
      <c r="H621" s="40">
        <v>300</v>
      </c>
      <c r="J621">
        <v>5504</v>
      </c>
      <c r="K621" s="3" t="str">
        <f>VLOOKUP(Table2[[#This Row],[Konto]],Table5[[Konto]:[Konto nimetus]],2,FALSE)</f>
        <v>Koolituskulud</v>
      </c>
      <c r="L621">
        <v>55</v>
      </c>
      <c r="M621" t="str">
        <f t="shared" si="19"/>
        <v>55</v>
      </c>
      <c r="N621" s="3" t="str">
        <f>VLOOKUP(Table2[[#This Row],[Tulu/kulu liik2]],Table5[[Tulu/kulu liik]:[Kontode koondnimetus]],4,FALSE)</f>
        <v>Muud tegevuskulud</v>
      </c>
      <c r="O621" s="3" t="str">
        <f>VLOOKUP(Table2[[#This Row],[Tulu/kulu liik2]],Table5[],6,FALSE)</f>
        <v>Majandamiskulud</v>
      </c>
      <c r="P621" s="3" t="str">
        <f>VLOOKUP(Table2[[#This Row],[Tulu/kulu liik2]],Table5[],5,FALSE)</f>
        <v>Põhitegevuse kulu</v>
      </c>
    </row>
    <row r="622" spans="1:16" hidden="1" x14ac:dyDescent="0.25">
      <c r="A622" t="str">
        <f t="shared" si="18"/>
        <v>09</v>
      </c>
      <c r="B622" t="s">
        <v>311</v>
      </c>
      <c r="C622" s="3" t="str">
        <f>VLOOKUP(Table2[[#This Row],[Tegevusala]],Table4[],2,FALSE)</f>
        <v xml:space="preserve"> Pajusti Lasteaed</v>
      </c>
      <c r="D622" s="3" t="str">
        <f>VLOOKUP(Table2[[#This Row],[Tegevusala]],Table4[[Tegevusala kood]:[Tegevusala alanimetus]],4,FALSE)</f>
        <v>Alusharidus</v>
      </c>
      <c r="E622" s="3" t="str">
        <f>VLOOKUP(Table2[[#This Row],[Tegevusala nimetus2]],Table4[[Tegevusala nimetus]:[Tegevusala koondnimetus]],2,FALSE)</f>
        <v>Haridus</v>
      </c>
      <c r="F622" t="s">
        <v>1252</v>
      </c>
      <c r="G622" t="s">
        <v>1276</v>
      </c>
      <c r="H622" s="40">
        <v>704</v>
      </c>
      <c r="I622" s="2" t="s">
        <v>1277</v>
      </c>
      <c r="J622">
        <v>5513</v>
      </c>
      <c r="K622" s="3" t="str">
        <f>VLOOKUP(Table2[[#This Row],[Konto]],Table5[[Konto]:[Konto nimetus]],2,FALSE)</f>
        <v>Sõidukite ülalpidamise kulud</v>
      </c>
      <c r="L622">
        <v>55</v>
      </c>
      <c r="M622" t="str">
        <f t="shared" si="19"/>
        <v>55</v>
      </c>
      <c r="N622" s="3" t="str">
        <f>VLOOKUP(Table2[[#This Row],[Tulu/kulu liik2]],Table5[[Tulu/kulu liik]:[Kontode koondnimetus]],4,FALSE)</f>
        <v>Muud tegevuskulud</v>
      </c>
      <c r="O622" s="3" t="str">
        <f>VLOOKUP(Table2[[#This Row],[Tulu/kulu liik2]],Table5[],6,FALSE)</f>
        <v>Majandamiskulud</v>
      </c>
      <c r="P622" s="3" t="str">
        <f>VLOOKUP(Table2[[#This Row],[Tulu/kulu liik2]],Table5[],5,FALSE)</f>
        <v>Põhitegevuse kulu</v>
      </c>
    </row>
    <row r="623" spans="1:16" hidden="1" x14ac:dyDescent="0.25">
      <c r="A623" t="str">
        <f t="shared" si="18"/>
        <v>09</v>
      </c>
      <c r="B623" t="s">
        <v>311</v>
      </c>
      <c r="C623" s="3" t="str">
        <f>VLOOKUP(Table2[[#This Row],[Tegevusala]],Table4[],2,FALSE)</f>
        <v xml:space="preserve"> Pajusti Lasteaed</v>
      </c>
      <c r="D623" s="3" t="str">
        <f>VLOOKUP(Table2[[#This Row],[Tegevusala]],Table4[[Tegevusala kood]:[Tegevusala alanimetus]],4,FALSE)</f>
        <v>Alusharidus</v>
      </c>
      <c r="E623" s="3" t="str">
        <f>VLOOKUP(Table2[[#This Row],[Tegevusala nimetus2]],Table4[[Tegevusala nimetus]:[Tegevusala koondnimetus]],2,FALSE)</f>
        <v>Haridus</v>
      </c>
      <c r="F623" t="s">
        <v>1252</v>
      </c>
      <c r="G623" t="s">
        <v>1279</v>
      </c>
      <c r="H623" s="40">
        <v>600</v>
      </c>
      <c r="J623">
        <v>5515</v>
      </c>
      <c r="K623" s="3" t="str">
        <f>VLOOKUP(Table2[[#This Row],[Konto]],Table5[[Konto]:[Konto nimetus]],2,FALSE)</f>
        <v>Inventari kulud, v.a infotehnoloogia ja kaitseotstarbelised kulud</v>
      </c>
      <c r="L623">
        <v>55</v>
      </c>
      <c r="M623" t="str">
        <f t="shared" si="19"/>
        <v>55</v>
      </c>
      <c r="N623" s="3" t="str">
        <f>VLOOKUP(Table2[[#This Row],[Tulu/kulu liik2]],Table5[[Tulu/kulu liik]:[Kontode koondnimetus]],4,FALSE)</f>
        <v>Muud tegevuskulud</v>
      </c>
      <c r="O623" s="3" t="str">
        <f>VLOOKUP(Table2[[#This Row],[Tulu/kulu liik2]],Table5[],6,FALSE)</f>
        <v>Majandamiskulud</v>
      </c>
      <c r="P623" s="3" t="str">
        <f>VLOOKUP(Table2[[#This Row],[Tulu/kulu liik2]],Table5[],5,FALSE)</f>
        <v>Põhitegevuse kulu</v>
      </c>
    </row>
    <row r="624" spans="1:16" hidden="1" x14ac:dyDescent="0.25">
      <c r="A624" t="str">
        <f t="shared" si="18"/>
        <v>09</v>
      </c>
      <c r="B624" t="s">
        <v>311</v>
      </c>
      <c r="C624" s="3" t="str">
        <f>VLOOKUP(Table2[[#This Row],[Tegevusala]],Table4[],2,FALSE)</f>
        <v xml:space="preserve"> Pajusti Lasteaed</v>
      </c>
      <c r="D624" s="3" t="str">
        <f>VLOOKUP(Table2[[#This Row],[Tegevusala]],Table4[[Tegevusala kood]:[Tegevusala alanimetus]],4,FALSE)</f>
        <v>Alusharidus</v>
      </c>
      <c r="E624" s="3" t="str">
        <f>VLOOKUP(Table2[[#This Row],[Tegevusala nimetus2]],Table4[[Tegevusala nimetus]:[Tegevusala koondnimetus]],2,FALSE)</f>
        <v>Haridus</v>
      </c>
      <c r="F624" t="s">
        <v>1252</v>
      </c>
      <c r="G624" t="s">
        <v>1280</v>
      </c>
      <c r="H624" s="40">
        <v>140</v>
      </c>
      <c r="J624">
        <v>5515</v>
      </c>
      <c r="K624" s="3" t="str">
        <f>VLOOKUP(Table2[[#This Row],[Konto]],Table5[[Konto]:[Konto nimetus]],2,FALSE)</f>
        <v>Inventari kulud, v.a infotehnoloogia ja kaitseotstarbelised kulud</v>
      </c>
      <c r="L624">
        <v>55</v>
      </c>
      <c r="M624" t="str">
        <f t="shared" si="19"/>
        <v>55</v>
      </c>
      <c r="N624" s="3" t="str">
        <f>VLOOKUP(Table2[[#This Row],[Tulu/kulu liik2]],Table5[[Tulu/kulu liik]:[Kontode koondnimetus]],4,FALSE)</f>
        <v>Muud tegevuskulud</v>
      </c>
      <c r="O624" s="3" t="str">
        <f>VLOOKUP(Table2[[#This Row],[Tulu/kulu liik2]],Table5[],6,FALSE)</f>
        <v>Majandamiskulud</v>
      </c>
      <c r="P624" s="3" t="str">
        <f>VLOOKUP(Table2[[#This Row],[Tulu/kulu liik2]],Table5[],5,FALSE)</f>
        <v>Põhitegevuse kulu</v>
      </c>
    </row>
    <row r="625" spans="1:16" hidden="1" x14ac:dyDescent="0.25">
      <c r="A625" t="str">
        <f t="shared" si="18"/>
        <v>09</v>
      </c>
      <c r="B625" t="s">
        <v>311</v>
      </c>
      <c r="C625" s="3" t="str">
        <f>VLOOKUP(Table2[[#This Row],[Tegevusala]],Table4[],2,FALSE)</f>
        <v xml:space="preserve"> Pajusti Lasteaed</v>
      </c>
      <c r="D625" s="3" t="str">
        <f>VLOOKUP(Table2[[#This Row],[Tegevusala]],Table4[[Tegevusala kood]:[Tegevusala alanimetus]],4,FALSE)</f>
        <v>Alusharidus</v>
      </c>
      <c r="E625" s="3" t="str">
        <f>VLOOKUP(Table2[[#This Row],[Tegevusala nimetus2]],Table4[[Tegevusala nimetus]:[Tegevusala koondnimetus]],2,FALSE)</f>
        <v>Haridus</v>
      </c>
      <c r="F625" t="s">
        <v>1252</v>
      </c>
      <c r="G625" t="s">
        <v>1281</v>
      </c>
      <c r="H625" s="40">
        <v>6500</v>
      </c>
      <c r="I625" s="2" t="s">
        <v>1282</v>
      </c>
      <c r="J625">
        <v>5521</v>
      </c>
      <c r="K625" s="3" t="str">
        <f>VLOOKUP(Table2[[#This Row],[Konto]],Table5[[Konto]:[Konto nimetus]],2,FALSE)</f>
        <v>Toiduained ja toitlustusteenused</v>
      </c>
      <c r="L625">
        <v>55</v>
      </c>
      <c r="M625" t="str">
        <f t="shared" si="19"/>
        <v>55</v>
      </c>
      <c r="N625" s="3" t="str">
        <f>VLOOKUP(Table2[[#This Row],[Tulu/kulu liik2]],Table5[[Tulu/kulu liik]:[Kontode koondnimetus]],4,FALSE)</f>
        <v>Muud tegevuskulud</v>
      </c>
      <c r="O625" s="3" t="str">
        <f>VLOOKUP(Table2[[#This Row],[Tulu/kulu liik2]],Table5[],6,FALSE)</f>
        <v>Majandamiskulud</v>
      </c>
      <c r="P625" s="3" t="str">
        <f>VLOOKUP(Table2[[#This Row],[Tulu/kulu liik2]],Table5[],5,FALSE)</f>
        <v>Põhitegevuse kulu</v>
      </c>
    </row>
    <row r="626" spans="1:16" hidden="1" x14ac:dyDescent="0.25">
      <c r="A626" t="str">
        <f t="shared" si="18"/>
        <v>09</v>
      </c>
      <c r="B626" t="s">
        <v>311</v>
      </c>
      <c r="C626" s="3" t="str">
        <f>VLOOKUP(Table2[[#This Row],[Tegevusala]],Table4[],2,FALSE)</f>
        <v xml:space="preserve"> Pajusti Lasteaed</v>
      </c>
      <c r="D626" s="3" t="str">
        <f>VLOOKUP(Table2[[#This Row],[Tegevusala]],Table4[[Tegevusala kood]:[Tegevusala alanimetus]],4,FALSE)</f>
        <v>Alusharidus</v>
      </c>
      <c r="E626" s="3" t="str">
        <f>VLOOKUP(Table2[[#This Row],[Tegevusala nimetus2]],Table4[[Tegevusala nimetus]:[Tegevusala koondnimetus]],2,FALSE)</f>
        <v>Haridus</v>
      </c>
      <c r="F626" t="s">
        <v>1252</v>
      </c>
      <c r="G626" t="s">
        <v>1283</v>
      </c>
      <c r="H626" s="40">
        <v>80</v>
      </c>
      <c r="J626">
        <v>5522</v>
      </c>
      <c r="K626" s="3" t="str">
        <f>VLOOKUP(Table2[[#This Row],[Konto]],Table5[[Konto]:[Konto nimetus]],2,FALSE)</f>
        <v>Meditsiinikulud ja hügieenitarbed</v>
      </c>
      <c r="L626">
        <v>55</v>
      </c>
      <c r="M626" t="str">
        <f t="shared" si="19"/>
        <v>55</v>
      </c>
      <c r="N626" s="3" t="str">
        <f>VLOOKUP(Table2[[#This Row],[Tulu/kulu liik2]],Table5[[Tulu/kulu liik]:[Kontode koondnimetus]],4,FALSE)</f>
        <v>Muud tegevuskulud</v>
      </c>
      <c r="O626" s="3" t="str">
        <f>VLOOKUP(Table2[[#This Row],[Tulu/kulu liik2]],Table5[],6,FALSE)</f>
        <v>Majandamiskulud</v>
      </c>
      <c r="P626" s="3" t="str">
        <f>VLOOKUP(Table2[[#This Row],[Tulu/kulu liik2]],Table5[],5,FALSE)</f>
        <v>Põhitegevuse kulu</v>
      </c>
    </row>
    <row r="627" spans="1:16" hidden="1" x14ac:dyDescent="0.25">
      <c r="A627" t="str">
        <f t="shared" si="18"/>
        <v>09</v>
      </c>
      <c r="B627" t="s">
        <v>311</v>
      </c>
      <c r="C627" s="3" t="str">
        <f>VLOOKUP(Table2[[#This Row],[Tegevusala]],Table4[],2,FALSE)</f>
        <v xml:space="preserve"> Pajusti Lasteaed</v>
      </c>
      <c r="D627" s="3" t="str">
        <f>VLOOKUP(Table2[[#This Row],[Tegevusala]],Table4[[Tegevusala kood]:[Tegevusala alanimetus]],4,FALSE)</f>
        <v>Alusharidus</v>
      </c>
      <c r="E627" s="3" t="str">
        <f>VLOOKUP(Table2[[#This Row],[Tegevusala nimetus2]],Table4[[Tegevusala nimetus]:[Tegevusala koondnimetus]],2,FALSE)</f>
        <v>Haridus</v>
      </c>
      <c r="F627" t="s">
        <v>1252</v>
      </c>
      <c r="G627" t="s">
        <v>1284</v>
      </c>
      <c r="H627" s="40">
        <v>4800</v>
      </c>
      <c r="J627">
        <v>5524</v>
      </c>
      <c r="K627" s="3" t="str">
        <f>VLOOKUP(Table2[[#This Row],[Konto]],Table5[[Konto]:[Konto nimetus]],2,FALSE)</f>
        <v>Õppevahendid</v>
      </c>
      <c r="L627">
        <v>55</v>
      </c>
      <c r="M627" t="str">
        <f t="shared" si="19"/>
        <v>55</v>
      </c>
      <c r="N627" s="3" t="str">
        <f>VLOOKUP(Table2[[#This Row],[Tulu/kulu liik2]],Table5[[Tulu/kulu liik]:[Kontode koondnimetus]],4,FALSE)</f>
        <v>Muud tegevuskulud</v>
      </c>
      <c r="O627" s="3" t="str">
        <f>VLOOKUP(Table2[[#This Row],[Tulu/kulu liik2]],Table5[],6,FALSE)</f>
        <v>Majandamiskulud</v>
      </c>
      <c r="P627" s="3" t="str">
        <f>VLOOKUP(Table2[[#This Row],[Tulu/kulu liik2]],Table5[],5,FALSE)</f>
        <v>Põhitegevuse kulu</v>
      </c>
    </row>
    <row r="628" spans="1:16" hidden="1" x14ac:dyDescent="0.25">
      <c r="A628" t="str">
        <f t="shared" si="18"/>
        <v>09</v>
      </c>
      <c r="B628" t="s">
        <v>311</v>
      </c>
      <c r="C628" s="3" t="str">
        <f>VLOOKUP(Table2[[#This Row],[Tegevusala]],Table4[],2,FALSE)</f>
        <v xml:space="preserve"> Pajusti Lasteaed</v>
      </c>
      <c r="D628" s="3" t="str">
        <f>VLOOKUP(Table2[[#This Row],[Tegevusala]],Table4[[Tegevusala kood]:[Tegevusala alanimetus]],4,FALSE)</f>
        <v>Alusharidus</v>
      </c>
      <c r="E628" s="3" t="str">
        <f>VLOOKUP(Table2[[#This Row],[Tegevusala nimetus2]],Table4[[Tegevusala nimetus]:[Tegevusala koondnimetus]],2,FALSE)</f>
        <v>Haridus</v>
      </c>
      <c r="F628" t="s">
        <v>1252</v>
      </c>
      <c r="G628" t="s">
        <v>1285</v>
      </c>
      <c r="H628" s="40">
        <v>200</v>
      </c>
      <c r="J628">
        <v>5525</v>
      </c>
      <c r="K628" s="3" t="str">
        <f>VLOOKUP(Table2[[#This Row],[Konto]],Table5[[Konto]:[Konto nimetus]],2,FALSE)</f>
        <v>Kommunikatsiooni-, kultuuri- ja vaba aja sisustamise kulud</v>
      </c>
      <c r="L628">
        <v>55</v>
      </c>
      <c r="M628" t="str">
        <f t="shared" si="19"/>
        <v>55</v>
      </c>
      <c r="N628" s="3" t="str">
        <f>VLOOKUP(Table2[[#This Row],[Tulu/kulu liik2]],Table5[[Tulu/kulu liik]:[Kontode koondnimetus]],4,FALSE)</f>
        <v>Muud tegevuskulud</v>
      </c>
      <c r="O628" s="3" t="str">
        <f>VLOOKUP(Table2[[#This Row],[Tulu/kulu liik2]],Table5[],6,FALSE)</f>
        <v>Majandamiskulud</v>
      </c>
      <c r="P628" s="3" t="str">
        <f>VLOOKUP(Table2[[#This Row],[Tulu/kulu liik2]],Table5[],5,FALSE)</f>
        <v>Põhitegevuse kulu</v>
      </c>
    </row>
    <row r="629" spans="1:16" hidden="1" x14ac:dyDescent="0.25">
      <c r="A629" t="str">
        <f t="shared" si="18"/>
        <v>09</v>
      </c>
      <c r="B629" t="s">
        <v>311</v>
      </c>
      <c r="C629" s="3" t="str">
        <f>VLOOKUP(Table2[[#This Row],[Tegevusala]],Table4[],2,FALSE)</f>
        <v xml:space="preserve"> Pajusti Lasteaed</v>
      </c>
      <c r="D629" s="3" t="str">
        <f>VLOOKUP(Table2[[#This Row],[Tegevusala]],Table4[[Tegevusala kood]:[Tegevusala alanimetus]],4,FALSE)</f>
        <v>Alusharidus</v>
      </c>
      <c r="E629" s="3" t="str">
        <f>VLOOKUP(Table2[[#This Row],[Tegevusala nimetus2]],Table4[[Tegevusala nimetus]:[Tegevusala koondnimetus]],2,FALSE)</f>
        <v>Haridus</v>
      </c>
      <c r="F629" t="s">
        <v>1252</v>
      </c>
      <c r="G629" t="s">
        <v>1286</v>
      </c>
      <c r="H629" s="40">
        <v>350</v>
      </c>
      <c r="J629">
        <v>5525</v>
      </c>
      <c r="K629" s="3" t="str">
        <f>VLOOKUP(Table2[[#This Row],[Konto]],Table5[[Konto]:[Konto nimetus]],2,FALSE)</f>
        <v>Kommunikatsiooni-, kultuuri- ja vaba aja sisustamise kulud</v>
      </c>
      <c r="L629">
        <v>55</v>
      </c>
      <c r="M629" t="str">
        <f t="shared" si="19"/>
        <v>55</v>
      </c>
      <c r="N629" s="3" t="str">
        <f>VLOOKUP(Table2[[#This Row],[Tulu/kulu liik2]],Table5[[Tulu/kulu liik]:[Kontode koondnimetus]],4,FALSE)</f>
        <v>Muud tegevuskulud</v>
      </c>
      <c r="O629" s="3" t="str">
        <f>VLOOKUP(Table2[[#This Row],[Tulu/kulu liik2]],Table5[],6,FALSE)</f>
        <v>Majandamiskulud</v>
      </c>
      <c r="P629" s="3" t="str">
        <f>VLOOKUP(Table2[[#This Row],[Tulu/kulu liik2]],Table5[],5,FALSE)</f>
        <v>Põhitegevuse kulu</v>
      </c>
    </row>
    <row r="630" spans="1:16" hidden="1" x14ac:dyDescent="0.25">
      <c r="A630" t="str">
        <f t="shared" si="18"/>
        <v>09</v>
      </c>
      <c r="B630" t="s">
        <v>311</v>
      </c>
      <c r="C630" s="3" t="str">
        <f>VLOOKUP(Table2[[#This Row],[Tegevusala]],Table4[],2,FALSE)</f>
        <v xml:space="preserve"> Pajusti Lasteaed</v>
      </c>
      <c r="D630" s="3" t="str">
        <f>VLOOKUP(Table2[[#This Row],[Tegevusala]],Table4[[Tegevusala kood]:[Tegevusala alanimetus]],4,FALSE)</f>
        <v>Alusharidus</v>
      </c>
      <c r="E630" s="3" t="str">
        <f>VLOOKUP(Table2[[#This Row],[Tegevusala nimetus2]],Table4[[Tegevusala nimetus]:[Tegevusala koondnimetus]],2,FALSE)</f>
        <v>Haridus</v>
      </c>
      <c r="F630" t="s">
        <v>1252</v>
      </c>
      <c r="G630" t="s">
        <v>177</v>
      </c>
      <c r="H630" s="40">
        <v>6951</v>
      </c>
      <c r="I630" s="2" t="s">
        <v>1264</v>
      </c>
      <c r="J630">
        <v>5511</v>
      </c>
      <c r="K630" s="3" t="str">
        <f>VLOOKUP(Table2[[#This Row],[Konto]],Table5[[Konto]:[Konto nimetus]],2,FALSE)</f>
        <v>Kinnistute, hoonete ja ruumide majandamiskulud</v>
      </c>
      <c r="L630">
        <v>55</v>
      </c>
      <c r="M630" t="str">
        <f t="shared" si="19"/>
        <v>55</v>
      </c>
      <c r="N630" s="3" t="str">
        <f>VLOOKUP(Table2[[#This Row],[Tulu/kulu liik2]],Table5[[Tulu/kulu liik]:[Kontode koondnimetus]],4,FALSE)</f>
        <v>Muud tegevuskulud</v>
      </c>
      <c r="O630" s="3" t="str">
        <f>VLOOKUP(Table2[[#This Row],[Tulu/kulu liik2]],Table5[],6,FALSE)</f>
        <v>Majandamiskulud</v>
      </c>
      <c r="P630" s="3" t="str">
        <f>VLOOKUP(Table2[[#This Row],[Tulu/kulu liik2]],Table5[],5,FALSE)</f>
        <v>Põhitegevuse kulu</v>
      </c>
    </row>
    <row r="631" spans="1:16" hidden="1" x14ac:dyDescent="0.25">
      <c r="A631" t="str">
        <f t="shared" si="18"/>
        <v>09</v>
      </c>
      <c r="B631" t="s">
        <v>311</v>
      </c>
      <c r="C631" s="3" t="str">
        <f>VLOOKUP(Table2[[#This Row],[Tegevusala]],Table4[],2,FALSE)</f>
        <v xml:space="preserve"> Pajusti Lasteaed</v>
      </c>
      <c r="D631" s="3" t="str">
        <f>VLOOKUP(Table2[[#This Row],[Tegevusala]],Table4[[Tegevusala kood]:[Tegevusala alanimetus]],4,FALSE)</f>
        <v>Alusharidus</v>
      </c>
      <c r="E631" s="3" t="str">
        <f>VLOOKUP(Table2[[#This Row],[Tegevusala nimetus2]],Table4[[Tegevusala nimetus]:[Tegevusala koondnimetus]],2,FALSE)</f>
        <v>Haridus</v>
      </c>
      <c r="F631" t="s">
        <v>1252</v>
      </c>
      <c r="G631" t="s">
        <v>178</v>
      </c>
      <c r="H631" s="40">
        <v>2860</v>
      </c>
      <c r="I631" s="2" t="s">
        <v>1265</v>
      </c>
      <c r="J631">
        <v>5511</v>
      </c>
      <c r="K631" s="3" t="str">
        <f>VLOOKUP(Table2[[#This Row],[Konto]],Table5[[Konto]:[Konto nimetus]],2,FALSE)</f>
        <v>Kinnistute, hoonete ja ruumide majandamiskulud</v>
      </c>
      <c r="L631">
        <v>55</v>
      </c>
      <c r="M631" t="str">
        <f t="shared" si="19"/>
        <v>55</v>
      </c>
      <c r="N631" s="3" t="str">
        <f>VLOOKUP(Table2[[#This Row],[Tulu/kulu liik2]],Table5[[Tulu/kulu liik]:[Kontode koondnimetus]],4,FALSE)</f>
        <v>Muud tegevuskulud</v>
      </c>
      <c r="O631" s="3" t="str">
        <f>VLOOKUP(Table2[[#This Row],[Tulu/kulu liik2]],Table5[],6,FALSE)</f>
        <v>Majandamiskulud</v>
      </c>
      <c r="P631" s="3" t="str">
        <f>VLOOKUP(Table2[[#This Row],[Tulu/kulu liik2]],Table5[],5,FALSE)</f>
        <v>Põhitegevuse kulu</v>
      </c>
    </row>
    <row r="632" spans="1:16" hidden="1" x14ac:dyDescent="0.25">
      <c r="A632" t="str">
        <f t="shared" si="18"/>
        <v>09</v>
      </c>
      <c r="B632" t="s">
        <v>311</v>
      </c>
      <c r="C632" s="3" t="str">
        <f>VLOOKUP(Table2[[#This Row],[Tegevusala]],Table4[],2,FALSE)</f>
        <v xml:space="preserve"> Pajusti Lasteaed</v>
      </c>
      <c r="D632" s="3" t="str">
        <f>VLOOKUP(Table2[[#This Row],[Tegevusala]],Table4[[Tegevusala kood]:[Tegevusala alanimetus]],4,FALSE)</f>
        <v>Alusharidus</v>
      </c>
      <c r="E632" s="3" t="str">
        <f>VLOOKUP(Table2[[#This Row],[Tegevusala nimetus2]],Table4[[Tegevusala nimetus]:[Tegevusala koondnimetus]],2,FALSE)</f>
        <v>Haridus</v>
      </c>
      <c r="F632" t="s">
        <v>1252</v>
      </c>
      <c r="G632" t="s">
        <v>425</v>
      </c>
      <c r="H632" s="40">
        <v>927</v>
      </c>
      <c r="I632" s="2" t="s">
        <v>1266</v>
      </c>
      <c r="J632">
        <v>5511</v>
      </c>
      <c r="K632" s="3" t="str">
        <f>VLOOKUP(Table2[[#This Row],[Konto]],Table5[[Konto]:[Konto nimetus]],2,FALSE)</f>
        <v>Kinnistute, hoonete ja ruumide majandamiskulud</v>
      </c>
      <c r="L632">
        <v>55</v>
      </c>
      <c r="M632" t="str">
        <f t="shared" si="19"/>
        <v>55</v>
      </c>
      <c r="N632" s="3" t="str">
        <f>VLOOKUP(Table2[[#This Row],[Tulu/kulu liik2]],Table5[[Tulu/kulu liik]:[Kontode koondnimetus]],4,FALSE)</f>
        <v>Muud tegevuskulud</v>
      </c>
      <c r="O632" s="3" t="str">
        <f>VLOOKUP(Table2[[#This Row],[Tulu/kulu liik2]],Table5[],6,FALSE)</f>
        <v>Majandamiskulud</v>
      </c>
      <c r="P632" s="3" t="str">
        <f>VLOOKUP(Table2[[#This Row],[Tulu/kulu liik2]],Table5[],5,FALSE)</f>
        <v>Põhitegevuse kulu</v>
      </c>
    </row>
    <row r="633" spans="1:16" hidden="1" x14ac:dyDescent="0.25">
      <c r="A633" t="str">
        <f t="shared" si="18"/>
        <v>09</v>
      </c>
      <c r="B633" t="s">
        <v>311</v>
      </c>
      <c r="C633" s="3" t="str">
        <f>VLOOKUP(Table2[[#This Row],[Tegevusala]],Table4[],2,FALSE)</f>
        <v xml:space="preserve"> Pajusti Lasteaed</v>
      </c>
      <c r="D633" s="3" t="str">
        <f>VLOOKUP(Table2[[#This Row],[Tegevusala]],Table4[[Tegevusala kood]:[Tegevusala alanimetus]],4,FALSE)</f>
        <v>Alusharidus</v>
      </c>
      <c r="E633" s="3" t="str">
        <f>VLOOKUP(Table2[[#This Row],[Tegevusala nimetus2]],Table4[[Tegevusala nimetus]:[Tegevusala koondnimetus]],2,FALSE)</f>
        <v>Haridus</v>
      </c>
      <c r="F633" t="s">
        <v>1252</v>
      </c>
      <c r="G633" t="s">
        <v>194</v>
      </c>
      <c r="H633" s="40">
        <v>1300</v>
      </c>
      <c r="I633" s="2" t="s">
        <v>1267</v>
      </c>
      <c r="J633">
        <v>5511</v>
      </c>
      <c r="K633" s="3" t="str">
        <f>VLOOKUP(Table2[[#This Row],[Konto]],Table5[[Konto]:[Konto nimetus]],2,FALSE)</f>
        <v>Kinnistute, hoonete ja ruumide majandamiskulud</v>
      </c>
      <c r="L633">
        <v>55</v>
      </c>
      <c r="M633" t="str">
        <f t="shared" si="19"/>
        <v>55</v>
      </c>
      <c r="N633" s="3" t="str">
        <f>VLOOKUP(Table2[[#This Row],[Tulu/kulu liik2]],Table5[[Tulu/kulu liik]:[Kontode koondnimetus]],4,FALSE)</f>
        <v>Muud tegevuskulud</v>
      </c>
      <c r="O633" s="3" t="str">
        <f>VLOOKUP(Table2[[#This Row],[Tulu/kulu liik2]],Table5[],6,FALSE)</f>
        <v>Majandamiskulud</v>
      </c>
      <c r="P633" s="3" t="str">
        <f>VLOOKUP(Table2[[#This Row],[Tulu/kulu liik2]],Table5[],5,FALSE)</f>
        <v>Põhitegevuse kulu</v>
      </c>
    </row>
    <row r="634" spans="1:16" hidden="1" x14ac:dyDescent="0.25">
      <c r="A634" t="str">
        <f t="shared" si="18"/>
        <v>09</v>
      </c>
      <c r="B634" t="s">
        <v>311</v>
      </c>
      <c r="C634" s="3" t="str">
        <f>VLOOKUP(Table2[[#This Row],[Tegevusala]],Table4[],2,FALSE)</f>
        <v xml:space="preserve"> Pajusti Lasteaed</v>
      </c>
      <c r="D634" s="3" t="str">
        <f>VLOOKUP(Table2[[#This Row],[Tegevusala]],Table4[[Tegevusala kood]:[Tegevusala alanimetus]],4,FALSE)</f>
        <v>Alusharidus</v>
      </c>
      <c r="E634" s="3" t="str">
        <f>VLOOKUP(Table2[[#This Row],[Tegevusala nimetus2]],Table4[[Tegevusala nimetus]:[Tegevusala koondnimetus]],2,FALSE)</f>
        <v>Haridus</v>
      </c>
      <c r="F634" t="s">
        <v>1252</v>
      </c>
      <c r="G634" t="s">
        <v>1268</v>
      </c>
      <c r="H634" s="40">
        <v>184</v>
      </c>
      <c r="I634" s="2" t="s">
        <v>1269</v>
      </c>
      <c r="J634">
        <v>5511</v>
      </c>
      <c r="K634" s="3" t="str">
        <f>VLOOKUP(Table2[[#This Row],[Konto]],Table5[[Konto]:[Konto nimetus]],2,FALSE)</f>
        <v>Kinnistute, hoonete ja ruumide majandamiskulud</v>
      </c>
      <c r="L634">
        <v>55</v>
      </c>
      <c r="M634" t="str">
        <f t="shared" si="19"/>
        <v>55</v>
      </c>
      <c r="N634" s="3" t="str">
        <f>VLOOKUP(Table2[[#This Row],[Tulu/kulu liik2]],Table5[[Tulu/kulu liik]:[Kontode koondnimetus]],4,FALSE)</f>
        <v>Muud tegevuskulud</v>
      </c>
      <c r="O634" s="3" t="str">
        <f>VLOOKUP(Table2[[#This Row],[Tulu/kulu liik2]],Table5[],6,FALSE)</f>
        <v>Majandamiskulud</v>
      </c>
      <c r="P634" s="3" t="str">
        <f>VLOOKUP(Table2[[#This Row],[Tulu/kulu liik2]],Table5[],5,FALSE)</f>
        <v>Põhitegevuse kulu</v>
      </c>
    </row>
    <row r="635" spans="1:16" hidden="1" x14ac:dyDescent="0.25">
      <c r="A635" t="str">
        <f t="shared" si="18"/>
        <v>09</v>
      </c>
      <c r="B635" t="s">
        <v>311</v>
      </c>
      <c r="C635" s="3" t="str">
        <f>VLOOKUP(Table2[[#This Row],[Tegevusala]],Table4[],2,FALSE)</f>
        <v xml:space="preserve"> Pajusti Lasteaed</v>
      </c>
      <c r="D635" s="3" t="str">
        <f>VLOOKUP(Table2[[#This Row],[Tegevusala]],Table4[[Tegevusala kood]:[Tegevusala alanimetus]],4,FALSE)</f>
        <v>Alusharidus</v>
      </c>
      <c r="E635" s="3" t="str">
        <f>VLOOKUP(Table2[[#This Row],[Tegevusala nimetus2]],Table4[[Tegevusala nimetus]:[Tegevusala koondnimetus]],2,FALSE)</f>
        <v>Haridus</v>
      </c>
      <c r="F635" t="s">
        <v>1252</v>
      </c>
      <c r="G635" t="s">
        <v>1270</v>
      </c>
      <c r="H635" s="40">
        <v>540</v>
      </c>
      <c r="I635" s="2" t="s">
        <v>1271</v>
      </c>
      <c r="J635">
        <v>5511</v>
      </c>
      <c r="K635" s="3" t="str">
        <f>VLOOKUP(Table2[[#This Row],[Konto]],Table5[[Konto]:[Konto nimetus]],2,FALSE)</f>
        <v>Kinnistute, hoonete ja ruumide majandamiskulud</v>
      </c>
      <c r="L635">
        <v>55</v>
      </c>
      <c r="M635" t="str">
        <f t="shared" si="19"/>
        <v>55</v>
      </c>
      <c r="N635" s="3" t="str">
        <f>VLOOKUP(Table2[[#This Row],[Tulu/kulu liik2]],Table5[[Tulu/kulu liik]:[Kontode koondnimetus]],4,FALSE)</f>
        <v>Muud tegevuskulud</v>
      </c>
      <c r="O635" s="3" t="str">
        <f>VLOOKUP(Table2[[#This Row],[Tulu/kulu liik2]],Table5[],6,FALSE)</f>
        <v>Majandamiskulud</v>
      </c>
      <c r="P635" s="3" t="str">
        <f>VLOOKUP(Table2[[#This Row],[Tulu/kulu liik2]],Table5[],5,FALSE)</f>
        <v>Põhitegevuse kulu</v>
      </c>
    </row>
    <row r="636" spans="1:16" hidden="1" x14ac:dyDescent="0.25">
      <c r="A636" t="str">
        <f t="shared" si="18"/>
        <v>09</v>
      </c>
      <c r="B636" t="s">
        <v>311</v>
      </c>
      <c r="C636" s="3" t="str">
        <f>VLOOKUP(Table2[[#This Row],[Tegevusala]],Table4[],2,FALSE)</f>
        <v xml:space="preserve"> Pajusti Lasteaed</v>
      </c>
      <c r="D636" s="3" t="str">
        <f>VLOOKUP(Table2[[#This Row],[Tegevusala]],Table4[[Tegevusala kood]:[Tegevusala alanimetus]],4,FALSE)</f>
        <v>Alusharidus</v>
      </c>
      <c r="E636" s="3" t="str">
        <f>VLOOKUP(Table2[[#This Row],[Tegevusala nimetus2]],Table4[[Tegevusala nimetus]:[Tegevusala koondnimetus]],2,FALSE)</f>
        <v>Haridus</v>
      </c>
      <c r="F636" t="s">
        <v>1252</v>
      </c>
      <c r="G636" t="s">
        <v>1272</v>
      </c>
      <c r="H636" s="40">
        <v>240</v>
      </c>
      <c r="I636" s="2" t="s">
        <v>1273</v>
      </c>
      <c r="J636">
        <v>5511</v>
      </c>
      <c r="K636" s="3" t="str">
        <f>VLOOKUP(Table2[[#This Row],[Konto]],Table5[[Konto]:[Konto nimetus]],2,FALSE)</f>
        <v>Kinnistute, hoonete ja ruumide majandamiskulud</v>
      </c>
      <c r="L636">
        <v>55</v>
      </c>
      <c r="M636" t="str">
        <f t="shared" si="19"/>
        <v>55</v>
      </c>
      <c r="N636" s="3" t="str">
        <f>VLOOKUP(Table2[[#This Row],[Tulu/kulu liik2]],Table5[[Tulu/kulu liik]:[Kontode koondnimetus]],4,FALSE)</f>
        <v>Muud tegevuskulud</v>
      </c>
      <c r="O636" s="3" t="str">
        <f>VLOOKUP(Table2[[#This Row],[Tulu/kulu liik2]],Table5[],6,FALSE)</f>
        <v>Majandamiskulud</v>
      </c>
      <c r="P636" s="3" t="str">
        <f>VLOOKUP(Table2[[#This Row],[Tulu/kulu liik2]],Table5[],5,FALSE)</f>
        <v>Põhitegevuse kulu</v>
      </c>
    </row>
    <row r="637" spans="1:16" hidden="1" x14ac:dyDescent="0.25">
      <c r="A637" t="str">
        <f t="shared" si="18"/>
        <v>09</v>
      </c>
      <c r="B637" t="s">
        <v>311</v>
      </c>
      <c r="C637" s="3" t="str">
        <f>VLOOKUP(Table2[[#This Row],[Tegevusala]],Table4[],2,FALSE)</f>
        <v xml:space="preserve"> Pajusti Lasteaed</v>
      </c>
      <c r="D637" s="3" t="str">
        <f>VLOOKUP(Table2[[#This Row],[Tegevusala]],Table4[[Tegevusala kood]:[Tegevusala alanimetus]],4,FALSE)</f>
        <v>Alusharidus</v>
      </c>
      <c r="E637" s="3" t="str">
        <f>VLOOKUP(Table2[[#This Row],[Tegevusala nimetus2]],Table4[[Tegevusala nimetus]:[Tegevusala koondnimetus]],2,FALSE)</f>
        <v>Haridus</v>
      </c>
      <c r="F637" t="s">
        <v>1252</v>
      </c>
      <c r="G637" t="s">
        <v>1274</v>
      </c>
      <c r="H637" s="40">
        <v>117</v>
      </c>
      <c r="I637" s="2" t="s">
        <v>1275</v>
      </c>
      <c r="J637">
        <v>5511</v>
      </c>
      <c r="K637" s="3" t="str">
        <f>VLOOKUP(Table2[[#This Row],[Konto]],Table5[[Konto]:[Konto nimetus]],2,FALSE)</f>
        <v>Kinnistute, hoonete ja ruumide majandamiskulud</v>
      </c>
      <c r="L637">
        <v>55</v>
      </c>
      <c r="M637" t="str">
        <f t="shared" si="19"/>
        <v>55</v>
      </c>
      <c r="N637" s="3" t="str">
        <f>VLOOKUP(Table2[[#This Row],[Tulu/kulu liik2]],Table5[[Tulu/kulu liik]:[Kontode koondnimetus]],4,FALSE)</f>
        <v>Muud tegevuskulud</v>
      </c>
      <c r="O637" s="3" t="str">
        <f>VLOOKUP(Table2[[#This Row],[Tulu/kulu liik2]],Table5[],6,FALSE)</f>
        <v>Majandamiskulud</v>
      </c>
      <c r="P637" s="3" t="str">
        <f>VLOOKUP(Table2[[#This Row],[Tulu/kulu liik2]],Table5[],5,FALSE)</f>
        <v>Põhitegevuse kulu</v>
      </c>
    </row>
    <row r="638" spans="1:16" hidden="1" x14ac:dyDescent="0.25">
      <c r="A638" t="str">
        <f t="shared" ref="A638:A701" si="20">LEFT(B638,2)</f>
        <v>09</v>
      </c>
      <c r="B638" t="s">
        <v>311</v>
      </c>
      <c r="C638" s="3" t="str">
        <f>VLOOKUP(Table2[[#This Row],[Tegevusala]],Table4[],2,FALSE)</f>
        <v xml:space="preserve"> Pajusti Lasteaed</v>
      </c>
      <c r="D638" s="3" t="str">
        <f>VLOOKUP(Table2[[#This Row],[Tegevusala]],Table4[[Tegevusala kood]:[Tegevusala alanimetus]],4,FALSE)</f>
        <v>Alusharidus</v>
      </c>
      <c r="E638" s="3" t="str">
        <f>VLOOKUP(Table2[[#This Row],[Tegevusala nimetus2]],Table4[[Tegevusala nimetus]:[Tegevusala koondnimetus]],2,FALSE)</f>
        <v>Haridus</v>
      </c>
      <c r="F638" t="s">
        <v>1252</v>
      </c>
      <c r="G638" t="s">
        <v>1262</v>
      </c>
      <c r="H638" s="40">
        <v>260</v>
      </c>
      <c r="J638">
        <v>5514</v>
      </c>
      <c r="K638" s="3" t="str">
        <f>VLOOKUP(Table2[[#This Row],[Konto]],Table5[[Konto]:[Konto nimetus]],2,FALSE)</f>
        <v>Info- ja kommunikatsioonitehnoliigised kulud</v>
      </c>
      <c r="L638">
        <v>55</v>
      </c>
      <c r="M638" t="str">
        <f t="shared" ref="M638:M701" si="21">LEFT(J638,2)</f>
        <v>55</v>
      </c>
      <c r="N638" s="3" t="str">
        <f>VLOOKUP(Table2[[#This Row],[Tulu/kulu liik2]],Table5[[Tulu/kulu liik]:[Kontode koondnimetus]],4,FALSE)</f>
        <v>Muud tegevuskulud</v>
      </c>
      <c r="O638" s="3" t="str">
        <f>VLOOKUP(Table2[[#This Row],[Tulu/kulu liik2]],Table5[],6,FALSE)</f>
        <v>Majandamiskulud</v>
      </c>
      <c r="P638" s="3" t="str">
        <f>VLOOKUP(Table2[[#This Row],[Tulu/kulu liik2]],Table5[],5,FALSE)</f>
        <v>Põhitegevuse kulu</v>
      </c>
    </row>
    <row r="639" spans="1:16" hidden="1" x14ac:dyDescent="0.25">
      <c r="A639" t="str">
        <f t="shared" si="20"/>
        <v>09</v>
      </c>
      <c r="B639" t="s">
        <v>311</v>
      </c>
      <c r="C639" s="3" t="str">
        <f>VLOOKUP(Table2[[#This Row],[Tegevusala]],Table4[],2,FALSE)</f>
        <v xml:space="preserve"> Pajusti Lasteaed</v>
      </c>
      <c r="D639" s="3" t="str">
        <f>VLOOKUP(Table2[[#This Row],[Tegevusala]],Table4[[Tegevusala kood]:[Tegevusala alanimetus]],4,FALSE)</f>
        <v>Alusharidus</v>
      </c>
      <c r="E639" s="3" t="str">
        <f>VLOOKUP(Table2[[#This Row],[Tegevusala nimetus2]],Table4[[Tegevusala nimetus]:[Tegevusala koondnimetus]],2,FALSE)</f>
        <v>Haridus</v>
      </c>
      <c r="F639" t="s">
        <v>1252</v>
      </c>
      <c r="G639" t="s">
        <v>1278</v>
      </c>
      <c r="H639" s="40">
        <v>120</v>
      </c>
      <c r="J639">
        <v>5514</v>
      </c>
      <c r="K639" s="3" t="str">
        <f>VLOOKUP(Table2[[#This Row],[Konto]],Table5[[Konto]:[Konto nimetus]],2,FALSE)</f>
        <v>Info- ja kommunikatsioonitehnoliigised kulud</v>
      </c>
      <c r="L639">
        <v>55</v>
      </c>
      <c r="M639" t="str">
        <f t="shared" si="21"/>
        <v>55</v>
      </c>
      <c r="N639" s="3" t="str">
        <f>VLOOKUP(Table2[[#This Row],[Tulu/kulu liik2]],Table5[[Tulu/kulu liik]:[Kontode koondnimetus]],4,FALSE)</f>
        <v>Muud tegevuskulud</v>
      </c>
      <c r="O639" s="3" t="str">
        <f>VLOOKUP(Table2[[#This Row],[Tulu/kulu liik2]],Table5[],6,FALSE)</f>
        <v>Majandamiskulud</v>
      </c>
      <c r="P639" s="3" t="str">
        <f>VLOOKUP(Table2[[#This Row],[Tulu/kulu liik2]],Table5[],5,FALSE)</f>
        <v>Põhitegevuse kulu</v>
      </c>
    </row>
    <row r="640" spans="1:16" hidden="1" x14ac:dyDescent="0.25">
      <c r="A640" t="str">
        <f t="shared" si="20"/>
        <v>09</v>
      </c>
      <c r="B640" t="s">
        <v>311</v>
      </c>
      <c r="C640" s="3" t="str">
        <f>VLOOKUP(Table2[[#This Row],[Tegevusala]],Table4[],2,FALSE)</f>
        <v xml:space="preserve"> Pajusti Lasteaed</v>
      </c>
      <c r="D640" s="3" t="str">
        <f>VLOOKUP(Table2[[#This Row],[Tegevusala]],Table4[[Tegevusala kood]:[Tegevusala alanimetus]],4,FALSE)</f>
        <v>Alusharidus</v>
      </c>
      <c r="E640" s="3" t="str">
        <f>VLOOKUP(Table2[[#This Row],[Tegevusala nimetus2]],Table4[[Tegevusala nimetus]:[Tegevusala koondnimetus]],2,FALSE)</f>
        <v>Haridus</v>
      </c>
      <c r="F640" t="s">
        <v>822</v>
      </c>
      <c r="G640" t="s">
        <v>2034</v>
      </c>
      <c r="H640" s="40">
        <v>80000</v>
      </c>
      <c r="J640">
        <v>1551</v>
      </c>
      <c r="K640" s="3" t="str">
        <f>VLOOKUP(Table2[[#This Row],[Konto]],Table5[[Konto]:[Konto nimetus]],2,FALSE)</f>
        <v>Rajatiste ja hoonete soetamine ja renoveerimine</v>
      </c>
      <c r="L640">
        <v>15</v>
      </c>
      <c r="M640" t="str">
        <f t="shared" si="21"/>
        <v>15</v>
      </c>
      <c r="N640" s="3" t="str">
        <f>VLOOKUP(Table2[[#This Row],[Tulu/kulu liik2]],Table5[[Tulu/kulu liik]:[Kontode koondnimetus]],4,FALSE)</f>
        <v>Põhivara soetus (-)</v>
      </c>
      <c r="O640" s="34" t="str">
        <f>VLOOKUP(Table2[[#This Row],[Tulu/kulu liik2]],Table5[],6,FALSE)</f>
        <v>Põhivara soetus (-)</v>
      </c>
      <c r="P640" s="3" t="str">
        <f>VLOOKUP(Table2[[#This Row],[Tulu/kulu liik2]],Table5[],5,FALSE)</f>
        <v>Investeerimistegevus</v>
      </c>
    </row>
    <row r="641" spans="1:16" hidden="1" x14ac:dyDescent="0.25">
      <c r="A641" t="str">
        <f t="shared" si="20"/>
        <v>09</v>
      </c>
      <c r="B641" t="s">
        <v>311</v>
      </c>
      <c r="C641" s="3" t="str">
        <f>VLOOKUP(Table2[[#This Row],[Tegevusala]],Table4[],2,FALSE)</f>
        <v xml:space="preserve"> Pajusti Lasteaed</v>
      </c>
      <c r="D641" s="3" t="str">
        <f>VLOOKUP(Table2[[#This Row],[Tegevusala]],Table4[[Tegevusala kood]:[Tegevusala alanimetus]],4,FALSE)</f>
        <v>Alusharidus</v>
      </c>
      <c r="E641" s="3" t="str">
        <f>VLOOKUP(Table2[[#This Row],[Tegevusala nimetus2]],Table4[[Tegevusala nimetus]:[Tegevusala koondnimetus]],2,FALSE)</f>
        <v>Haridus</v>
      </c>
      <c r="F641" t="s">
        <v>1252</v>
      </c>
      <c r="G641" t="s">
        <v>2143</v>
      </c>
      <c r="H641" s="40">
        <v>967</v>
      </c>
      <c r="J641">
        <v>5511</v>
      </c>
      <c r="K641" s="3" t="str">
        <f>VLOOKUP(Table2[[#This Row],[Konto]],Table5[[Konto]:[Konto nimetus]],2,FALSE)</f>
        <v>Kinnistute, hoonete ja ruumide majandamiskulud</v>
      </c>
      <c r="L641">
        <v>55</v>
      </c>
      <c r="M641" t="str">
        <f t="shared" si="21"/>
        <v>55</v>
      </c>
      <c r="N641" s="3" t="str">
        <f>VLOOKUP(Table2[[#This Row],[Tulu/kulu liik2]],Table5[[Tulu/kulu liik]:[Kontode koondnimetus]],4,FALSE)</f>
        <v>Muud tegevuskulud</v>
      </c>
      <c r="O641" s="34" t="str">
        <f>VLOOKUP(Table2[[#This Row],[Tulu/kulu liik2]],Table5[],6,FALSE)</f>
        <v>Majandamiskulud</v>
      </c>
      <c r="P641" s="3" t="str">
        <f>VLOOKUP(Table2[[#This Row],[Tulu/kulu liik2]],Table5[],5,FALSE)</f>
        <v>Põhitegevuse kulu</v>
      </c>
    </row>
    <row r="642" spans="1:16" hidden="1" x14ac:dyDescent="0.25">
      <c r="A642" s="77" t="str">
        <f t="shared" si="20"/>
        <v>09</v>
      </c>
      <c r="B642" s="77" t="s">
        <v>311</v>
      </c>
      <c r="C642" s="79" t="str">
        <f>VLOOKUP(Table2[[#This Row],[Tegevusala]],Table4[],2,FALSE)</f>
        <v xml:space="preserve"> Pajusti Lasteaed</v>
      </c>
      <c r="D642" s="79" t="str">
        <f>VLOOKUP(Table2[[#This Row],[Tegevusala]],Table4[[Tegevusala kood]:[Tegevusala alanimetus]],4,FALSE)</f>
        <v>Alusharidus</v>
      </c>
      <c r="E642" s="79" t="str">
        <f>VLOOKUP(Table2[[#This Row],[Tegevusala nimetus2]],Table4[[Tegevusala nimetus]:[Tegevusala koondnimetus]],2,FALSE)</f>
        <v>Haridus</v>
      </c>
      <c r="F642" s="77" t="s">
        <v>1252</v>
      </c>
      <c r="G642" s="77" t="s">
        <v>2160</v>
      </c>
      <c r="H642" s="78">
        <v>5500</v>
      </c>
      <c r="I642" s="80"/>
      <c r="J642" s="77">
        <v>5511</v>
      </c>
      <c r="K642" s="79" t="str">
        <f>VLOOKUP(Table2[[#This Row],[Konto]],Table5[[Konto]:[Konto nimetus]],2,FALSE)</f>
        <v>Kinnistute, hoonete ja ruumide majandamiskulud</v>
      </c>
      <c r="L642" s="77">
        <v>55</v>
      </c>
      <c r="M642" s="77" t="str">
        <f t="shared" si="21"/>
        <v>55</v>
      </c>
      <c r="N642" s="79" t="str">
        <f>VLOOKUP(Table2[[#This Row],[Tulu/kulu liik2]],Table5[[Tulu/kulu liik]:[Kontode koondnimetus]],4,FALSE)</f>
        <v>Muud tegevuskulud</v>
      </c>
      <c r="O642" s="79" t="str">
        <f>VLOOKUP(Table2[[#This Row],[Tulu/kulu liik2]],Table5[],6,FALSE)</f>
        <v>Majandamiskulud</v>
      </c>
      <c r="P642" s="79" t="str">
        <f>VLOOKUP(Table2[[#This Row],[Tulu/kulu liik2]],Table5[],5,FALSE)</f>
        <v>Põhitegevuse kulu</v>
      </c>
    </row>
    <row r="643" spans="1:16" hidden="1" x14ac:dyDescent="0.25">
      <c r="A643" t="str">
        <f t="shared" si="20"/>
        <v>09</v>
      </c>
      <c r="B643" t="s">
        <v>313</v>
      </c>
      <c r="C643" s="3" t="str">
        <f>VLOOKUP(Table2[[#This Row],[Tegevusala]],Table4[],2,FALSE)</f>
        <v xml:space="preserve"> Kulina Lasteaed</v>
      </c>
      <c r="D643" s="3" t="str">
        <f>VLOOKUP(Table2[[#This Row],[Tegevusala]],Table4[[Tegevusala kood]:[Tegevusala alanimetus]],4,FALSE)</f>
        <v>Alusharidus</v>
      </c>
      <c r="E643" s="3" t="str">
        <f>VLOOKUP(Table2[[#This Row],[Tegevusala nimetus2]],Table4[[Tegevusala nimetus]:[Tegevusala koondnimetus]],2,FALSE)</f>
        <v>Haridus</v>
      </c>
      <c r="F643" t="s">
        <v>1293</v>
      </c>
      <c r="G643" t="s">
        <v>1124</v>
      </c>
      <c r="H643" s="40">
        <v>650</v>
      </c>
      <c r="I643" s="2" t="s">
        <v>1300</v>
      </c>
      <c r="J643">
        <v>5500</v>
      </c>
      <c r="K643" s="3" t="str">
        <f>VLOOKUP(Table2[[#This Row],[Konto]],Table5[[Konto]:[Konto nimetus]],2,FALSE)</f>
        <v>Administreerimiskulud</v>
      </c>
      <c r="L643">
        <v>55</v>
      </c>
      <c r="M643" t="str">
        <f t="shared" si="21"/>
        <v>55</v>
      </c>
      <c r="N643" s="3" t="str">
        <f>VLOOKUP(Table2[[#This Row],[Tulu/kulu liik2]],Table5[[Tulu/kulu liik]:[Kontode koondnimetus]],4,FALSE)</f>
        <v>Muud tegevuskulud</v>
      </c>
      <c r="O643" s="3" t="str">
        <f>VLOOKUP(Table2[[#This Row],[Tulu/kulu liik2]],Table5[],6,FALSE)</f>
        <v>Majandamiskulud</v>
      </c>
      <c r="P643" s="3" t="str">
        <f>VLOOKUP(Table2[[#This Row],[Tulu/kulu liik2]],Table5[],5,FALSE)</f>
        <v>Põhitegevuse kulu</v>
      </c>
    </row>
    <row r="644" spans="1:16" hidden="1" x14ac:dyDescent="0.25">
      <c r="A644" t="str">
        <f t="shared" si="20"/>
        <v>09</v>
      </c>
      <c r="B644" t="s">
        <v>313</v>
      </c>
      <c r="C644" s="3" t="str">
        <f>VLOOKUP(Table2[[#This Row],[Tegevusala]],Table4[],2,FALSE)</f>
        <v xml:space="preserve"> Kulina Lasteaed</v>
      </c>
      <c r="D644" s="3" t="str">
        <f>VLOOKUP(Table2[[#This Row],[Tegevusala]],Table4[[Tegevusala kood]:[Tegevusala alanimetus]],4,FALSE)</f>
        <v>Alusharidus</v>
      </c>
      <c r="E644" s="3" t="str">
        <f>VLOOKUP(Table2[[#This Row],[Tegevusala nimetus2]],Table4[[Tegevusala nimetus]:[Tegevusala koondnimetus]],2,FALSE)</f>
        <v>Haridus</v>
      </c>
      <c r="F644" t="s">
        <v>1293</v>
      </c>
      <c r="G644" t="s">
        <v>1071</v>
      </c>
      <c r="H644" s="40">
        <v>100</v>
      </c>
      <c r="I644" s="2" t="s">
        <v>1301</v>
      </c>
      <c r="J644">
        <v>5500</v>
      </c>
      <c r="K644" s="3" t="str">
        <f>VLOOKUP(Table2[[#This Row],[Konto]],Table5[[Konto]:[Konto nimetus]],2,FALSE)</f>
        <v>Administreerimiskulud</v>
      </c>
      <c r="L644">
        <v>55</v>
      </c>
      <c r="M644" t="str">
        <f t="shared" si="21"/>
        <v>55</v>
      </c>
      <c r="N644" s="3" t="str">
        <f>VLOOKUP(Table2[[#This Row],[Tulu/kulu liik2]],Table5[[Tulu/kulu liik]:[Kontode koondnimetus]],4,FALSE)</f>
        <v>Muud tegevuskulud</v>
      </c>
      <c r="O644" s="3" t="str">
        <f>VLOOKUP(Table2[[#This Row],[Tulu/kulu liik2]],Table5[],6,FALSE)</f>
        <v>Majandamiskulud</v>
      </c>
      <c r="P644" s="3" t="str">
        <f>VLOOKUP(Table2[[#This Row],[Tulu/kulu liik2]],Table5[],5,FALSE)</f>
        <v>Põhitegevuse kulu</v>
      </c>
    </row>
    <row r="645" spans="1:16" hidden="1" x14ac:dyDescent="0.25">
      <c r="A645" t="str">
        <f t="shared" si="20"/>
        <v>09</v>
      </c>
      <c r="B645" t="s">
        <v>313</v>
      </c>
      <c r="C645" s="3" t="str">
        <f>VLOOKUP(Table2[[#This Row],[Tegevusala]],Table4[],2,FALSE)</f>
        <v xml:space="preserve"> Kulina Lasteaed</v>
      </c>
      <c r="D645" s="3" t="str">
        <f>VLOOKUP(Table2[[#This Row],[Tegevusala]],Table4[[Tegevusala kood]:[Tegevusala alanimetus]],4,FALSE)</f>
        <v>Alusharidus</v>
      </c>
      <c r="E645" s="3" t="str">
        <f>VLOOKUP(Table2[[#This Row],[Tegevusala nimetus2]],Table4[[Tegevusala nimetus]:[Tegevusala koondnimetus]],2,FALSE)</f>
        <v>Haridus</v>
      </c>
      <c r="F645" t="s">
        <v>1293</v>
      </c>
      <c r="G645" t="s">
        <v>1294</v>
      </c>
      <c r="H645" s="40">
        <v>120</v>
      </c>
      <c r="J645">
        <v>5500</v>
      </c>
      <c r="K645" s="3" t="str">
        <f>VLOOKUP(Table2[[#This Row],[Konto]],Table5[[Konto]:[Konto nimetus]],2,FALSE)</f>
        <v>Administreerimiskulud</v>
      </c>
      <c r="L645">
        <v>55</v>
      </c>
      <c r="M645" t="str">
        <f t="shared" si="21"/>
        <v>55</v>
      </c>
      <c r="N645" s="3" t="str">
        <f>VLOOKUP(Table2[[#This Row],[Tulu/kulu liik2]],Table5[[Tulu/kulu liik]:[Kontode koondnimetus]],4,FALSE)</f>
        <v>Muud tegevuskulud</v>
      </c>
      <c r="O645" s="3" t="str">
        <f>VLOOKUP(Table2[[#This Row],[Tulu/kulu liik2]],Table5[],6,FALSE)</f>
        <v>Majandamiskulud</v>
      </c>
      <c r="P645" s="3" t="str">
        <f>VLOOKUP(Table2[[#This Row],[Tulu/kulu liik2]],Table5[],5,FALSE)</f>
        <v>Põhitegevuse kulu</v>
      </c>
    </row>
    <row r="646" spans="1:16" hidden="1" x14ac:dyDescent="0.25">
      <c r="A646" t="str">
        <f t="shared" si="20"/>
        <v>09</v>
      </c>
      <c r="B646" t="s">
        <v>313</v>
      </c>
      <c r="C646" s="3" t="str">
        <f>VLOOKUP(Table2[[#This Row],[Tegevusala]],Table4[],2,FALSE)</f>
        <v xml:space="preserve"> Kulina Lasteaed</v>
      </c>
      <c r="D646" s="3" t="str">
        <f>VLOOKUP(Table2[[#This Row],[Tegevusala]],Table4[[Tegevusala kood]:[Tegevusala alanimetus]],4,FALSE)</f>
        <v>Alusharidus</v>
      </c>
      <c r="E646" s="3" t="str">
        <f>VLOOKUP(Table2[[#This Row],[Tegevusala nimetus2]],Table4[[Tegevusala nimetus]:[Tegevusala koondnimetus]],2,FALSE)</f>
        <v>Haridus</v>
      </c>
      <c r="F646" t="s">
        <v>1293</v>
      </c>
      <c r="G646" t="s">
        <v>1295</v>
      </c>
      <c r="H646" s="40">
        <v>16</v>
      </c>
      <c r="I646" s="2" t="s">
        <v>1302</v>
      </c>
      <c r="J646">
        <v>5500</v>
      </c>
      <c r="K646" s="3" t="str">
        <f>VLOOKUP(Table2[[#This Row],[Konto]],Table5[[Konto]:[Konto nimetus]],2,FALSE)</f>
        <v>Administreerimiskulud</v>
      </c>
      <c r="L646">
        <v>55</v>
      </c>
      <c r="M646" t="str">
        <f t="shared" si="21"/>
        <v>55</v>
      </c>
      <c r="N646" s="3" t="str">
        <f>VLOOKUP(Table2[[#This Row],[Tulu/kulu liik2]],Table5[[Tulu/kulu liik]:[Kontode koondnimetus]],4,FALSE)</f>
        <v>Muud tegevuskulud</v>
      </c>
      <c r="O646" s="3" t="str">
        <f>VLOOKUP(Table2[[#This Row],[Tulu/kulu liik2]],Table5[],6,FALSE)</f>
        <v>Majandamiskulud</v>
      </c>
      <c r="P646" s="3" t="str">
        <f>VLOOKUP(Table2[[#This Row],[Tulu/kulu liik2]],Table5[],5,FALSE)</f>
        <v>Põhitegevuse kulu</v>
      </c>
    </row>
    <row r="647" spans="1:16" hidden="1" x14ac:dyDescent="0.25">
      <c r="A647" t="str">
        <f t="shared" si="20"/>
        <v>09</v>
      </c>
      <c r="B647" t="s">
        <v>313</v>
      </c>
      <c r="C647" s="3" t="str">
        <f>VLOOKUP(Table2[[#This Row],[Tegevusala]],Table4[],2,FALSE)</f>
        <v xml:space="preserve"> Kulina Lasteaed</v>
      </c>
      <c r="D647" s="3" t="str">
        <f>VLOOKUP(Table2[[#This Row],[Tegevusala]],Table4[[Tegevusala kood]:[Tegevusala alanimetus]],4,FALSE)</f>
        <v>Alusharidus</v>
      </c>
      <c r="E647" s="3" t="str">
        <f>VLOOKUP(Table2[[#This Row],[Tegevusala nimetus2]],Table4[[Tegevusala nimetus]:[Tegevusala koondnimetus]],2,FALSE)</f>
        <v>Haridus</v>
      </c>
      <c r="F647" t="s">
        <v>1293</v>
      </c>
      <c r="G647" t="s">
        <v>1296</v>
      </c>
      <c r="H647" s="40">
        <v>25</v>
      </c>
      <c r="I647" s="2" t="s">
        <v>1303</v>
      </c>
      <c r="J647">
        <v>5500</v>
      </c>
      <c r="K647" s="3" t="str">
        <f>VLOOKUP(Table2[[#This Row],[Konto]],Table5[[Konto]:[Konto nimetus]],2,FALSE)</f>
        <v>Administreerimiskulud</v>
      </c>
      <c r="L647">
        <v>55</v>
      </c>
      <c r="M647" t="str">
        <f t="shared" si="21"/>
        <v>55</v>
      </c>
      <c r="N647" s="3" t="str">
        <f>VLOOKUP(Table2[[#This Row],[Tulu/kulu liik2]],Table5[[Tulu/kulu liik]:[Kontode koondnimetus]],4,FALSE)</f>
        <v>Muud tegevuskulud</v>
      </c>
      <c r="O647" s="3" t="str">
        <f>VLOOKUP(Table2[[#This Row],[Tulu/kulu liik2]],Table5[],6,FALSE)</f>
        <v>Majandamiskulud</v>
      </c>
      <c r="P647" s="3" t="str">
        <f>VLOOKUP(Table2[[#This Row],[Tulu/kulu liik2]],Table5[],5,FALSE)</f>
        <v>Põhitegevuse kulu</v>
      </c>
    </row>
    <row r="648" spans="1:16" hidden="1" x14ac:dyDescent="0.25">
      <c r="A648" t="str">
        <f t="shared" si="20"/>
        <v>09</v>
      </c>
      <c r="B648" t="s">
        <v>313</v>
      </c>
      <c r="C648" s="3" t="str">
        <f>VLOOKUP(Table2[[#This Row],[Tegevusala]],Table4[],2,FALSE)</f>
        <v xml:space="preserve"> Kulina Lasteaed</v>
      </c>
      <c r="D648" s="3" t="str">
        <f>VLOOKUP(Table2[[#This Row],[Tegevusala]],Table4[[Tegevusala kood]:[Tegevusala alanimetus]],4,FALSE)</f>
        <v>Alusharidus</v>
      </c>
      <c r="E648" s="3" t="str">
        <f>VLOOKUP(Table2[[#This Row],[Tegevusala nimetus2]],Table4[[Tegevusala nimetus]:[Tegevusala koondnimetus]],2,FALSE)</f>
        <v>Haridus</v>
      </c>
      <c r="F648" t="s">
        <v>1293</v>
      </c>
      <c r="G648" t="s">
        <v>1297</v>
      </c>
      <c r="H648" s="40">
        <v>288</v>
      </c>
      <c r="I648" s="2" t="s">
        <v>1304</v>
      </c>
      <c r="J648">
        <v>5500</v>
      </c>
      <c r="K648" s="3" t="str">
        <f>VLOOKUP(Table2[[#This Row],[Konto]],Table5[[Konto]:[Konto nimetus]],2,FALSE)</f>
        <v>Administreerimiskulud</v>
      </c>
      <c r="L648">
        <v>55</v>
      </c>
      <c r="M648" t="str">
        <f t="shared" si="21"/>
        <v>55</v>
      </c>
      <c r="N648" s="3" t="str">
        <f>VLOOKUP(Table2[[#This Row],[Tulu/kulu liik2]],Table5[[Tulu/kulu liik]:[Kontode koondnimetus]],4,FALSE)</f>
        <v>Muud tegevuskulud</v>
      </c>
      <c r="O648" s="3" t="str">
        <f>VLOOKUP(Table2[[#This Row],[Tulu/kulu liik2]],Table5[],6,FALSE)</f>
        <v>Majandamiskulud</v>
      </c>
      <c r="P648" s="3" t="str">
        <f>VLOOKUP(Table2[[#This Row],[Tulu/kulu liik2]],Table5[],5,FALSE)</f>
        <v>Põhitegevuse kulu</v>
      </c>
    </row>
    <row r="649" spans="1:16" hidden="1" x14ac:dyDescent="0.25">
      <c r="A649" t="str">
        <f t="shared" si="20"/>
        <v>09</v>
      </c>
      <c r="B649" t="s">
        <v>313</v>
      </c>
      <c r="C649" s="3" t="str">
        <f>VLOOKUP(Table2[[#This Row],[Tegevusala]],Table4[],2,FALSE)</f>
        <v xml:space="preserve"> Kulina Lasteaed</v>
      </c>
      <c r="D649" s="3" t="str">
        <f>VLOOKUP(Table2[[#This Row],[Tegevusala]],Table4[[Tegevusala kood]:[Tegevusala alanimetus]],4,FALSE)</f>
        <v>Alusharidus</v>
      </c>
      <c r="E649" s="3" t="str">
        <f>VLOOKUP(Table2[[#This Row],[Tegevusala nimetus2]],Table4[[Tegevusala nimetus]:[Tegevusala koondnimetus]],2,FALSE)</f>
        <v>Haridus</v>
      </c>
      <c r="F649" t="s">
        <v>1293</v>
      </c>
      <c r="G649" t="s">
        <v>1298</v>
      </c>
      <c r="H649" s="40">
        <v>28</v>
      </c>
      <c r="I649" s="2" t="s">
        <v>1305</v>
      </c>
      <c r="J649">
        <v>5500</v>
      </c>
      <c r="K649" s="3" t="str">
        <f>VLOOKUP(Table2[[#This Row],[Konto]],Table5[[Konto]:[Konto nimetus]],2,FALSE)</f>
        <v>Administreerimiskulud</v>
      </c>
      <c r="L649">
        <v>55</v>
      </c>
      <c r="M649" t="str">
        <f t="shared" si="21"/>
        <v>55</v>
      </c>
      <c r="N649" s="3" t="str">
        <f>VLOOKUP(Table2[[#This Row],[Tulu/kulu liik2]],Table5[[Tulu/kulu liik]:[Kontode koondnimetus]],4,FALSE)</f>
        <v>Muud tegevuskulud</v>
      </c>
      <c r="O649" s="3" t="str">
        <f>VLOOKUP(Table2[[#This Row],[Tulu/kulu liik2]],Table5[],6,FALSE)</f>
        <v>Majandamiskulud</v>
      </c>
      <c r="P649" s="3" t="str">
        <f>VLOOKUP(Table2[[#This Row],[Tulu/kulu liik2]],Table5[],5,FALSE)</f>
        <v>Põhitegevuse kulu</v>
      </c>
    </row>
    <row r="650" spans="1:16" hidden="1" x14ac:dyDescent="0.25">
      <c r="A650" t="str">
        <f t="shared" si="20"/>
        <v>09</v>
      </c>
      <c r="B650" t="s">
        <v>313</v>
      </c>
      <c r="C650" s="3" t="str">
        <f>VLOOKUP(Table2[[#This Row],[Tegevusala]],Table4[],2,FALSE)</f>
        <v xml:space="preserve"> Kulina Lasteaed</v>
      </c>
      <c r="D650" s="3" t="str">
        <f>VLOOKUP(Table2[[#This Row],[Tegevusala]],Table4[[Tegevusala kood]:[Tegevusala alanimetus]],4,FALSE)</f>
        <v>Alusharidus</v>
      </c>
      <c r="E650" s="3" t="str">
        <f>VLOOKUP(Table2[[#This Row],[Tegevusala nimetus2]],Table4[[Tegevusala nimetus]:[Tegevusala koondnimetus]],2,FALSE)</f>
        <v>Haridus</v>
      </c>
      <c r="F650" t="s">
        <v>1293</v>
      </c>
      <c r="G650" t="s">
        <v>1299</v>
      </c>
      <c r="H650" s="40">
        <v>18</v>
      </c>
      <c r="I650" s="2" t="s">
        <v>1305</v>
      </c>
      <c r="J650">
        <v>5500</v>
      </c>
      <c r="K650" s="3" t="str">
        <f>VLOOKUP(Table2[[#This Row],[Konto]],Table5[[Konto]:[Konto nimetus]],2,FALSE)</f>
        <v>Administreerimiskulud</v>
      </c>
      <c r="L650">
        <v>55</v>
      </c>
      <c r="M650" t="str">
        <f t="shared" si="21"/>
        <v>55</v>
      </c>
      <c r="N650" s="3" t="str">
        <f>VLOOKUP(Table2[[#This Row],[Tulu/kulu liik2]],Table5[[Tulu/kulu liik]:[Kontode koondnimetus]],4,FALSE)</f>
        <v>Muud tegevuskulud</v>
      </c>
      <c r="O650" s="3" t="str">
        <f>VLOOKUP(Table2[[#This Row],[Tulu/kulu liik2]],Table5[],6,FALSE)</f>
        <v>Majandamiskulud</v>
      </c>
      <c r="P650" s="3" t="str">
        <f>VLOOKUP(Table2[[#This Row],[Tulu/kulu liik2]],Table5[],5,FALSE)</f>
        <v>Põhitegevuse kulu</v>
      </c>
    </row>
    <row r="651" spans="1:16" hidden="1" x14ac:dyDescent="0.25">
      <c r="A651" t="str">
        <f t="shared" si="20"/>
        <v>09</v>
      </c>
      <c r="B651" t="s">
        <v>313</v>
      </c>
      <c r="C651" s="3" t="str">
        <f>VLOOKUP(Table2[[#This Row],[Tegevusala]],Table4[],2,FALSE)</f>
        <v xml:space="preserve"> Kulina Lasteaed</v>
      </c>
      <c r="D651" s="3" t="str">
        <f>VLOOKUP(Table2[[#This Row],[Tegevusala]],Table4[[Tegevusala kood]:[Tegevusala alanimetus]],4,FALSE)</f>
        <v>Alusharidus</v>
      </c>
      <c r="E651" s="3" t="str">
        <f>VLOOKUP(Table2[[#This Row],[Tegevusala nimetus2]],Table4[[Tegevusala nimetus]:[Tegevusala koondnimetus]],2,FALSE)</f>
        <v>Haridus</v>
      </c>
      <c r="F651" t="s">
        <v>1293</v>
      </c>
      <c r="G651" t="s">
        <v>176</v>
      </c>
      <c r="H651" s="40">
        <v>504</v>
      </c>
      <c r="J651">
        <v>5504</v>
      </c>
      <c r="K651" s="3" t="str">
        <f>VLOOKUP(Table2[[#This Row],[Konto]],Table5[[Konto]:[Konto nimetus]],2,FALSE)</f>
        <v>Koolituskulud</v>
      </c>
      <c r="L651">
        <v>55</v>
      </c>
      <c r="M651" t="str">
        <f t="shared" si="21"/>
        <v>55</v>
      </c>
      <c r="N651" s="3" t="str">
        <f>VLOOKUP(Table2[[#This Row],[Tulu/kulu liik2]],Table5[[Tulu/kulu liik]:[Kontode koondnimetus]],4,FALSE)</f>
        <v>Muud tegevuskulud</v>
      </c>
      <c r="O651" s="3" t="str">
        <f>VLOOKUP(Table2[[#This Row],[Tulu/kulu liik2]],Table5[],6,FALSE)</f>
        <v>Majandamiskulud</v>
      </c>
      <c r="P651" s="3" t="str">
        <f>VLOOKUP(Table2[[#This Row],[Tulu/kulu liik2]],Table5[],5,FALSE)</f>
        <v>Põhitegevuse kulu</v>
      </c>
    </row>
    <row r="652" spans="1:16" hidden="1" x14ac:dyDescent="0.25">
      <c r="A652" t="str">
        <f t="shared" si="20"/>
        <v>09</v>
      </c>
      <c r="B652" t="s">
        <v>313</v>
      </c>
      <c r="C652" s="3" t="str">
        <f>VLOOKUP(Table2[[#This Row],[Tegevusala]],Table4[],2,FALSE)</f>
        <v xml:space="preserve"> Kulina Lasteaed</v>
      </c>
      <c r="D652" s="3" t="str">
        <f>VLOOKUP(Table2[[#This Row],[Tegevusala]],Table4[[Tegevusala kood]:[Tegevusala alanimetus]],4,FALSE)</f>
        <v>Alusharidus</v>
      </c>
      <c r="E652" s="3" t="str">
        <f>VLOOKUP(Table2[[#This Row],[Tegevusala nimetus2]],Table4[[Tegevusala nimetus]:[Tegevusala koondnimetus]],2,FALSE)</f>
        <v>Haridus</v>
      </c>
      <c r="F652" t="s">
        <v>1293</v>
      </c>
      <c r="G652" t="s">
        <v>1306</v>
      </c>
      <c r="H652" s="40">
        <v>165</v>
      </c>
      <c r="J652">
        <v>5504</v>
      </c>
      <c r="K652" s="3" t="str">
        <f>VLOOKUP(Table2[[#This Row],[Konto]],Table5[[Konto]:[Konto nimetus]],2,FALSE)</f>
        <v>Koolituskulud</v>
      </c>
      <c r="L652">
        <v>55</v>
      </c>
      <c r="M652" t="str">
        <f t="shared" si="21"/>
        <v>55</v>
      </c>
      <c r="N652" s="3" t="str">
        <f>VLOOKUP(Table2[[#This Row],[Tulu/kulu liik2]],Table5[[Tulu/kulu liik]:[Kontode koondnimetus]],4,FALSE)</f>
        <v>Muud tegevuskulud</v>
      </c>
      <c r="O652" s="3" t="str">
        <f>VLOOKUP(Table2[[#This Row],[Tulu/kulu liik2]],Table5[],6,FALSE)</f>
        <v>Majandamiskulud</v>
      </c>
      <c r="P652" s="3" t="str">
        <f>VLOOKUP(Table2[[#This Row],[Tulu/kulu liik2]],Table5[],5,FALSE)</f>
        <v>Põhitegevuse kulu</v>
      </c>
    </row>
    <row r="653" spans="1:16" hidden="1" x14ac:dyDescent="0.25">
      <c r="A653" t="str">
        <f t="shared" si="20"/>
        <v>09</v>
      </c>
      <c r="B653" t="s">
        <v>313</v>
      </c>
      <c r="C653" s="3" t="str">
        <f>VLOOKUP(Table2[[#This Row],[Tegevusala]],Table4[],2,FALSE)</f>
        <v xml:space="preserve"> Kulina Lasteaed</v>
      </c>
      <c r="D653" s="3" t="str">
        <f>VLOOKUP(Table2[[#This Row],[Tegevusala]],Table4[[Tegevusala kood]:[Tegevusala alanimetus]],4,FALSE)</f>
        <v>Alusharidus</v>
      </c>
      <c r="E653" s="3" t="str">
        <f>VLOOKUP(Table2[[#This Row],[Tegevusala nimetus2]],Table4[[Tegevusala nimetus]:[Tegevusala koondnimetus]],2,FALSE)</f>
        <v>Haridus</v>
      </c>
      <c r="F653" t="s">
        <v>1293</v>
      </c>
      <c r="G653" t="s">
        <v>424</v>
      </c>
      <c r="H653" s="40">
        <v>1430</v>
      </c>
      <c r="I653" s="2" t="s">
        <v>1323</v>
      </c>
      <c r="J653">
        <v>5513</v>
      </c>
      <c r="K653" s="3" t="str">
        <f>VLOOKUP(Table2[[#This Row],[Konto]],Table5[[Konto]:[Konto nimetus]],2,FALSE)</f>
        <v>Sõidukite ülalpidamise kulud</v>
      </c>
      <c r="L653">
        <v>55</v>
      </c>
      <c r="M653" t="str">
        <f t="shared" si="21"/>
        <v>55</v>
      </c>
      <c r="N653" s="3" t="str">
        <f>VLOOKUP(Table2[[#This Row],[Tulu/kulu liik2]],Table5[[Tulu/kulu liik]:[Kontode koondnimetus]],4,FALSE)</f>
        <v>Muud tegevuskulud</v>
      </c>
      <c r="O653" s="3" t="str">
        <f>VLOOKUP(Table2[[#This Row],[Tulu/kulu liik2]],Table5[],6,FALSE)</f>
        <v>Majandamiskulud</v>
      </c>
      <c r="P653" s="3" t="str">
        <f>VLOOKUP(Table2[[#This Row],[Tulu/kulu liik2]],Table5[],5,FALSE)</f>
        <v>Põhitegevuse kulu</v>
      </c>
    </row>
    <row r="654" spans="1:16" hidden="1" x14ac:dyDescent="0.25">
      <c r="A654" t="str">
        <f t="shared" si="20"/>
        <v>09</v>
      </c>
      <c r="B654" t="s">
        <v>313</v>
      </c>
      <c r="C654" s="3" t="str">
        <f>VLOOKUP(Table2[[#This Row],[Tegevusala]],Table4[],2,FALSE)</f>
        <v xml:space="preserve"> Kulina Lasteaed</v>
      </c>
      <c r="D654" s="3" t="str">
        <f>VLOOKUP(Table2[[#This Row],[Tegevusala]],Table4[[Tegevusala kood]:[Tegevusala alanimetus]],4,FALSE)</f>
        <v>Alusharidus</v>
      </c>
      <c r="E654" s="3" t="str">
        <f>VLOOKUP(Table2[[#This Row],[Tegevusala nimetus2]],Table4[[Tegevusala nimetus]:[Tegevusala koondnimetus]],2,FALSE)</f>
        <v>Haridus</v>
      </c>
      <c r="F654" t="s">
        <v>1293</v>
      </c>
      <c r="G654" t="s">
        <v>1325</v>
      </c>
      <c r="H654" s="40">
        <v>250</v>
      </c>
      <c r="I654" s="2" t="s">
        <v>1327</v>
      </c>
      <c r="J654">
        <v>5515</v>
      </c>
      <c r="K654" s="3" t="str">
        <f>VLOOKUP(Table2[[#This Row],[Konto]],Table5[[Konto]:[Konto nimetus]],2,FALSE)</f>
        <v>Inventari kulud, v.a infotehnoloogia ja kaitseotstarbelised kulud</v>
      </c>
      <c r="L654">
        <v>55</v>
      </c>
      <c r="M654" t="str">
        <f t="shared" si="21"/>
        <v>55</v>
      </c>
      <c r="N654" s="3" t="str">
        <f>VLOOKUP(Table2[[#This Row],[Tulu/kulu liik2]],Table5[[Tulu/kulu liik]:[Kontode koondnimetus]],4,FALSE)</f>
        <v>Muud tegevuskulud</v>
      </c>
      <c r="O654" s="3" t="str">
        <f>VLOOKUP(Table2[[#This Row],[Tulu/kulu liik2]],Table5[],6,FALSE)</f>
        <v>Majandamiskulud</v>
      </c>
      <c r="P654" s="3" t="str">
        <f>VLOOKUP(Table2[[#This Row],[Tulu/kulu liik2]],Table5[],5,FALSE)</f>
        <v>Põhitegevuse kulu</v>
      </c>
    </row>
    <row r="655" spans="1:16" hidden="1" x14ac:dyDescent="0.25">
      <c r="A655" t="str">
        <f t="shared" si="20"/>
        <v>09</v>
      </c>
      <c r="B655" t="s">
        <v>313</v>
      </c>
      <c r="C655" s="3" t="str">
        <f>VLOOKUP(Table2[[#This Row],[Tegevusala]],Table4[],2,FALSE)</f>
        <v xml:space="preserve"> Kulina Lasteaed</v>
      </c>
      <c r="D655" s="3" t="str">
        <f>VLOOKUP(Table2[[#This Row],[Tegevusala]],Table4[[Tegevusala kood]:[Tegevusala alanimetus]],4,FALSE)</f>
        <v>Alusharidus</v>
      </c>
      <c r="E655" s="3" t="str">
        <f>VLOOKUP(Table2[[#This Row],[Tegevusala nimetus2]],Table4[[Tegevusala nimetus]:[Tegevusala koondnimetus]],2,FALSE)</f>
        <v>Haridus</v>
      </c>
      <c r="F655" t="s">
        <v>1293</v>
      </c>
      <c r="G655" t="s">
        <v>1328</v>
      </c>
      <c r="H655" s="40">
        <v>350</v>
      </c>
      <c r="I655" s="2" t="s">
        <v>1334</v>
      </c>
      <c r="J655">
        <v>5515</v>
      </c>
      <c r="K655" s="3" t="str">
        <f>VLOOKUP(Table2[[#This Row],[Konto]],Table5[[Konto]:[Konto nimetus]],2,FALSE)</f>
        <v>Inventari kulud, v.a infotehnoloogia ja kaitseotstarbelised kulud</v>
      </c>
      <c r="L655">
        <v>55</v>
      </c>
      <c r="M655" t="str">
        <f t="shared" si="21"/>
        <v>55</v>
      </c>
      <c r="N655" s="3" t="str">
        <f>VLOOKUP(Table2[[#This Row],[Tulu/kulu liik2]],Table5[[Tulu/kulu liik]:[Kontode koondnimetus]],4,FALSE)</f>
        <v>Muud tegevuskulud</v>
      </c>
      <c r="O655" s="3" t="str">
        <f>VLOOKUP(Table2[[#This Row],[Tulu/kulu liik2]],Table5[],6,FALSE)</f>
        <v>Majandamiskulud</v>
      </c>
      <c r="P655" s="3" t="str">
        <f>VLOOKUP(Table2[[#This Row],[Tulu/kulu liik2]],Table5[],5,FALSE)</f>
        <v>Põhitegevuse kulu</v>
      </c>
    </row>
    <row r="656" spans="1:16" hidden="1" x14ac:dyDescent="0.25">
      <c r="A656" t="str">
        <f t="shared" si="20"/>
        <v>09</v>
      </c>
      <c r="B656" t="s">
        <v>313</v>
      </c>
      <c r="C656" s="3" t="str">
        <f>VLOOKUP(Table2[[#This Row],[Tegevusala]],Table4[],2,FALSE)</f>
        <v xml:space="preserve"> Kulina Lasteaed</v>
      </c>
      <c r="D656" s="3" t="str">
        <f>VLOOKUP(Table2[[#This Row],[Tegevusala]],Table4[[Tegevusala kood]:[Tegevusala alanimetus]],4,FALSE)</f>
        <v>Alusharidus</v>
      </c>
      <c r="E656" s="3" t="str">
        <f>VLOOKUP(Table2[[#This Row],[Tegevusala nimetus2]],Table4[[Tegevusala nimetus]:[Tegevusala koondnimetus]],2,FALSE)</f>
        <v>Haridus</v>
      </c>
      <c r="F656" t="s">
        <v>1293</v>
      </c>
      <c r="G656" t="s">
        <v>1329</v>
      </c>
      <c r="H656" s="40">
        <v>300</v>
      </c>
      <c r="I656" s="2" t="s">
        <v>1335</v>
      </c>
      <c r="J656">
        <v>5515</v>
      </c>
      <c r="K656" s="3" t="str">
        <f>VLOOKUP(Table2[[#This Row],[Konto]],Table5[[Konto]:[Konto nimetus]],2,FALSE)</f>
        <v>Inventari kulud, v.a infotehnoloogia ja kaitseotstarbelised kulud</v>
      </c>
      <c r="L656">
        <v>55</v>
      </c>
      <c r="M656" t="str">
        <f t="shared" si="21"/>
        <v>55</v>
      </c>
      <c r="N656" s="3" t="str">
        <f>VLOOKUP(Table2[[#This Row],[Tulu/kulu liik2]],Table5[[Tulu/kulu liik]:[Kontode koondnimetus]],4,FALSE)</f>
        <v>Muud tegevuskulud</v>
      </c>
      <c r="O656" s="3" t="str">
        <f>VLOOKUP(Table2[[#This Row],[Tulu/kulu liik2]],Table5[],6,FALSE)</f>
        <v>Majandamiskulud</v>
      </c>
      <c r="P656" s="3" t="str">
        <f>VLOOKUP(Table2[[#This Row],[Tulu/kulu liik2]],Table5[],5,FALSE)</f>
        <v>Põhitegevuse kulu</v>
      </c>
    </row>
    <row r="657" spans="1:16" hidden="1" x14ac:dyDescent="0.25">
      <c r="A657" t="str">
        <f t="shared" si="20"/>
        <v>09</v>
      </c>
      <c r="B657" t="s">
        <v>313</v>
      </c>
      <c r="C657" s="3" t="str">
        <f>VLOOKUP(Table2[[#This Row],[Tegevusala]],Table4[],2,FALSE)</f>
        <v xml:space="preserve"> Kulina Lasteaed</v>
      </c>
      <c r="D657" s="3" t="str">
        <f>VLOOKUP(Table2[[#This Row],[Tegevusala]],Table4[[Tegevusala kood]:[Tegevusala alanimetus]],4,FALSE)</f>
        <v>Alusharidus</v>
      </c>
      <c r="E657" s="3" t="str">
        <f>VLOOKUP(Table2[[#This Row],[Tegevusala nimetus2]],Table4[[Tegevusala nimetus]:[Tegevusala koondnimetus]],2,FALSE)</f>
        <v>Haridus</v>
      </c>
      <c r="F657" t="s">
        <v>1293</v>
      </c>
      <c r="G657" t="s">
        <v>1330</v>
      </c>
      <c r="H657" s="40">
        <v>80</v>
      </c>
      <c r="I657" s="2" t="s">
        <v>1336</v>
      </c>
      <c r="J657">
        <v>5515</v>
      </c>
      <c r="K657" s="3" t="str">
        <f>VLOOKUP(Table2[[#This Row],[Konto]],Table5[[Konto]:[Konto nimetus]],2,FALSE)</f>
        <v>Inventari kulud, v.a infotehnoloogia ja kaitseotstarbelised kulud</v>
      </c>
      <c r="L657">
        <v>55</v>
      </c>
      <c r="M657" t="str">
        <f t="shared" si="21"/>
        <v>55</v>
      </c>
      <c r="N657" s="3" t="str">
        <f>VLOOKUP(Table2[[#This Row],[Tulu/kulu liik2]],Table5[[Tulu/kulu liik]:[Kontode koondnimetus]],4,FALSE)</f>
        <v>Muud tegevuskulud</v>
      </c>
      <c r="O657" s="3" t="str">
        <f>VLOOKUP(Table2[[#This Row],[Tulu/kulu liik2]],Table5[],6,FALSE)</f>
        <v>Majandamiskulud</v>
      </c>
      <c r="P657" s="3" t="str">
        <f>VLOOKUP(Table2[[#This Row],[Tulu/kulu liik2]],Table5[],5,FALSE)</f>
        <v>Põhitegevuse kulu</v>
      </c>
    </row>
    <row r="658" spans="1:16" hidden="1" x14ac:dyDescent="0.25">
      <c r="A658" t="str">
        <f t="shared" si="20"/>
        <v>09</v>
      </c>
      <c r="B658" t="s">
        <v>313</v>
      </c>
      <c r="C658" s="3" t="str">
        <f>VLOOKUP(Table2[[#This Row],[Tegevusala]],Table4[],2,FALSE)</f>
        <v xml:space="preserve"> Kulina Lasteaed</v>
      </c>
      <c r="D658" s="3" t="str">
        <f>VLOOKUP(Table2[[#This Row],[Tegevusala]],Table4[[Tegevusala kood]:[Tegevusala alanimetus]],4,FALSE)</f>
        <v>Alusharidus</v>
      </c>
      <c r="E658" s="3" t="str">
        <f>VLOOKUP(Table2[[#This Row],[Tegevusala nimetus2]],Table4[[Tegevusala nimetus]:[Tegevusala koondnimetus]],2,FALSE)</f>
        <v>Haridus</v>
      </c>
      <c r="F658" t="s">
        <v>1293</v>
      </c>
      <c r="G658" t="s">
        <v>1331</v>
      </c>
      <c r="H658" s="40">
        <v>75</v>
      </c>
      <c r="I658" s="2" t="s">
        <v>1337</v>
      </c>
      <c r="J658">
        <v>5515</v>
      </c>
      <c r="K658" s="3" t="str">
        <f>VLOOKUP(Table2[[#This Row],[Konto]],Table5[[Konto]:[Konto nimetus]],2,FALSE)</f>
        <v>Inventari kulud, v.a infotehnoloogia ja kaitseotstarbelised kulud</v>
      </c>
      <c r="L658">
        <v>55</v>
      </c>
      <c r="M658" t="str">
        <f t="shared" si="21"/>
        <v>55</v>
      </c>
      <c r="N658" s="3" t="str">
        <f>VLOOKUP(Table2[[#This Row],[Tulu/kulu liik2]],Table5[[Tulu/kulu liik]:[Kontode koondnimetus]],4,FALSE)</f>
        <v>Muud tegevuskulud</v>
      </c>
      <c r="O658" s="3" t="str">
        <f>VLOOKUP(Table2[[#This Row],[Tulu/kulu liik2]],Table5[],6,FALSE)</f>
        <v>Majandamiskulud</v>
      </c>
      <c r="P658" s="3" t="str">
        <f>VLOOKUP(Table2[[#This Row],[Tulu/kulu liik2]],Table5[],5,FALSE)</f>
        <v>Põhitegevuse kulu</v>
      </c>
    </row>
    <row r="659" spans="1:16" hidden="1" x14ac:dyDescent="0.25">
      <c r="A659" t="str">
        <f t="shared" si="20"/>
        <v>09</v>
      </c>
      <c r="B659" t="s">
        <v>313</v>
      </c>
      <c r="C659" s="3" t="str">
        <f>VLOOKUP(Table2[[#This Row],[Tegevusala]],Table4[],2,FALSE)</f>
        <v xml:space="preserve"> Kulina Lasteaed</v>
      </c>
      <c r="D659" s="3" t="str">
        <f>VLOOKUP(Table2[[#This Row],[Tegevusala]],Table4[[Tegevusala kood]:[Tegevusala alanimetus]],4,FALSE)</f>
        <v>Alusharidus</v>
      </c>
      <c r="E659" s="3" t="str">
        <f>VLOOKUP(Table2[[#This Row],[Tegevusala nimetus2]],Table4[[Tegevusala nimetus]:[Tegevusala koondnimetus]],2,FALSE)</f>
        <v>Haridus</v>
      </c>
      <c r="F659" t="s">
        <v>1293</v>
      </c>
      <c r="G659" t="s">
        <v>1332</v>
      </c>
      <c r="H659" s="40">
        <v>250</v>
      </c>
      <c r="I659" s="2" t="s">
        <v>1338</v>
      </c>
      <c r="J659">
        <v>5515</v>
      </c>
      <c r="K659" s="3" t="str">
        <f>VLOOKUP(Table2[[#This Row],[Konto]],Table5[[Konto]:[Konto nimetus]],2,FALSE)</f>
        <v>Inventari kulud, v.a infotehnoloogia ja kaitseotstarbelised kulud</v>
      </c>
      <c r="L659">
        <v>55</v>
      </c>
      <c r="M659" t="str">
        <f t="shared" si="21"/>
        <v>55</v>
      </c>
      <c r="N659" s="3" t="str">
        <f>VLOOKUP(Table2[[#This Row],[Tulu/kulu liik2]],Table5[[Tulu/kulu liik]:[Kontode koondnimetus]],4,FALSE)</f>
        <v>Muud tegevuskulud</v>
      </c>
      <c r="O659" s="3" t="str">
        <f>VLOOKUP(Table2[[#This Row],[Tulu/kulu liik2]],Table5[],6,FALSE)</f>
        <v>Majandamiskulud</v>
      </c>
      <c r="P659" s="3" t="str">
        <f>VLOOKUP(Table2[[#This Row],[Tulu/kulu liik2]],Table5[],5,FALSE)</f>
        <v>Põhitegevuse kulu</v>
      </c>
    </row>
    <row r="660" spans="1:16" hidden="1" x14ac:dyDescent="0.25">
      <c r="A660" t="str">
        <f t="shared" si="20"/>
        <v>09</v>
      </c>
      <c r="B660" t="s">
        <v>313</v>
      </c>
      <c r="C660" s="3" t="str">
        <f>VLOOKUP(Table2[[#This Row],[Tegevusala]],Table4[],2,FALSE)</f>
        <v xml:space="preserve"> Kulina Lasteaed</v>
      </c>
      <c r="D660" s="3" t="str">
        <f>VLOOKUP(Table2[[#This Row],[Tegevusala]],Table4[[Tegevusala kood]:[Tegevusala alanimetus]],4,FALSE)</f>
        <v>Alusharidus</v>
      </c>
      <c r="E660" s="3" t="str">
        <f>VLOOKUP(Table2[[#This Row],[Tegevusala nimetus2]],Table4[[Tegevusala nimetus]:[Tegevusala koondnimetus]],2,FALSE)</f>
        <v>Haridus</v>
      </c>
      <c r="F660" t="s">
        <v>1293</v>
      </c>
      <c r="G660" t="s">
        <v>1340</v>
      </c>
      <c r="H660" s="40">
        <v>6200</v>
      </c>
      <c r="I660" s="2" t="s">
        <v>1341</v>
      </c>
      <c r="J660">
        <v>5521</v>
      </c>
      <c r="K660" s="3" t="str">
        <f>VLOOKUP(Table2[[#This Row],[Konto]],Table5[[Konto]:[Konto nimetus]],2,FALSE)</f>
        <v>Toiduained ja toitlustusteenused</v>
      </c>
      <c r="L660">
        <v>55</v>
      </c>
      <c r="M660" t="str">
        <f t="shared" si="21"/>
        <v>55</v>
      </c>
      <c r="N660" s="3" t="str">
        <f>VLOOKUP(Table2[[#This Row],[Tulu/kulu liik2]],Table5[[Tulu/kulu liik]:[Kontode koondnimetus]],4,FALSE)</f>
        <v>Muud tegevuskulud</v>
      </c>
      <c r="O660" s="3" t="str">
        <f>VLOOKUP(Table2[[#This Row],[Tulu/kulu liik2]],Table5[],6,FALSE)</f>
        <v>Majandamiskulud</v>
      </c>
      <c r="P660" s="3" t="str">
        <f>VLOOKUP(Table2[[#This Row],[Tulu/kulu liik2]],Table5[],5,FALSE)</f>
        <v>Põhitegevuse kulu</v>
      </c>
    </row>
    <row r="661" spans="1:16" hidden="1" x14ac:dyDescent="0.25">
      <c r="A661" t="str">
        <f t="shared" si="20"/>
        <v>09</v>
      </c>
      <c r="B661" t="s">
        <v>313</v>
      </c>
      <c r="C661" s="3" t="str">
        <f>VLOOKUP(Table2[[#This Row],[Tegevusala]],Table4[],2,FALSE)</f>
        <v xml:space="preserve"> Kulina Lasteaed</v>
      </c>
      <c r="D661" s="3" t="str">
        <f>VLOOKUP(Table2[[#This Row],[Tegevusala]],Table4[[Tegevusala kood]:[Tegevusala alanimetus]],4,FALSE)</f>
        <v>Alusharidus</v>
      </c>
      <c r="E661" s="3" t="str">
        <f>VLOOKUP(Table2[[#This Row],[Tegevusala nimetus2]],Table4[[Tegevusala nimetus]:[Tegevusala koondnimetus]],2,FALSE)</f>
        <v>Haridus</v>
      </c>
      <c r="F661" t="s">
        <v>1293</v>
      </c>
      <c r="G661" t="s">
        <v>408</v>
      </c>
      <c r="H661" s="40">
        <v>120</v>
      </c>
      <c r="I661" s="2" t="s">
        <v>1342</v>
      </c>
      <c r="J661">
        <v>5522</v>
      </c>
      <c r="K661" s="3" t="str">
        <f>VLOOKUP(Table2[[#This Row],[Konto]],Table5[[Konto]:[Konto nimetus]],2,FALSE)</f>
        <v>Meditsiinikulud ja hügieenitarbed</v>
      </c>
      <c r="L661">
        <v>55</v>
      </c>
      <c r="M661" t="str">
        <f t="shared" si="21"/>
        <v>55</v>
      </c>
      <c r="N661" s="3" t="str">
        <f>VLOOKUP(Table2[[#This Row],[Tulu/kulu liik2]],Table5[[Tulu/kulu liik]:[Kontode koondnimetus]],4,FALSE)</f>
        <v>Muud tegevuskulud</v>
      </c>
      <c r="O661" s="3" t="str">
        <f>VLOOKUP(Table2[[#This Row],[Tulu/kulu liik2]],Table5[],6,FALSE)</f>
        <v>Majandamiskulud</v>
      </c>
      <c r="P661" s="3" t="str">
        <f>VLOOKUP(Table2[[#This Row],[Tulu/kulu liik2]],Table5[],5,FALSE)</f>
        <v>Põhitegevuse kulu</v>
      </c>
    </row>
    <row r="662" spans="1:16" hidden="1" x14ac:dyDescent="0.25">
      <c r="A662" t="str">
        <f t="shared" si="20"/>
        <v>09</v>
      </c>
      <c r="B662" t="s">
        <v>313</v>
      </c>
      <c r="C662" s="3" t="str">
        <f>VLOOKUP(Table2[[#This Row],[Tegevusala]],Table4[],2,FALSE)</f>
        <v xml:space="preserve"> Kulina Lasteaed</v>
      </c>
      <c r="D662" s="3" t="str">
        <f>VLOOKUP(Table2[[#This Row],[Tegevusala]],Table4[[Tegevusala kood]:[Tegevusala alanimetus]],4,FALSE)</f>
        <v>Alusharidus</v>
      </c>
      <c r="E662" s="3" t="str">
        <f>VLOOKUP(Table2[[#This Row],[Tegevusala nimetus2]],Table4[[Tegevusala nimetus]:[Tegevusala koondnimetus]],2,FALSE)</f>
        <v>Haridus</v>
      </c>
      <c r="F662" t="s">
        <v>1293</v>
      </c>
      <c r="G662" t="s">
        <v>1343</v>
      </c>
      <c r="H662" s="40">
        <v>1700</v>
      </c>
      <c r="I662" s="2" t="s">
        <v>1345</v>
      </c>
      <c r="J662">
        <v>5524</v>
      </c>
      <c r="K662" s="3" t="str">
        <f>VLOOKUP(Table2[[#This Row],[Konto]],Table5[[Konto]:[Konto nimetus]],2,FALSE)</f>
        <v>Õppevahendid</v>
      </c>
      <c r="L662">
        <v>55</v>
      </c>
      <c r="M662" t="str">
        <f t="shared" si="21"/>
        <v>55</v>
      </c>
      <c r="N662" s="3" t="str">
        <f>VLOOKUP(Table2[[#This Row],[Tulu/kulu liik2]],Table5[[Tulu/kulu liik]:[Kontode koondnimetus]],4,FALSE)</f>
        <v>Muud tegevuskulud</v>
      </c>
      <c r="O662" s="3" t="str">
        <f>VLOOKUP(Table2[[#This Row],[Tulu/kulu liik2]],Table5[],6,FALSE)</f>
        <v>Majandamiskulud</v>
      </c>
      <c r="P662" s="3" t="str">
        <f>VLOOKUP(Table2[[#This Row],[Tulu/kulu liik2]],Table5[],5,FALSE)</f>
        <v>Põhitegevuse kulu</v>
      </c>
    </row>
    <row r="663" spans="1:16" hidden="1" x14ac:dyDescent="0.25">
      <c r="A663" t="str">
        <f t="shared" si="20"/>
        <v>09</v>
      </c>
      <c r="B663" t="s">
        <v>313</v>
      </c>
      <c r="C663" s="3" t="str">
        <f>VLOOKUP(Table2[[#This Row],[Tegevusala]],Table4[],2,FALSE)</f>
        <v xml:space="preserve"> Kulina Lasteaed</v>
      </c>
      <c r="D663" s="3" t="str">
        <f>VLOOKUP(Table2[[#This Row],[Tegevusala]],Table4[[Tegevusala kood]:[Tegevusala alanimetus]],4,FALSE)</f>
        <v>Alusharidus</v>
      </c>
      <c r="E663" s="3" t="str">
        <f>VLOOKUP(Table2[[#This Row],[Tegevusala nimetus2]],Table4[[Tegevusala nimetus]:[Tegevusala koondnimetus]],2,FALSE)</f>
        <v>Haridus</v>
      </c>
      <c r="F663" t="s">
        <v>1293</v>
      </c>
      <c r="G663" t="s">
        <v>1344</v>
      </c>
      <c r="H663" s="40">
        <v>740</v>
      </c>
      <c r="I663" s="2" t="s">
        <v>1346</v>
      </c>
      <c r="J663">
        <v>5524</v>
      </c>
      <c r="K663" s="3" t="str">
        <f>VLOOKUP(Table2[[#This Row],[Konto]],Table5[[Konto]:[Konto nimetus]],2,FALSE)</f>
        <v>Õppevahendid</v>
      </c>
      <c r="L663">
        <v>55</v>
      </c>
      <c r="M663" t="str">
        <f t="shared" si="21"/>
        <v>55</v>
      </c>
      <c r="N663" s="3" t="str">
        <f>VLOOKUP(Table2[[#This Row],[Tulu/kulu liik2]],Table5[[Tulu/kulu liik]:[Kontode koondnimetus]],4,FALSE)</f>
        <v>Muud tegevuskulud</v>
      </c>
      <c r="O663" s="3" t="str">
        <f>VLOOKUP(Table2[[#This Row],[Tulu/kulu liik2]],Table5[],6,FALSE)</f>
        <v>Majandamiskulud</v>
      </c>
      <c r="P663" s="3" t="str">
        <f>VLOOKUP(Table2[[#This Row],[Tulu/kulu liik2]],Table5[],5,FALSE)</f>
        <v>Põhitegevuse kulu</v>
      </c>
    </row>
    <row r="664" spans="1:16" hidden="1" x14ac:dyDescent="0.25">
      <c r="A664" t="str">
        <f t="shared" si="20"/>
        <v>09</v>
      </c>
      <c r="B664" t="s">
        <v>313</v>
      </c>
      <c r="C664" s="3" t="str">
        <f>VLOOKUP(Table2[[#This Row],[Tegevusala]],Table4[],2,FALSE)</f>
        <v xml:space="preserve"> Kulina Lasteaed</v>
      </c>
      <c r="D664" s="3" t="str">
        <f>VLOOKUP(Table2[[#This Row],[Tegevusala]],Table4[[Tegevusala kood]:[Tegevusala alanimetus]],4,FALSE)</f>
        <v>Alusharidus</v>
      </c>
      <c r="E664" s="3" t="str">
        <f>VLOOKUP(Table2[[#This Row],[Tegevusala nimetus2]],Table4[[Tegevusala nimetus]:[Tegevusala koondnimetus]],2,FALSE)</f>
        <v>Haridus</v>
      </c>
      <c r="F664" t="s">
        <v>1293</v>
      </c>
      <c r="G664" t="s">
        <v>1347</v>
      </c>
      <c r="H664" s="40">
        <v>500</v>
      </c>
      <c r="I664" s="2" t="s">
        <v>1348</v>
      </c>
      <c r="J664">
        <v>5525</v>
      </c>
      <c r="K664" s="3" t="str">
        <f>VLOOKUP(Table2[[#This Row],[Konto]],Table5[[Konto]:[Konto nimetus]],2,FALSE)</f>
        <v>Kommunikatsiooni-, kultuuri- ja vaba aja sisustamise kulud</v>
      </c>
      <c r="L664">
        <v>55</v>
      </c>
      <c r="M664" t="str">
        <f t="shared" si="21"/>
        <v>55</v>
      </c>
      <c r="N664" s="3" t="str">
        <f>VLOOKUP(Table2[[#This Row],[Tulu/kulu liik2]],Table5[[Tulu/kulu liik]:[Kontode koondnimetus]],4,FALSE)</f>
        <v>Muud tegevuskulud</v>
      </c>
      <c r="O664" s="3" t="str">
        <f>VLOOKUP(Table2[[#This Row],[Tulu/kulu liik2]],Table5[],6,FALSE)</f>
        <v>Majandamiskulud</v>
      </c>
      <c r="P664" s="3" t="str">
        <f>VLOOKUP(Table2[[#This Row],[Tulu/kulu liik2]],Table5[],5,FALSE)</f>
        <v>Põhitegevuse kulu</v>
      </c>
    </row>
    <row r="665" spans="1:16" hidden="1" x14ac:dyDescent="0.25">
      <c r="A665" t="str">
        <f t="shared" si="20"/>
        <v>09</v>
      </c>
      <c r="B665" t="s">
        <v>313</v>
      </c>
      <c r="C665" s="3" t="str">
        <f>VLOOKUP(Table2[[#This Row],[Tegevusala]],Table4[],2,FALSE)</f>
        <v xml:space="preserve"> Kulina Lasteaed</v>
      </c>
      <c r="D665" s="3" t="str">
        <f>VLOOKUP(Table2[[#This Row],[Tegevusala]],Table4[[Tegevusala kood]:[Tegevusala alanimetus]],4,FALSE)</f>
        <v>Alusharidus</v>
      </c>
      <c r="E665" s="3" t="str">
        <f>VLOOKUP(Table2[[#This Row],[Tegevusala nimetus2]],Table4[[Tegevusala nimetus]:[Tegevusala koondnimetus]],2,FALSE)</f>
        <v>Haridus</v>
      </c>
      <c r="F665" t="s">
        <v>1293</v>
      </c>
      <c r="G665" t="s">
        <v>178</v>
      </c>
      <c r="H665" s="40">
        <v>6000</v>
      </c>
      <c r="I665" s="2" t="s">
        <v>1313</v>
      </c>
      <c r="J665">
        <v>5511</v>
      </c>
      <c r="K665" s="3" t="str">
        <f>VLOOKUP(Table2[[#This Row],[Konto]],Table5[[Konto]:[Konto nimetus]],2,FALSE)</f>
        <v>Kinnistute, hoonete ja ruumide majandamiskulud</v>
      </c>
      <c r="L665">
        <v>55</v>
      </c>
      <c r="M665" t="str">
        <f t="shared" si="21"/>
        <v>55</v>
      </c>
      <c r="N665" s="3" t="str">
        <f>VLOOKUP(Table2[[#This Row],[Tulu/kulu liik2]],Table5[[Tulu/kulu liik]:[Kontode koondnimetus]],4,FALSE)</f>
        <v>Muud tegevuskulud</v>
      </c>
      <c r="O665" s="3" t="str">
        <f>VLOOKUP(Table2[[#This Row],[Tulu/kulu liik2]],Table5[],6,FALSE)</f>
        <v>Majandamiskulud</v>
      </c>
      <c r="P665" s="3" t="str">
        <f>VLOOKUP(Table2[[#This Row],[Tulu/kulu liik2]],Table5[],5,FALSE)</f>
        <v>Põhitegevuse kulu</v>
      </c>
    </row>
    <row r="666" spans="1:16" hidden="1" x14ac:dyDescent="0.25">
      <c r="A666" t="str">
        <f t="shared" si="20"/>
        <v>09</v>
      </c>
      <c r="B666" t="s">
        <v>313</v>
      </c>
      <c r="C666" s="3" t="str">
        <f>VLOOKUP(Table2[[#This Row],[Tegevusala]],Table4[],2,FALSE)</f>
        <v xml:space="preserve"> Kulina Lasteaed</v>
      </c>
      <c r="D666" s="3" t="str">
        <f>VLOOKUP(Table2[[#This Row],[Tegevusala]],Table4[[Tegevusala kood]:[Tegevusala alanimetus]],4,FALSE)</f>
        <v>Alusharidus</v>
      </c>
      <c r="E666" s="3" t="str">
        <f>VLOOKUP(Table2[[#This Row],[Tegevusala nimetus2]],Table4[[Tegevusala nimetus]:[Tegevusala koondnimetus]],2,FALSE)</f>
        <v>Haridus</v>
      </c>
      <c r="F666" t="s">
        <v>1293</v>
      </c>
      <c r="G666" t="s">
        <v>1307</v>
      </c>
      <c r="H666" s="40">
        <v>360</v>
      </c>
      <c r="I666" s="2" t="s">
        <v>1314</v>
      </c>
      <c r="J666">
        <v>5511</v>
      </c>
      <c r="K666" s="3" t="str">
        <f>VLOOKUP(Table2[[#This Row],[Konto]],Table5[[Konto]:[Konto nimetus]],2,FALSE)</f>
        <v>Kinnistute, hoonete ja ruumide majandamiskulud</v>
      </c>
      <c r="L666">
        <v>55</v>
      </c>
      <c r="M666" t="str">
        <f t="shared" si="21"/>
        <v>55</v>
      </c>
      <c r="N666" s="3" t="str">
        <f>VLOOKUP(Table2[[#This Row],[Tulu/kulu liik2]],Table5[[Tulu/kulu liik]:[Kontode koondnimetus]],4,FALSE)</f>
        <v>Muud tegevuskulud</v>
      </c>
      <c r="O666" s="3" t="str">
        <f>VLOOKUP(Table2[[#This Row],[Tulu/kulu liik2]],Table5[],6,FALSE)</f>
        <v>Majandamiskulud</v>
      </c>
      <c r="P666" s="3" t="str">
        <f>VLOOKUP(Table2[[#This Row],[Tulu/kulu liik2]],Table5[],5,FALSE)</f>
        <v>Põhitegevuse kulu</v>
      </c>
    </row>
    <row r="667" spans="1:16" hidden="1" x14ac:dyDescent="0.25">
      <c r="A667" t="str">
        <f t="shared" si="20"/>
        <v>09</v>
      </c>
      <c r="B667" t="s">
        <v>313</v>
      </c>
      <c r="C667" s="3" t="str">
        <f>VLOOKUP(Table2[[#This Row],[Tegevusala]],Table4[],2,FALSE)</f>
        <v xml:space="preserve"> Kulina Lasteaed</v>
      </c>
      <c r="D667" s="3" t="str">
        <f>VLOOKUP(Table2[[#This Row],[Tegevusala]],Table4[[Tegevusala kood]:[Tegevusala alanimetus]],4,FALSE)</f>
        <v>Alusharidus</v>
      </c>
      <c r="E667" s="3" t="str">
        <f>VLOOKUP(Table2[[#This Row],[Tegevusala nimetus2]],Table4[[Tegevusala nimetus]:[Tegevusala koondnimetus]],2,FALSE)</f>
        <v>Haridus</v>
      </c>
      <c r="F667" t="s">
        <v>1293</v>
      </c>
      <c r="G667" t="s">
        <v>980</v>
      </c>
      <c r="H667" s="40">
        <v>600</v>
      </c>
      <c r="I667" s="2" t="s">
        <v>1315</v>
      </c>
      <c r="J667">
        <v>5511</v>
      </c>
      <c r="K667" s="3" t="str">
        <f>VLOOKUP(Table2[[#This Row],[Konto]],Table5[[Konto]:[Konto nimetus]],2,FALSE)</f>
        <v>Kinnistute, hoonete ja ruumide majandamiskulud</v>
      </c>
      <c r="L667">
        <v>55</v>
      </c>
      <c r="M667" t="str">
        <f t="shared" si="21"/>
        <v>55</v>
      </c>
      <c r="N667" s="3" t="str">
        <f>VLOOKUP(Table2[[#This Row],[Tulu/kulu liik2]],Table5[[Tulu/kulu liik]:[Kontode koondnimetus]],4,FALSE)</f>
        <v>Muud tegevuskulud</v>
      </c>
      <c r="O667" s="3" t="str">
        <f>VLOOKUP(Table2[[#This Row],[Tulu/kulu liik2]],Table5[],6,FALSE)</f>
        <v>Majandamiskulud</v>
      </c>
      <c r="P667" s="3" t="str">
        <f>VLOOKUP(Table2[[#This Row],[Tulu/kulu liik2]],Table5[],5,FALSE)</f>
        <v>Põhitegevuse kulu</v>
      </c>
    </row>
    <row r="668" spans="1:16" hidden="1" x14ac:dyDescent="0.25">
      <c r="A668" t="str">
        <f t="shared" si="20"/>
        <v>09</v>
      </c>
      <c r="B668" t="s">
        <v>313</v>
      </c>
      <c r="C668" s="3" t="str">
        <f>VLOOKUP(Table2[[#This Row],[Tegevusala]],Table4[],2,FALSE)</f>
        <v xml:space="preserve"> Kulina Lasteaed</v>
      </c>
      <c r="D668" s="3" t="str">
        <f>VLOOKUP(Table2[[#This Row],[Tegevusala]],Table4[[Tegevusala kood]:[Tegevusala alanimetus]],4,FALSE)</f>
        <v>Alusharidus</v>
      </c>
      <c r="E668" s="3" t="str">
        <f>VLOOKUP(Table2[[#This Row],[Tegevusala nimetus2]],Table4[[Tegevusala nimetus]:[Tegevusala koondnimetus]],2,FALSE)</f>
        <v>Haridus</v>
      </c>
      <c r="F668" t="s">
        <v>1293</v>
      </c>
      <c r="G668" t="s">
        <v>180</v>
      </c>
      <c r="H668" s="40">
        <v>160</v>
      </c>
      <c r="I668" s="2" t="s">
        <v>1316</v>
      </c>
      <c r="J668">
        <v>5511</v>
      </c>
      <c r="K668" s="3" t="str">
        <f>VLOOKUP(Table2[[#This Row],[Konto]],Table5[[Konto]:[Konto nimetus]],2,FALSE)</f>
        <v>Kinnistute, hoonete ja ruumide majandamiskulud</v>
      </c>
      <c r="L668">
        <v>55</v>
      </c>
      <c r="M668" t="str">
        <f t="shared" si="21"/>
        <v>55</v>
      </c>
      <c r="N668" s="3" t="str">
        <f>VLOOKUP(Table2[[#This Row],[Tulu/kulu liik2]],Table5[[Tulu/kulu liik]:[Kontode koondnimetus]],4,FALSE)</f>
        <v>Muud tegevuskulud</v>
      </c>
      <c r="O668" s="3" t="str">
        <f>VLOOKUP(Table2[[#This Row],[Tulu/kulu liik2]],Table5[],6,FALSE)</f>
        <v>Majandamiskulud</v>
      </c>
      <c r="P668" s="3" t="str">
        <f>VLOOKUP(Table2[[#This Row],[Tulu/kulu liik2]],Table5[],5,FALSE)</f>
        <v>Põhitegevuse kulu</v>
      </c>
    </row>
    <row r="669" spans="1:16" hidden="1" x14ac:dyDescent="0.25">
      <c r="A669" t="str">
        <f t="shared" si="20"/>
        <v>09</v>
      </c>
      <c r="B669" t="s">
        <v>313</v>
      </c>
      <c r="C669" s="3" t="str">
        <f>VLOOKUP(Table2[[#This Row],[Tegevusala]],Table4[],2,FALSE)</f>
        <v xml:space="preserve"> Kulina Lasteaed</v>
      </c>
      <c r="D669" s="3" t="str">
        <f>VLOOKUP(Table2[[#This Row],[Tegevusala]],Table4[[Tegevusala kood]:[Tegevusala alanimetus]],4,FALSE)</f>
        <v>Alusharidus</v>
      </c>
      <c r="E669" s="3" t="str">
        <f>VLOOKUP(Table2[[#This Row],[Tegevusala nimetus2]],Table4[[Tegevusala nimetus]:[Tegevusala koondnimetus]],2,FALSE)</f>
        <v>Haridus</v>
      </c>
      <c r="F669" t="s">
        <v>1293</v>
      </c>
      <c r="G669" t="s">
        <v>1268</v>
      </c>
      <c r="H669" s="40">
        <v>276</v>
      </c>
      <c r="I669" s="2" t="s">
        <v>1317</v>
      </c>
      <c r="J669">
        <v>5511</v>
      </c>
      <c r="K669" s="3" t="str">
        <f>VLOOKUP(Table2[[#This Row],[Konto]],Table5[[Konto]:[Konto nimetus]],2,FALSE)</f>
        <v>Kinnistute, hoonete ja ruumide majandamiskulud</v>
      </c>
      <c r="L669">
        <v>55</v>
      </c>
      <c r="M669" t="str">
        <f t="shared" si="21"/>
        <v>55</v>
      </c>
      <c r="N669" s="3" t="str">
        <f>VLOOKUP(Table2[[#This Row],[Tulu/kulu liik2]],Table5[[Tulu/kulu liik]:[Kontode koondnimetus]],4,FALSE)</f>
        <v>Muud tegevuskulud</v>
      </c>
      <c r="O669" s="3" t="str">
        <f>VLOOKUP(Table2[[#This Row],[Tulu/kulu liik2]],Table5[],6,FALSE)</f>
        <v>Majandamiskulud</v>
      </c>
      <c r="P669" s="3" t="str">
        <f>VLOOKUP(Table2[[#This Row],[Tulu/kulu liik2]],Table5[],5,FALSE)</f>
        <v>Põhitegevuse kulu</v>
      </c>
    </row>
    <row r="670" spans="1:16" hidden="1" x14ac:dyDescent="0.25">
      <c r="A670" t="str">
        <f t="shared" si="20"/>
        <v>09</v>
      </c>
      <c r="B670" t="s">
        <v>313</v>
      </c>
      <c r="C670" s="3" t="str">
        <f>VLOOKUP(Table2[[#This Row],[Tegevusala]],Table4[],2,FALSE)</f>
        <v xml:space="preserve"> Kulina Lasteaed</v>
      </c>
      <c r="D670" s="3" t="str">
        <f>VLOOKUP(Table2[[#This Row],[Tegevusala]],Table4[[Tegevusala kood]:[Tegevusala alanimetus]],4,FALSE)</f>
        <v>Alusharidus</v>
      </c>
      <c r="E670" s="3" t="str">
        <f>VLOOKUP(Table2[[#This Row],[Tegevusala nimetus2]],Table4[[Tegevusala nimetus]:[Tegevusala koondnimetus]],2,FALSE)</f>
        <v>Haridus</v>
      </c>
      <c r="F670" t="s">
        <v>1293</v>
      </c>
      <c r="G670" t="s">
        <v>1308</v>
      </c>
      <c r="H670" s="40">
        <v>145</v>
      </c>
      <c r="I670" s="2" t="s">
        <v>1318</v>
      </c>
      <c r="J670">
        <v>5511</v>
      </c>
      <c r="K670" s="3" t="str">
        <f>VLOOKUP(Table2[[#This Row],[Konto]],Table5[[Konto]:[Konto nimetus]],2,FALSE)</f>
        <v>Kinnistute, hoonete ja ruumide majandamiskulud</v>
      </c>
      <c r="L670">
        <v>55</v>
      </c>
      <c r="M670" t="str">
        <f t="shared" si="21"/>
        <v>55</v>
      </c>
      <c r="N670" s="3" t="str">
        <f>VLOOKUP(Table2[[#This Row],[Tulu/kulu liik2]],Table5[[Tulu/kulu liik]:[Kontode koondnimetus]],4,FALSE)</f>
        <v>Muud tegevuskulud</v>
      </c>
      <c r="O670" s="3" t="str">
        <f>VLOOKUP(Table2[[#This Row],[Tulu/kulu liik2]],Table5[],6,FALSE)</f>
        <v>Majandamiskulud</v>
      </c>
      <c r="P670" s="3" t="str">
        <f>VLOOKUP(Table2[[#This Row],[Tulu/kulu liik2]],Table5[],5,FALSE)</f>
        <v>Põhitegevuse kulu</v>
      </c>
    </row>
    <row r="671" spans="1:16" hidden="1" x14ac:dyDescent="0.25">
      <c r="A671" t="str">
        <f t="shared" si="20"/>
        <v>09</v>
      </c>
      <c r="B671" t="s">
        <v>313</v>
      </c>
      <c r="C671" s="3" t="str">
        <f>VLOOKUP(Table2[[#This Row],[Tegevusala]],Table4[],2,FALSE)</f>
        <v xml:space="preserve"> Kulina Lasteaed</v>
      </c>
      <c r="D671" s="3" t="str">
        <f>VLOOKUP(Table2[[#This Row],[Tegevusala]],Table4[[Tegevusala kood]:[Tegevusala alanimetus]],4,FALSE)</f>
        <v>Alusharidus</v>
      </c>
      <c r="E671" s="3" t="str">
        <f>VLOOKUP(Table2[[#This Row],[Tegevusala nimetus2]],Table4[[Tegevusala nimetus]:[Tegevusala koondnimetus]],2,FALSE)</f>
        <v>Haridus</v>
      </c>
      <c r="F671" t="s">
        <v>1293</v>
      </c>
      <c r="G671" t="s">
        <v>1309</v>
      </c>
      <c r="H671" s="40">
        <v>110</v>
      </c>
      <c r="I671" s="2" t="s">
        <v>1319</v>
      </c>
      <c r="J671">
        <v>5511</v>
      </c>
      <c r="K671" s="3" t="str">
        <f>VLOOKUP(Table2[[#This Row],[Konto]],Table5[[Konto]:[Konto nimetus]],2,FALSE)</f>
        <v>Kinnistute, hoonete ja ruumide majandamiskulud</v>
      </c>
      <c r="L671">
        <v>55</v>
      </c>
      <c r="M671" t="str">
        <f t="shared" si="21"/>
        <v>55</v>
      </c>
      <c r="N671" s="3" t="str">
        <f>VLOOKUP(Table2[[#This Row],[Tulu/kulu liik2]],Table5[[Tulu/kulu liik]:[Kontode koondnimetus]],4,FALSE)</f>
        <v>Muud tegevuskulud</v>
      </c>
      <c r="O671" s="3" t="str">
        <f>VLOOKUP(Table2[[#This Row],[Tulu/kulu liik2]],Table5[],6,FALSE)</f>
        <v>Majandamiskulud</v>
      </c>
      <c r="P671" s="3" t="str">
        <f>VLOOKUP(Table2[[#This Row],[Tulu/kulu liik2]],Table5[],5,FALSE)</f>
        <v>Põhitegevuse kulu</v>
      </c>
    </row>
    <row r="672" spans="1:16" hidden="1" x14ac:dyDescent="0.25">
      <c r="A672" t="str">
        <f t="shared" si="20"/>
        <v>09</v>
      </c>
      <c r="B672" t="s">
        <v>313</v>
      </c>
      <c r="C672" s="3" t="str">
        <f>VLOOKUP(Table2[[#This Row],[Tegevusala]],Table4[],2,FALSE)</f>
        <v xml:space="preserve"> Kulina Lasteaed</v>
      </c>
      <c r="D672" s="3" t="str">
        <f>VLOOKUP(Table2[[#This Row],[Tegevusala]],Table4[[Tegevusala kood]:[Tegevusala alanimetus]],4,FALSE)</f>
        <v>Alusharidus</v>
      </c>
      <c r="E672" s="3" t="str">
        <f>VLOOKUP(Table2[[#This Row],[Tegevusala nimetus2]],Table4[[Tegevusala nimetus]:[Tegevusala koondnimetus]],2,FALSE)</f>
        <v>Haridus</v>
      </c>
      <c r="F672" t="s">
        <v>1293</v>
      </c>
      <c r="G672" t="s">
        <v>1310</v>
      </c>
      <c r="H672" s="40">
        <v>690</v>
      </c>
      <c r="I672" s="2" t="s">
        <v>1320</v>
      </c>
      <c r="J672">
        <v>5511</v>
      </c>
      <c r="K672" s="3" t="str">
        <f>VLOOKUP(Table2[[#This Row],[Konto]],Table5[[Konto]:[Konto nimetus]],2,FALSE)</f>
        <v>Kinnistute, hoonete ja ruumide majandamiskulud</v>
      </c>
      <c r="L672">
        <v>55</v>
      </c>
      <c r="M672" t="str">
        <f t="shared" si="21"/>
        <v>55</v>
      </c>
      <c r="N672" s="3" t="str">
        <f>VLOOKUP(Table2[[#This Row],[Tulu/kulu liik2]],Table5[[Tulu/kulu liik]:[Kontode koondnimetus]],4,FALSE)</f>
        <v>Muud tegevuskulud</v>
      </c>
      <c r="O672" s="3" t="str">
        <f>VLOOKUP(Table2[[#This Row],[Tulu/kulu liik2]],Table5[],6,FALSE)</f>
        <v>Majandamiskulud</v>
      </c>
      <c r="P672" s="3" t="str">
        <f>VLOOKUP(Table2[[#This Row],[Tulu/kulu liik2]],Table5[],5,FALSE)</f>
        <v>Põhitegevuse kulu</v>
      </c>
    </row>
    <row r="673" spans="1:16" hidden="1" x14ac:dyDescent="0.25">
      <c r="A673" t="str">
        <f t="shared" si="20"/>
        <v>09</v>
      </c>
      <c r="B673" t="s">
        <v>313</v>
      </c>
      <c r="C673" s="3" t="str">
        <f>VLOOKUP(Table2[[#This Row],[Tegevusala]],Table4[],2,FALSE)</f>
        <v xml:space="preserve"> Kulina Lasteaed</v>
      </c>
      <c r="D673" s="3" t="str">
        <f>VLOOKUP(Table2[[#This Row],[Tegevusala]],Table4[[Tegevusala kood]:[Tegevusala alanimetus]],4,FALSE)</f>
        <v>Alusharidus</v>
      </c>
      <c r="E673" s="3" t="str">
        <f>VLOOKUP(Table2[[#This Row],[Tegevusala nimetus2]],Table4[[Tegevusala nimetus]:[Tegevusala koondnimetus]],2,FALSE)</f>
        <v>Haridus</v>
      </c>
      <c r="F673" t="s">
        <v>1293</v>
      </c>
      <c r="G673" t="s">
        <v>1311</v>
      </c>
      <c r="H673" s="40">
        <v>120</v>
      </c>
      <c r="I673" s="2" t="s">
        <v>1321</v>
      </c>
      <c r="J673">
        <v>5511</v>
      </c>
      <c r="K673" s="3" t="str">
        <f>VLOOKUP(Table2[[#This Row],[Konto]],Table5[[Konto]:[Konto nimetus]],2,FALSE)</f>
        <v>Kinnistute, hoonete ja ruumide majandamiskulud</v>
      </c>
      <c r="L673">
        <v>55</v>
      </c>
      <c r="M673" t="str">
        <f t="shared" si="21"/>
        <v>55</v>
      </c>
      <c r="N673" s="3" t="str">
        <f>VLOOKUP(Table2[[#This Row],[Tulu/kulu liik2]],Table5[[Tulu/kulu liik]:[Kontode koondnimetus]],4,FALSE)</f>
        <v>Muud tegevuskulud</v>
      </c>
      <c r="O673" s="3" t="str">
        <f>VLOOKUP(Table2[[#This Row],[Tulu/kulu liik2]],Table5[],6,FALSE)</f>
        <v>Majandamiskulud</v>
      </c>
      <c r="P673" s="3" t="str">
        <f>VLOOKUP(Table2[[#This Row],[Tulu/kulu liik2]],Table5[],5,FALSE)</f>
        <v>Põhitegevuse kulu</v>
      </c>
    </row>
    <row r="674" spans="1:16" hidden="1" x14ac:dyDescent="0.25">
      <c r="A674" t="str">
        <f t="shared" si="20"/>
        <v>09</v>
      </c>
      <c r="B674" t="s">
        <v>313</v>
      </c>
      <c r="C674" s="3" t="str">
        <f>VLOOKUP(Table2[[#This Row],[Tegevusala]],Table4[],2,FALSE)</f>
        <v xml:space="preserve"> Kulina Lasteaed</v>
      </c>
      <c r="D674" s="3" t="str">
        <f>VLOOKUP(Table2[[#This Row],[Tegevusala]],Table4[[Tegevusala kood]:[Tegevusala alanimetus]],4,FALSE)</f>
        <v>Alusharidus</v>
      </c>
      <c r="E674" s="3" t="str">
        <f>VLOOKUP(Table2[[#This Row],[Tegevusala nimetus2]],Table4[[Tegevusala nimetus]:[Tegevusala koondnimetus]],2,FALSE)</f>
        <v>Haridus</v>
      </c>
      <c r="F674" t="s">
        <v>1293</v>
      </c>
      <c r="G674" t="s">
        <v>1312</v>
      </c>
      <c r="H674" s="40">
        <v>200</v>
      </c>
      <c r="I674" s="2" t="s">
        <v>1322</v>
      </c>
      <c r="J674">
        <v>5511</v>
      </c>
      <c r="K674" s="3" t="str">
        <f>VLOOKUP(Table2[[#This Row],[Konto]],Table5[[Konto]:[Konto nimetus]],2,FALSE)</f>
        <v>Kinnistute, hoonete ja ruumide majandamiskulud</v>
      </c>
      <c r="L674">
        <v>55</v>
      </c>
      <c r="M674" t="str">
        <f t="shared" si="21"/>
        <v>55</v>
      </c>
      <c r="N674" s="3" t="str">
        <f>VLOOKUP(Table2[[#This Row],[Tulu/kulu liik2]],Table5[[Tulu/kulu liik]:[Kontode koondnimetus]],4,FALSE)</f>
        <v>Muud tegevuskulud</v>
      </c>
      <c r="O674" s="3" t="str">
        <f>VLOOKUP(Table2[[#This Row],[Tulu/kulu liik2]],Table5[],6,FALSE)</f>
        <v>Majandamiskulud</v>
      </c>
      <c r="P674" s="3" t="str">
        <f>VLOOKUP(Table2[[#This Row],[Tulu/kulu liik2]],Table5[],5,FALSE)</f>
        <v>Põhitegevuse kulu</v>
      </c>
    </row>
    <row r="675" spans="1:16" hidden="1" x14ac:dyDescent="0.25">
      <c r="A675" t="str">
        <f t="shared" si="20"/>
        <v>09</v>
      </c>
      <c r="B675" t="s">
        <v>313</v>
      </c>
      <c r="C675" s="3" t="str">
        <f>VLOOKUP(Table2[[#This Row],[Tegevusala]],Table4[],2,FALSE)</f>
        <v xml:space="preserve"> Kulina Lasteaed</v>
      </c>
      <c r="D675" s="3" t="str">
        <f>VLOOKUP(Table2[[#This Row],[Tegevusala]],Table4[[Tegevusala kood]:[Tegevusala alanimetus]],4,FALSE)</f>
        <v>Alusharidus</v>
      </c>
      <c r="E675" s="3" t="str">
        <f>VLOOKUP(Table2[[#This Row],[Tegevusala nimetus2]],Table4[[Tegevusala nimetus]:[Tegevusala koondnimetus]],2,FALSE)</f>
        <v>Haridus</v>
      </c>
      <c r="F675" t="s">
        <v>1293</v>
      </c>
      <c r="G675" t="s">
        <v>1333</v>
      </c>
      <c r="H675" s="40">
        <v>975</v>
      </c>
      <c r="I675" s="2" t="s">
        <v>1339</v>
      </c>
      <c r="J675">
        <v>5511</v>
      </c>
      <c r="K675" s="3" t="str">
        <f>VLOOKUP(Table2[[#This Row],[Konto]],Table5[[Konto]:[Konto nimetus]],2,FALSE)</f>
        <v>Kinnistute, hoonete ja ruumide majandamiskulud</v>
      </c>
      <c r="L675">
        <v>55</v>
      </c>
      <c r="M675" t="str">
        <f t="shared" si="21"/>
        <v>55</v>
      </c>
      <c r="N675" s="3" t="str">
        <f>VLOOKUP(Table2[[#This Row],[Tulu/kulu liik2]],Table5[[Tulu/kulu liik]:[Kontode koondnimetus]],4,FALSE)</f>
        <v>Muud tegevuskulud</v>
      </c>
      <c r="O675" s="3" t="str">
        <f>VLOOKUP(Table2[[#This Row],[Tulu/kulu liik2]],Table5[],6,FALSE)</f>
        <v>Majandamiskulud</v>
      </c>
      <c r="P675" s="3" t="str">
        <f>VLOOKUP(Table2[[#This Row],[Tulu/kulu liik2]],Table5[],5,FALSE)</f>
        <v>Põhitegevuse kulu</v>
      </c>
    </row>
    <row r="676" spans="1:16" hidden="1" x14ac:dyDescent="0.25">
      <c r="A676" t="str">
        <f t="shared" si="20"/>
        <v>09</v>
      </c>
      <c r="B676" t="s">
        <v>313</v>
      </c>
      <c r="C676" s="3" t="str">
        <f>VLOOKUP(Table2[[#This Row],[Tegevusala]],Table4[],2,FALSE)</f>
        <v xml:space="preserve"> Kulina Lasteaed</v>
      </c>
      <c r="D676" s="3" t="str">
        <f>VLOOKUP(Table2[[#This Row],[Tegevusala]],Table4[[Tegevusala kood]:[Tegevusala alanimetus]],4,FALSE)</f>
        <v>Alusharidus</v>
      </c>
      <c r="E676" s="3" t="str">
        <f>VLOOKUP(Table2[[#This Row],[Tegevusala nimetus2]],Table4[[Tegevusala nimetus]:[Tegevusala koondnimetus]],2,FALSE)</f>
        <v>Haridus</v>
      </c>
      <c r="F676" t="s">
        <v>1293</v>
      </c>
      <c r="G676" t="s">
        <v>1324</v>
      </c>
      <c r="H676" s="40">
        <v>50</v>
      </c>
      <c r="I676" s="2" t="s">
        <v>1326</v>
      </c>
      <c r="J676">
        <v>5514</v>
      </c>
      <c r="K676" s="3" t="str">
        <f>VLOOKUP(Table2[[#This Row],[Konto]],Table5[[Konto]:[Konto nimetus]],2,FALSE)</f>
        <v>Info- ja kommunikatsioonitehnoliigised kulud</v>
      </c>
      <c r="L676">
        <v>55</v>
      </c>
      <c r="M676" t="str">
        <f t="shared" si="21"/>
        <v>55</v>
      </c>
      <c r="N676" s="3" t="str">
        <f>VLOOKUP(Table2[[#This Row],[Tulu/kulu liik2]],Table5[[Tulu/kulu liik]:[Kontode koondnimetus]],4,FALSE)</f>
        <v>Muud tegevuskulud</v>
      </c>
      <c r="O676" s="3" t="str">
        <f>VLOOKUP(Table2[[#This Row],[Tulu/kulu liik2]],Table5[],6,FALSE)</f>
        <v>Majandamiskulud</v>
      </c>
      <c r="P676" s="3" t="str">
        <f>VLOOKUP(Table2[[#This Row],[Tulu/kulu liik2]],Table5[],5,FALSE)</f>
        <v>Põhitegevuse kulu</v>
      </c>
    </row>
    <row r="677" spans="1:16" hidden="1" x14ac:dyDescent="0.25">
      <c r="A677" t="str">
        <f t="shared" si="20"/>
        <v>09</v>
      </c>
      <c r="B677" t="s">
        <v>315</v>
      </c>
      <c r="C677" s="3" t="str">
        <f>VLOOKUP(Table2[[#This Row],[Tegevusala]],Table4[],2,FALSE)</f>
        <v xml:space="preserve"> Tudu Lasteaed</v>
      </c>
      <c r="D677" s="3" t="str">
        <f>VLOOKUP(Table2[[#This Row],[Tegevusala]],Table4[[Tegevusala kood]:[Tegevusala alanimetus]],4,FALSE)</f>
        <v>Alusharidus</v>
      </c>
      <c r="E677" s="3" t="str">
        <f>VLOOKUP(Table2[[#This Row],[Tegevusala nimetus2]],Table4[[Tegevusala nimetus]:[Tegevusala koondnimetus]],2,FALSE)</f>
        <v>Haridus</v>
      </c>
      <c r="F677" t="s">
        <v>1719</v>
      </c>
      <c r="G677" t="s">
        <v>1717</v>
      </c>
      <c r="H677" s="40">
        <v>100</v>
      </c>
      <c r="J677">
        <v>5504</v>
      </c>
      <c r="K677" s="3" t="str">
        <f>VLOOKUP(Table2[[#This Row],[Konto]],Table5[[Konto]:[Konto nimetus]],2,FALSE)</f>
        <v>Koolituskulud</v>
      </c>
      <c r="L677">
        <v>55</v>
      </c>
      <c r="M677" t="str">
        <f t="shared" si="21"/>
        <v>55</v>
      </c>
      <c r="N677" s="3" t="str">
        <f>VLOOKUP(Table2[[#This Row],[Tulu/kulu liik2]],Table5[[Tulu/kulu liik]:[Kontode koondnimetus]],4,FALSE)</f>
        <v>Muud tegevuskulud</v>
      </c>
      <c r="O677" s="3" t="str">
        <f>VLOOKUP(Table2[[#This Row],[Tulu/kulu liik2]],Table5[],6,FALSE)</f>
        <v>Majandamiskulud</v>
      </c>
      <c r="P677" s="3" t="str">
        <f>VLOOKUP(Table2[[#This Row],[Tulu/kulu liik2]],Table5[],5,FALSE)</f>
        <v>Põhitegevuse kulu</v>
      </c>
    </row>
    <row r="678" spans="1:16" hidden="1" x14ac:dyDescent="0.25">
      <c r="A678" t="str">
        <f t="shared" si="20"/>
        <v>09</v>
      </c>
      <c r="B678" t="s">
        <v>315</v>
      </c>
      <c r="C678" s="3" t="str">
        <f>VLOOKUP(Table2[[#This Row],[Tegevusala]],Table4[],2,FALSE)</f>
        <v xml:space="preserve"> Tudu Lasteaed</v>
      </c>
      <c r="D678" s="3" t="str">
        <f>VLOOKUP(Table2[[#This Row],[Tegevusala]],Table4[[Tegevusala kood]:[Tegevusala alanimetus]],4,FALSE)</f>
        <v>Alusharidus</v>
      </c>
      <c r="E678" s="3" t="str">
        <f>VLOOKUP(Table2[[#This Row],[Tegevusala nimetus2]],Table4[[Tegevusala nimetus]:[Tegevusala koondnimetus]],2,FALSE)</f>
        <v>Haridus</v>
      </c>
      <c r="F678" t="s">
        <v>1719</v>
      </c>
      <c r="G678" t="s">
        <v>1737</v>
      </c>
      <c r="H678" s="40">
        <v>4073</v>
      </c>
      <c r="J678">
        <v>5521</v>
      </c>
      <c r="K678" s="3" t="str">
        <f>VLOOKUP(Table2[[#This Row],[Konto]],Table5[[Konto]:[Konto nimetus]],2,FALSE)</f>
        <v>Toiduained ja toitlustusteenused</v>
      </c>
      <c r="L678">
        <v>55</v>
      </c>
      <c r="M678" t="str">
        <f t="shared" si="21"/>
        <v>55</v>
      </c>
      <c r="N678" s="3" t="str">
        <f>VLOOKUP(Table2[[#This Row],[Tulu/kulu liik2]],Table5[[Tulu/kulu liik]:[Kontode koondnimetus]],4,FALSE)</f>
        <v>Muud tegevuskulud</v>
      </c>
      <c r="O678" s="3" t="str">
        <f>VLOOKUP(Table2[[#This Row],[Tulu/kulu liik2]],Table5[],6,FALSE)</f>
        <v>Majandamiskulud</v>
      </c>
      <c r="P678" s="3" t="str">
        <f>VLOOKUP(Table2[[#This Row],[Tulu/kulu liik2]],Table5[],5,FALSE)</f>
        <v>Põhitegevuse kulu</v>
      </c>
    </row>
    <row r="679" spans="1:16" hidden="1" x14ac:dyDescent="0.25">
      <c r="A679" t="str">
        <f t="shared" si="20"/>
        <v>09</v>
      </c>
      <c r="B679" t="s">
        <v>315</v>
      </c>
      <c r="C679" s="3" t="str">
        <f>VLOOKUP(Table2[[#This Row],[Tegevusala]],Table4[],2,FALSE)</f>
        <v xml:space="preserve"> Tudu Lasteaed</v>
      </c>
      <c r="D679" s="3" t="str">
        <f>VLOOKUP(Table2[[#This Row],[Tegevusala]],Table4[[Tegevusala kood]:[Tegevusala alanimetus]],4,FALSE)</f>
        <v>Alusharidus</v>
      </c>
      <c r="E679" s="3" t="str">
        <f>VLOOKUP(Table2[[#This Row],[Tegevusala nimetus2]],Table4[[Tegevusala nimetus]:[Tegevusala koondnimetus]],2,FALSE)</f>
        <v>Haridus</v>
      </c>
      <c r="F679" t="s">
        <v>1719</v>
      </c>
      <c r="G679" t="s">
        <v>1740</v>
      </c>
      <c r="H679" s="40">
        <v>150</v>
      </c>
      <c r="J679">
        <v>5524</v>
      </c>
      <c r="K679" s="3" t="str">
        <f>VLOOKUP(Table2[[#This Row],[Konto]],Table5[[Konto]:[Konto nimetus]],2,FALSE)</f>
        <v>Õppevahendid</v>
      </c>
      <c r="L679">
        <v>55</v>
      </c>
      <c r="M679" t="str">
        <f t="shared" si="21"/>
        <v>55</v>
      </c>
      <c r="N679" s="3" t="str">
        <f>VLOOKUP(Table2[[#This Row],[Tulu/kulu liik2]],Table5[[Tulu/kulu liik]:[Kontode koondnimetus]],4,FALSE)</f>
        <v>Muud tegevuskulud</v>
      </c>
      <c r="O679" s="3" t="str">
        <f>VLOOKUP(Table2[[#This Row],[Tulu/kulu liik2]],Table5[],6,FALSE)</f>
        <v>Majandamiskulud</v>
      </c>
      <c r="P679" s="3" t="str">
        <f>VLOOKUP(Table2[[#This Row],[Tulu/kulu liik2]],Table5[],5,FALSE)</f>
        <v>Põhitegevuse kulu</v>
      </c>
    </row>
    <row r="680" spans="1:16" hidden="1" x14ac:dyDescent="0.25">
      <c r="A680" t="str">
        <f t="shared" si="20"/>
        <v>09</v>
      </c>
      <c r="B680" t="s">
        <v>315</v>
      </c>
      <c r="C680" s="3" t="str">
        <f>VLOOKUP(Table2[[#This Row],[Tegevusala]],Table4[],2,FALSE)</f>
        <v xml:space="preserve"> Tudu Lasteaed</v>
      </c>
      <c r="D680" s="3" t="str">
        <f>VLOOKUP(Table2[[#This Row],[Tegevusala]],Table4[[Tegevusala kood]:[Tegevusala alanimetus]],4,FALSE)</f>
        <v>Alusharidus</v>
      </c>
      <c r="E680" s="3" t="str">
        <f>VLOOKUP(Table2[[#This Row],[Tegevusala nimetus2]],Table4[[Tegevusala nimetus]:[Tegevusala koondnimetus]],2,FALSE)</f>
        <v>Haridus</v>
      </c>
      <c r="F680" t="s">
        <v>1719</v>
      </c>
      <c r="G680" t="s">
        <v>218</v>
      </c>
      <c r="H680" s="40">
        <v>50</v>
      </c>
      <c r="J680">
        <v>5524</v>
      </c>
      <c r="K680" s="3" t="str">
        <f>VLOOKUP(Table2[[#This Row],[Konto]],Table5[[Konto]:[Konto nimetus]],2,FALSE)</f>
        <v>Õppevahendid</v>
      </c>
      <c r="L680">
        <v>55</v>
      </c>
      <c r="M680" t="str">
        <f t="shared" si="21"/>
        <v>55</v>
      </c>
      <c r="N680" s="3" t="str">
        <f>VLOOKUP(Table2[[#This Row],[Tulu/kulu liik2]],Table5[[Tulu/kulu liik]:[Kontode koondnimetus]],4,FALSE)</f>
        <v>Muud tegevuskulud</v>
      </c>
      <c r="O680" s="3" t="str">
        <f>VLOOKUP(Table2[[#This Row],[Tulu/kulu liik2]],Table5[],6,FALSE)</f>
        <v>Majandamiskulud</v>
      </c>
      <c r="P680" s="3" t="str">
        <f>VLOOKUP(Table2[[#This Row],[Tulu/kulu liik2]],Table5[],5,FALSE)</f>
        <v>Põhitegevuse kulu</v>
      </c>
    </row>
    <row r="681" spans="1:16" hidden="1" x14ac:dyDescent="0.25">
      <c r="A681" t="str">
        <f t="shared" si="20"/>
        <v>09</v>
      </c>
      <c r="B681" t="s">
        <v>315</v>
      </c>
      <c r="C681" s="3" t="str">
        <f>VLOOKUP(Table2[[#This Row],[Tegevusala]],Table4[],2,FALSE)</f>
        <v xml:space="preserve"> Tudu Lasteaed</v>
      </c>
      <c r="D681" s="3" t="str">
        <f>VLOOKUP(Table2[[#This Row],[Tegevusala]],Table4[[Tegevusala kood]:[Tegevusala alanimetus]],4,FALSE)</f>
        <v>Alusharidus</v>
      </c>
      <c r="E681" s="3" t="str">
        <f>VLOOKUP(Table2[[#This Row],[Tegevusala nimetus2]],Table4[[Tegevusala nimetus]:[Tegevusala koondnimetus]],2,FALSE)</f>
        <v>Haridus</v>
      </c>
      <c r="F681" t="s">
        <v>1719</v>
      </c>
      <c r="G681" t="s">
        <v>1741</v>
      </c>
      <c r="H681" s="40">
        <v>150</v>
      </c>
      <c r="J681">
        <v>5524</v>
      </c>
      <c r="K681" s="3" t="str">
        <f>VLOOKUP(Table2[[#This Row],[Konto]],Table5[[Konto]:[Konto nimetus]],2,FALSE)</f>
        <v>Õppevahendid</v>
      </c>
      <c r="L681">
        <v>55</v>
      </c>
      <c r="M681" t="str">
        <f t="shared" si="21"/>
        <v>55</v>
      </c>
      <c r="N681" s="3" t="str">
        <f>VLOOKUP(Table2[[#This Row],[Tulu/kulu liik2]],Table5[[Tulu/kulu liik]:[Kontode koondnimetus]],4,FALSE)</f>
        <v>Muud tegevuskulud</v>
      </c>
      <c r="O681" s="3" t="str">
        <f>VLOOKUP(Table2[[#This Row],[Tulu/kulu liik2]],Table5[],6,FALSE)</f>
        <v>Majandamiskulud</v>
      </c>
      <c r="P681" s="3" t="str">
        <f>VLOOKUP(Table2[[#This Row],[Tulu/kulu liik2]],Table5[],5,FALSE)</f>
        <v>Põhitegevuse kulu</v>
      </c>
    </row>
    <row r="682" spans="1:16" hidden="1" x14ac:dyDescent="0.25">
      <c r="A682" t="str">
        <f t="shared" si="20"/>
        <v>09</v>
      </c>
      <c r="B682" t="s">
        <v>315</v>
      </c>
      <c r="C682" s="3" t="str">
        <f>VLOOKUP(Table2[[#This Row],[Tegevusala]],Table4[],2,FALSE)</f>
        <v xml:space="preserve"> Tudu Lasteaed</v>
      </c>
      <c r="D682" s="3" t="str">
        <f>VLOOKUP(Table2[[#This Row],[Tegevusala]],Table4[[Tegevusala kood]:[Tegevusala alanimetus]],4,FALSE)</f>
        <v>Alusharidus</v>
      </c>
      <c r="E682" s="3" t="str">
        <f>VLOOKUP(Table2[[#This Row],[Tegevusala nimetus2]],Table4[[Tegevusala nimetus]:[Tegevusala koondnimetus]],2,FALSE)</f>
        <v>Haridus</v>
      </c>
      <c r="F682" t="s">
        <v>1719</v>
      </c>
      <c r="G682" t="s">
        <v>1742</v>
      </c>
      <c r="H682" s="40">
        <v>900</v>
      </c>
      <c r="J682">
        <v>5524</v>
      </c>
      <c r="K682" s="3" t="str">
        <f>VLOOKUP(Table2[[#This Row],[Konto]],Table5[[Konto]:[Konto nimetus]],2,FALSE)</f>
        <v>Õppevahendid</v>
      </c>
      <c r="L682">
        <v>55</v>
      </c>
      <c r="M682" t="str">
        <f t="shared" si="21"/>
        <v>55</v>
      </c>
      <c r="N682" s="3" t="str">
        <f>VLOOKUP(Table2[[#This Row],[Tulu/kulu liik2]],Table5[[Tulu/kulu liik]:[Kontode koondnimetus]],4,FALSE)</f>
        <v>Muud tegevuskulud</v>
      </c>
      <c r="O682" s="3" t="str">
        <f>VLOOKUP(Table2[[#This Row],[Tulu/kulu liik2]],Table5[],6,FALSE)</f>
        <v>Majandamiskulud</v>
      </c>
      <c r="P682" s="3" t="str">
        <f>VLOOKUP(Table2[[#This Row],[Tulu/kulu liik2]],Table5[],5,FALSE)</f>
        <v>Põhitegevuse kulu</v>
      </c>
    </row>
    <row r="683" spans="1:16" hidden="1" x14ac:dyDescent="0.25">
      <c r="A683" t="str">
        <f t="shared" si="20"/>
        <v>09</v>
      </c>
      <c r="B683" t="s">
        <v>317</v>
      </c>
      <c r="C683" s="3" t="str">
        <f>VLOOKUP(Table2[[#This Row],[Tegevusala]],Table4[],2,FALSE)</f>
        <v xml:space="preserve"> Ulvi Lasteaed</v>
      </c>
      <c r="D683" s="3" t="str">
        <f>VLOOKUP(Table2[[#This Row],[Tegevusala]],Table4[[Tegevusala kood]:[Tegevusala alanimetus]],4,FALSE)</f>
        <v>Alusharidus</v>
      </c>
      <c r="E683" s="3" t="str">
        <f>VLOOKUP(Table2[[#This Row],[Tegevusala nimetus2]],Table4[[Tegevusala nimetus]:[Tegevusala koondnimetus]],2,FALSE)</f>
        <v>Haridus</v>
      </c>
      <c r="F683" t="s">
        <v>1353</v>
      </c>
      <c r="G683" t="s">
        <v>391</v>
      </c>
      <c r="H683" s="40">
        <v>600</v>
      </c>
      <c r="J683">
        <v>5504</v>
      </c>
      <c r="K683" s="3" t="str">
        <f>VLOOKUP(Table2[[#This Row],[Konto]],Table5[[Konto]:[Konto nimetus]],2,FALSE)</f>
        <v>Koolituskulud</v>
      </c>
      <c r="L683">
        <v>55</v>
      </c>
      <c r="M683" t="str">
        <f t="shared" si="21"/>
        <v>55</v>
      </c>
      <c r="N683" s="3" t="str">
        <f>VLOOKUP(Table2[[#This Row],[Tulu/kulu liik2]],Table5[[Tulu/kulu liik]:[Kontode koondnimetus]],4,FALSE)</f>
        <v>Muud tegevuskulud</v>
      </c>
      <c r="O683" s="3" t="str">
        <f>VLOOKUP(Table2[[#This Row],[Tulu/kulu liik2]],Table5[],6,FALSE)</f>
        <v>Majandamiskulud</v>
      </c>
      <c r="P683" s="3" t="str">
        <f>VLOOKUP(Table2[[#This Row],[Tulu/kulu liik2]],Table5[],5,FALSE)</f>
        <v>Põhitegevuse kulu</v>
      </c>
    </row>
    <row r="684" spans="1:16" hidden="1" x14ac:dyDescent="0.25">
      <c r="A684" t="str">
        <f t="shared" si="20"/>
        <v>09</v>
      </c>
      <c r="B684" t="s">
        <v>317</v>
      </c>
      <c r="C684" s="3" t="str">
        <f>VLOOKUP(Table2[[#This Row],[Tegevusala]],Table4[],2,FALSE)</f>
        <v xml:space="preserve"> Ulvi Lasteaed</v>
      </c>
      <c r="D684" s="3" t="str">
        <f>VLOOKUP(Table2[[#This Row],[Tegevusala]],Table4[[Tegevusala kood]:[Tegevusala alanimetus]],4,FALSE)</f>
        <v>Alusharidus</v>
      </c>
      <c r="E684" s="3" t="str">
        <f>VLOOKUP(Table2[[#This Row],[Tegevusala nimetus2]],Table4[[Tegevusala nimetus]:[Tegevusala koondnimetus]],2,FALSE)</f>
        <v>Haridus</v>
      </c>
      <c r="F684" t="s">
        <v>1353</v>
      </c>
      <c r="G684" t="s">
        <v>1361</v>
      </c>
      <c r="H684" s="40">
        <v>150</v>
      </c>
      <c r="J684">
        <v>5515</v>
      </c>
      <c r="K684" s="3" t="str">
        <f>VLOOKUP(Table2[[#This Row],[Konto]],Table5[[Konto]:[Konto nimetus]],2,FALSE)</f>
        <v>Inventari kulud, v.a infotehnoloogia ja kaitseotstarbelised kulud</v>
      </c>
      <c r="L684">
        <v>55</v>
      </c>
      <c r="M684" t="str">
        <f t="shared" si="21"/>
        <v>55</v>
      </c>
      <c r="N684" s="3" t="str">
        <f>VLOOKUP(Table2[[#This Row],[Tulu/kulu liik2]],Table5[[Tulu/kulu liik]:[Kontode koondnimetus]],4,FALSE)</f>
        <v>Muud tegevuskulud</v>
      </c>
      <c r="O684" s="3" t="str">
        <f>VLOOKUP(Table2[[#This Row],[Tulu/kulu liik2]],Table5[],6,FALSE)</f>
        <v>Majandamiskulud</v>
      </c>
      <c r="P684" s="3" t="str">
        <f>VLOOKUP(Table2[[#This Row],[Tulu/kulu liik2]],Table5[],5,FALSE)</f>
        <v>Põhitegevuse kulu</v>
      </c>
    </row>
    <row r="685" spans="1:16" hidden="1" x14ac:dyDescent="0.25">
      <c r="A685" t="str">
        <f t="shared" si="20"/>
        <v>09</v>
      </c>
      <c r="B685" t="s">
        <v>317</v>
      </c>
      <c r="C685" s="3" t="str">
        <f>VLOOKUP(Table2[[#This Row],[Tegevusala]],Table4[],2,FALSE)</f>
        <v xml:space="preserve"> Ulvi Lasteaed</v>
      </c>
      <c r="D685" s="3" t="str">
        <f>VLOOKUP(Table2[[#This Row],[Tegevusala]],Table4[[Tegevusala kood]:[Tegevusala alanimetus]],4,FALSE)</f>
        <v>Alusharidus</v>
      </c>
      <c r="E685" s="3" t="str">
        <f>VLOOKUP(Table2[[#This Row],[Tegevusala nimetus2]],Table4[[Tegevusala nimetus]:[Tegevusala koondnimetus]],2,FALSE)</f>
        <v>Haridus</v>
      </c>
      <c r="F685" t="s">
        <v>1353</v>
      </c>
      <c r="G685" t="s">
        <v>1362</v>
      </c>
      <c r="H685" s="40">
        <v>200</v>
      </c>
      <c r="I685" s="2" t="s">
        <v>1363</v>
      </c>
      <c r="J685">
        <v>5515</v>
      </c>
      <c r="K685" s="3" t="str">
        <f>VLOOKUP(Table2[[#This Row],[Konto]],Table5[[Konto]:[Konto nimetus]],2,FALSE)</f>
        <v>Inventari kulud, v.a infotehnoloogia ja kaitseotstarbelised kulud</v>
      </c>
      <c r="L685">
        <v>55</v>
      </c>
      <c r="M685" t="str">
        <f t="shared" si="21"/>
        <v>55</v>
      </c>
      <c r="N685" s="3" t="str">
        <f>VLOOKUP(Table2[[#This Row],[Tulu/kulu liik2]],Table5[[Tulu/kulu liik]:[Kontode koondnimetus]],4,FALSE)</f>
        <v>Muud tegevuskulud</v>
      </c>
      <c r="O685" s="3" t="str">
        <f>VLOOKUP(Table2[[#This Row],[Tulu/kulu liik2]],Table5[],6,FALSE)</f>
        <v>Majandamiskulud</v>
      </c>
      <c r="P685" s="3" t="str">
        <f>VLOOKUP(Table2[[#This Row],[Tulu/kulu liik2]],Table5[],5,FALSE)</f>
        <v>Põhitegevuse kulu</v>
      </c>
    </row>
    <row r="686" spans="1:16" hidden="1" x14ac:dyDescent="0.25">
      <c r="A686" t="str">
        <f t="shared" si="20"/>
        <v>09</v>
      </c>
      <c r="B686" t="s">
        <v>317</v>
      </c>
      <c r="C686" s="3" t="str">
        <f>VLOOKUP(Table2[[#This Row],[Tegevusala]],Table4[],2,FALSE)</f>
        <v xml:space="preserve"> Ulvi Lasteaed</v>
      </c>
      <c r="D686" s="3" t="str">
        <f>VLOOKUP(Table2[[#This Row],[Tegevusala]],Table4[[Tegevusala kood]:[Tegevusala alanimetus]],4,FALSE)</f>
        <v>Alusharidus</v>
      </c>
      <c r="E686" s="3" t="str">
        <f>VLOOKUP(Table2[[#This Row],[Tegevusala nimetus2]],Table4[[Tegevusala nimetus]:[Tegevusala koondnimetus]],2,FALSE)</f>
        <v>Haridus</v>
      </c>
      <c r="F686" t="s">
        <v>1353</v>
      </c>
      <c r="G686" t="s">
        <v>1364</v>
      </c>
      <c r="H686" s="40">
        <v>100</v>
      </c>
      <c r="J686">
        <v>5515</v>
      </c>
      <c r="K686" s="3" t="str">
        <f>VLOOKUP(Table2[[#This Row],[Konto]],Table5[[Konto]:[Konto nimetus]],2,FALSE)</f>
        <v>Inventari kulud, v.a infotehnoloogia ja kaitseotstarbelised kulud</v>
      </c>
      <c r="L686">
        <v>55</v>
      </c>
      <c r="M686" t="str">
        <f t="shared" si="21"/>
        <v>55</v>
      </c>
      <c r="N686" s="3" t="str">
        <f>VLOOKUP(Table2[[#This Row],[Tulu/kulu liik2]],Table5[[Tulu/kulu liik]:[Kontode koondnimetus]],4,FALSE)</f>
        <v>Muud tegevuskulud</v>
      </c>
      <c r="O686" s="3" t="str">
        <f>VLOOKUP(Table2[[#This Row],[Tulu/kulu liik2]],Table5[],6,FALSE)</f>
        <v>Majandamiskulud</v>
      </c>
      <c r="P686" s="3" t="str">
        <f>VLOOKUP(Table2[[#This Row],[Tulu/kulu liik2]],Table5[],5,FALSE)</f>
        <v>Põhitegevuse kulu</v>
      </c>
    </row>
    <row r="687" spans="1:16" hidden="1" x14ac:dyDescent="0.25">
      <c r="A687" t="str">
        <f t="shared" si="20"/>
        <v>09</v>
      </c>
      <c r="B687" t="s">
        <v>317</v>
      </c>
      <c r="C687" s="3" t="str">
        <f>VLOOKUP(Table2[[#This Row],[Tegevusala]],Table4[],2,FALSE)</f>
        <v xml:space="preserve"> Ulvi Lasteaed</v>
      </c>
      <c r="D687" s="3" t="str">
        <f>VLOOKUP(Table2[[#This Row],[Tegevusala]],Table4[[Tegevusala kood]:[Tegevusala alanimetus]],4,FALSE)</f>
        <v>Alusharidus</v>
      </c>
      <c r="E687" s="3" t="str">
        <f>VLOOKUP(Table2[[#This Row],[Tegevusala nimetus2]],Table4[[Tegevusala nimetus]:[Tegevusala koondnimetus]],2,FALSE)</f>
        <v>Haridus</v>
      </c>
      <c r="F687" t="s">
        <v>1353</v>
      </c>
      <c r="G687" t="s">
        <v>1365</v>
      </c>
      <c r="H687" s="40">
        <v>600</v>
      </c>
      <c r="I687" s="2" t="s">
        <v>1366</v>
      </c>
      <c r="J687">
        <v>5515</v>
      </c>
      <c r="K687" s="3" t="str">
        <f>VLOOKUP(Table2[[#This Row],[Konto]],Table5[[Konto]:[Konto nimetus]],2,FALSE)</f>
        <v>Inventari kulud, v.a infotehnoloogia ja kaitseotstarbelised kulud</v>
      </c>
      <c r="L687">
        <v>55</v>
      </c>
      <c r="M687" t="str">
        <f t="shared" si="21"/>
        <v>55</v>
      </c>
      <c r="N687" s="3" t="str">
        <f>VLOOKUP(Table2[[#This Row],[Tulu/kulu liik2]],Table5[[Tulu/kulu liik]:[Kontode koondnimetus]],4,FALSE)</f>
        <v>Muud tegevuskulud</v>
      </c>
      <c r="O687" s="3" t="str">
        <f>VLOOKUP(Table2[[#This Row],[Tulu/kulu liik2]],Table5[],6,FALSE)</f>
        <v>Majandamiskulud</v>
      </c>
      <c r="P687" s="3" t="str">
        <f>VLOOKUP(Table2[[#This Row],[Tulu/kulu liik2]],Table5[],5,FALSE)</f>
        <v>Põhitegevuse kulu</v>
      </c>
    </row>
    <row r="688" spans="1:16" hidden="1" x14ac:dyDescent="0.25">
      <c r="A688" t="str">
        <f t="shared" si="20"/>
        <v>09</v>
      </c>
      <c r="B688" t="s">
        <v>317</v>
      </c>
      <c r="C688" s="3" t="str">
        <f>VLOOKUP(Table2[[#This Row],[Tegevusala]],Table4[],2,FALSE)</f>
        <v xml:space="preserve"> Ulvi Lasteaed</v>
      </c>
      <c r="D688" s="3" t="str">
        <f>VLOOKUP(Table2[[#This Row],[Tegevusala]],Table4[[Tegevusala kood]:[Tegevusala alanimetus]],4,FALSE)</f>
        <v>Alusharidus</v>
      </c>
      <c r="E688" s="3" t="str">
        <f>VLOOKUP(Table2[[#This Row],[Tegevusala nimetus2]],Table4[[Tegevusala nimetus]:[Tegevusala koondnimetus]],2,FALSE)</f>
        <v>Haridus</v>
      </c>
      <c r="F688" t="s">
        <v>1353</v>
      </c>
      <c r="G688" t="s">
        <v>1367</v>
      </c>
      <c r="H688" s="40">
        <v>500</v>
      </c>
      <c r="I688" s="2" t="s">
        <v>1366</v>
      </c>
      <c r="J688">
        <v>5515</v>
      </c>
      <c r="K688" s="3" t="str">
        <f>VLOOKUP(Table2[[#This Row],[Konto]],Table5[[Konto]:[Konto nimetus]],2,FALSE)</f>
        <v>Inventari kulud, v.a infotehnoloogia ja kaitseotstarbelised kulud</v>
      </c>
      <c r="L688">
        <v>55</v>
      </c>
      <c r="M688" t="str">
        <f t="shared" si="21"/>
        <v>55</v>
      </c>
      <c r="N688" s="3" t="str">
        <f>VLOOKUP(Table2[[#This Row],[Tulu/kulu liik2]],Table5[[Tulu/kulu liik]:[Kontode koondnimetus]],4,FALSE)</f>
        <v>Muud tegevuskulud</v>
      </c>
      <c r="O688" s="3" t="str">
        <f>VLOOKUP(Table2[[#This Row],[Tulu/kulu liik2]],Table5[],6,FALSE)</f>
        <v>Majandamiskulud</v>
      </c>
      <c r="P688" s="3" t="str">
        <f>VLOOKUP(Table2[[#This Row],[Tulu/kulu liik2]],Table5[],5,FALSE)</f>
        <v>Põhitegevuse kulu</v>
      </c>
    </row>
    <row r="689" spans="1:16" hidden="1" x14ac:dyDescent="0.25">
      <c r="A689" t="str">
        <f t="shared" si="20"/>
        <v>09</v>
      </c>
      <c r="B689" t="s">
        <v>317</v>
      </c>
      <c r="C689" s="3" t="str">
        <f>VLOOKUP(Table2[[#This Row],[Tegevusala]],Table4[],2,FALSE)</f>
        <v xml:space="preserve"> Ulvi Lasteaed</v>
      </c>
      <c r="D689" s="3" t="str">
        <f>VLOOKUP(Table2[[#This Row],[Tegevusala]],Table4[[Tegevusala kood]:[Tegevusala alanimetus]],4,FALSE)</f>
        <v>Alusharidus</v>
      </c>
      <c r="E689" s="3" t="str">
        <f>VLOOKUP(Table2[[#This Row],[Tegevusala nimetus2]],Table4[[Tegevusala nimetus]:[Tegevusala koondnimetus]],2,FALSE)</f>
        <v>Haridus</v>
      </c>
      <c r="F689" t="s">
        <v>1353</v>
      </c>
      <c r="G689" t="s">
        <v>1368</v>
      </c>
      <c r="H689" s="40">
        <v>500</v>
      </c>
      <c r="I689" s="2" t="s">
        <v>1369</v>
      </c>
      <c r="J689">
        <v>5515</v>
      </c>
      <c r="K689" s="3" t="str">
        <f>VLOOKUP(Table2[[#This Row],[Konto]],Table5[[Konto]:[Konto nimetus]],2,FALSE)</f>
        <v>Inventari kulud, v.a infotehnoloogia ja kaitseotstarbelised kulud</v>
      </c>
      <c r="L689">
        <v>55</v>
      </c>
      <c r="M689" t="str">
        <f t="shared" si="21"/>
        <v>55</v>
      </c>
      <c r="N689" s="3" t="str">
        <f>VLOOKUP(Table2[[#This Row],[Tulu/kulu liik2]],Table5[[Tulu/kulu liik]:[Kontode koondnimetus]],4,FALSE)</f>
        <v>Muud tegevuskulud</v>
      </c>
      <c r="O689" s="3" t="str">
        <f>VLOOKUP(Table2[[#This Row],[Tulu/kulu liik2]],Table5[],6,FALSE)</f>
        <v>Majandamiskulud</v>
      </c>
      <c r="P689" s="3" t="str">
        <f>VLOOKUP(Table2[[#This Row],[Tulu/kulu liik2]],Table5[],5,FALSE)</f>
        <v>Põhitegevuse kulu</v>
      </c>
    </row>
    <row r="690" spans="1:16" hidden="1" x14ac:dyDescent="0.25">
      <c r="A690" t="str">
        <f t="shared" si="20"/>
        <v>09</v>
      </c>
      <c r="B690" t="s">
        <v>317</v>
      </c>
      <c r="C690" s="3" t="str">
        <f>VLOOKUP(Table2[[#This Row],[Tegevusala]],Table4[],2,FALSE)</f>
        <v xml:space="preserve"> Ulvi Lasteaed</v>
      </c>
      <c r="D690" s="3" t="str">
        <f>VLOOKUP(Table2[[#This Row],[Tegevusala]],Table4[[Tegevusala kood]:[Tegevusala alanimetus]],4,FALSE)</f>
        <v>Alusharidus</v>
      </c>
      <c r="E690" s="3" t="str">
        <f>VLOOKUP(Table2[[#This Row],[Tegevusala nimetus2]],Table4[[Tegevusala nimetus]:[Tegevusala koondnimetus]],2,FALSE)</f>
        <v>Haridus</v>
      </c>
      <c r="F690" t="s">
        <v>1353</v>
      </c>
      <c r="G690" t="s">
        <v>1370</v>
      </c>
      <c r="H690" s="40">
        <v>7000</v>
      </c>
      <c r="J690">
        <v>5521</v>
      </c>
      <c r="K690" s="3" t="str">
        <f>VLOOKUP(Table2[[#This Row],[Konto]],Table5[[Konto]:[Konto nimetus]],2,FALSE)</f>
        <v>Toiduained ja toitlustusteenused</v>
      </c>
      <c r="L690">
        <v>55</v>
      </c>
      <c r="M690" t="str">
        <f t="shared" si="21"/>
        <v>55</v>
      </c>
      <c r="N690" s="3" t="str">
        <f>VLOOKUP(Table2[[#This Row],[Tulu/kulu liik2]],Table5[[Tulu/kulu liik]:[Kontode koondnimetus]],4,FALSE)</f>
        <v>Muud tegevuskulud</v>
      </c>
      <c r="O690" s="3" t="str">
        <f>VLOOKUP(Table2[[#This Row],[Tulu/kulu liik2]],Table5[],6,FALSE)</f>
        <v>Majandamiskulud</v>
      </c>
      <c r="P690" s="3" t="str">
        <f>VLOOKUP(Table2[[#This Row],[Tulu/kulu liik2]],Table5[],5,FALSE)</f>
        <v>Põhitegevuse kulu</v>
      </c>
    </row>
    <row r="691" spans="1:16" hidden="1" x14ac:dyDescent="0.25">
      <c r="A691" t="str">
        <f t="shared" si="20"/>
        <v>09</v>
      </c>
      <c r="B691" t="s">
        <v>317</v>
      </c>
      <c r="C691" s="3" t="str">
        <f>VLOOKUP(Table2[[#This Row],[Tegevusala]],Table4[],2,FALSE)</f>
        <v xml:space="preserve"> Ulvi Lasteaed</v>
      </c>
      <c r="D691" s="3" t="str">
        <f>VLOOKUP(Table2[[#This Row],[Tegevusala]],Table4[[Tegevusala kood]:[Tegevusala alanimetus]],4,FALSE)</f>
        <v>Alusharidus</v>
      </c>
      <c r="E691" s="3" t="str">
        <f>VLOOKUP(Table2[[#This Row],[Tegevusala nimetus2]],Table4[[Tegevusala nimetus]:[Tegevusala koondnimetus]],2,FALSE)</f>
        <v>Haridus</v>
      </c>
      <c r="F691" t="s">
        <v>1353</v>
      </c>
      <c r="G691" t="s">
        <v>1371</v>
      </c>
      <c r="H691" s="40">
        <v>100</v>
      </c>
      <c r="J691">
        <v>5522</v>
      </c>
      <c r="K691" s="3" t="str">
        <f>VLOOKUP(Table2[[#This Row],[Konto]],Table5[[Konto]:[Konto nimetus]],2,FALSE)</f>
        <v>Meditsiinikulud ja hügieenitarbed</v>
      </c>
      <c r="L691">
        <v>55</v>
      </c>
      <c r="M691" t="str">
        <f t="shared" si="21"/>
        <v>55</v>
      </c>
      <c r="N691" s="3" t="str">
        <f>VLOOKUP(Table2[[#This Row],[Tulu/kulu liik2]],Table5[[Tulu/kulu liik]:[Kontode koondnimetus]],4,FALSE)</f>
        <v>Muud tegevuskulud</v>
      </c>
      <c r="O691" s="3" t="str">
        <f>VLOOKUP(Table2[[#This Row],[Tulu/kulu liik2]],Table5[],6,FALSE)</f>
        <v>Majandamiskulud</v>
      </c>
      <c r="P691" s="3" t="str">
        <f>VLOOKUP(Table2[[#This Row],[Tulu/kulu liik2]],Table5[],5,FALSE)</f>
        <v>Põhitegevuse kulu</v>
      </c>
    </row>
    <row r="692" spans="1:16" hidden="1" x14ac:dyDescent="0.25">
      <c r="A692" t="str">
        <f t="shared" si="20"/>
        <v>09</v>
      </c>
      <c r="B692" t="s">
        <v>317</v>
      </c>
      <c r="C692" s="3" t="str">
        <f>VLOOKUP(Table2[[#This Row],[Tegevusala]],Table4[],2,FALSE)</f>
        <v xml:space="preserve"> Ulvi Lasteaed</v>
      </c>
      <c r="D692" s="3" t="str">
        <f>VLOOKUP(Table2[[#This Row],[Tegevusala]],Table4[[Tegevusala kood]:[Tegevusala alanimetus]],4,FALSE)</f>
        <v>Alusharidus</v>
      </c>
      <c r="E692" s="3" t="str">
        <f>VLOOKUP(Table2[[#This Row],[Tegevusala nimetus2]],Table4[[Tegevusala nimetus]:[Tegevusala koondnimetus]],2,FALSE)</f>
        <v>Haridus</v>
      </c>
      <c r="F692" t="s">
        <v>1353</v>
      </c>
      <c r="G692" t="s">
        <v>1347</v>
      </c>
      <c r="H692" s="40">
        <v>1000</v>
      </c>
      <c r="J692">
        <v>5524</v>
      </c>
      <c r="K692" s="3" t="str">
        <f>VLOOKUP(Table2[[#This Row],[Konto]],Table5[[Konto]:[Konto nimetus]],2,FALSE)</f>
        <v>Õppevahendid</v>
      </c>
      <c r="L692">
        <v>55</v>
      </c>
      <c r="M692" t="str">
        <f t="shared" si="21"/>
        <v>55</v>
      </c>
      <c r="N692" s="3" t="str">
        <f>VLOOKUP(Table2[[#This Row],[Tulu/kulu liik2]],Table5[[Tulu/kulu liik]:[Kontode koondnimetus]],4,FALSE)</f>
        <v>Muud tegevuskulud</v>
      </c>
      <c r="O692" s="3" t="str">
        <f>VLOOKUP(Table2[[#This Row],[Tulu/kulu liik2]],Table5[],6,FALSE)</f>
        <v>Majandamiskulud</v>
      </c>
      <c r="P692" s="3" t="str">
        <f>VLOOKUP(Table2[[#This Row],[Tulu/kulu liik2]],Table5[],5,FALSE)</f>
        <v>Põhitegevuse kulu</v>
      </c>
    </row>
    <row r="693" spans="1:16" hidden="1" x14ac:dyDescent="0.25">
      <c r="A693" t="str">
        <f t="shared" si="20"/>
        <v>09</v>
      </c>
      <c r="B693" t="s">
        <v>317</v>
      </c>
      <c r="C693" s="3" t="str">
        <f>VLOOKUP(Table2[[#This Row],[Tegevusala]],Table4[],2,FALSE)</f>
        <v xml:space="preserve"> Ulvi Lasteaed</v>
      </c>
      <c r="D693" s="3" t="str">
        <f>VLOOKUP(Table2[[#This Row],[Tegevusala]],Table4[[Tegevusala kood]:[Tegevusala alanimetus]],4,FALSE)</f>
        <v>Alusharidus</v>
      </c>
      <c r="E693" s="3" t="str">
        <f>VLOOKUP(Table2[[#This Row],[Tegevusala nimetus2]],Table4[[Tegevusala nimetus]:[Tegevusala koondnimetus]],2,FALSE)</f>
        <v>Haridus</v>
      </c>
      <c r="F693" t="s">
        <v>1353</v>
      </c>
      <c r="G693" t="s">
        <v>117</v>
      </c>
      <c r="H693" s="40">
        <v>1000</v>
      </c>
      <c r="J693">
        <v>5524</v>
      </c>
      <c r="K693" s="3" t="str">
        <f>VLOOKUP(Table2[[#This Row],[Konto]],Table5[[Konto]:[Konto nimetus]],2,FALSE)</f>
        <v>Õppevahendid</v>
      </c>
      <c r="L693">
        <v>55</v>
      </c>
      <c r="M693" t="str">
        <f t="shared" si="21"/>
        <v>55</v>
      </c>
      <c r="N693" s="3" t="str">
        <f>VLOOKUP(Table2[[#This Row],[Tulu/kulu liik2]],Table5[[Tulu/kulu liik]:[Kontode koondnimetus]],4,FALSE)</f>
        <v>Muud tegevuskulud</v>
      </c>
      <c r="O693" s="3" t="str">
        <f>VLOOKUP(Table2[[#This Row],[Tulu/kulu liik2]],Table5[],6,FALSE)</f>
        <v>Majandamiskulud</v>
      </c>
      <c r="P693" s="3" t="str">
        <f>VLOOKUP(Table2[[#This Row],[Tulu/kulu liik2]],Table5[],5,FALSE)</f>
        <v>Põhitegevuse kulu</v>
      </c>
    </row>
    <row r="694" spans="1:16" hidden="1" x14ac:dyDescent="0.25">
      <c r="A694" t="str">
        <f t="shared" si="20"/>
        <v>09</v>
      </c>
      <c r="B694" t="s">
        <v>317</v>
      </c>
      <c r="C694" s="3" t="str">
        <f>VLOOKUP(Table2[[#This Row],[Tegevusala]],Table4[],2,FALSE)</f>
        <v xml:space="preserve"> Ulvi Lasteaed</v>
      </c>
      <c r="D694" s="3" t="str">
        <f>VLOOKUP(Table2[[#This Row],[Tegevusala]],Table4[[Tegevusala kood]:[Tegevusala alanimetus]],4,FALSE)</f>
        <v>Alusharidus</v>
      </c>
      <c r="E694" s="3" t="str">
        <f>VLOOKUP(Table2[[#This Row],[Tegevusala nimetus2]],Table4[[Tegevusala nimetus]:[Tegevusala koondnimetus]],2,FALSE)</f>
        <v>Haridus</v>
      </c>
      <c r="F694" t="s">
        <v>1353</v>
      </c>
      <c r="G694" t="s">
        <v>412</v>
      </c>
      <c r="H694" s="40">
        <v>2000</v>
      </c>
      <c r="J694">
        <v>5524</v>
      </c>
      <c r="K694" s="3" t="str">
        <f>VLOOKUP(Table2[[#This Row],[Konto]],Table5[[Konto]:[Konto nimetus]],2,FALSE)</f>
        <v>Õppevahendid</v>
      </c>
      <c r="L694">
        <v>55</v>
      </c>
      <c r="M694" t="str">
        <f t="shared" si="21"/>
        <v>55</v>
      </c>
      <c r="N694" s="3" t="str">
        <f>VLOOKUP(Table2[[#This Row],[Tulu/kulu liik2]],Table5[[Tulu/kulu liik]:[Kontode koondnimetus]],4,FALSE)</f>
        <v>Muud tegevuskulud</v>
      </c>
      <c r="O694" s="3" t="str">
        <f>VLOOKUP(Table2[[#This Row],[Tulu/kulu liik2]],Table5[],6,FALSE)</f>
        <v>Majandamiskulud</v>
      </c>
      <c r="P694" s="3" t="str">
        <f>VLOOKUP(Table2[[#This Row],[Tulu/kulu liik2]],Table5[],5,FALSE)</f>
        <v>Põhitegevuse kulu</v>
      </c>
    </row>
    <row r="695" spans="1:16" hidden="1" x14ac:dyDescent="0.25">
      <c r="A695" t="str">
        <f t="shared" si="20"/>
        <v>09</v>
      </c>
      <c r="B695" t="s">
        <v>317</v>
      </c>
      <c r="C695" s="3" t="str">
        <f>VLOOKUP(Table2[[#This Row],[Tegevusala]],Table4[],2,FALSE)</f>
        <v xml:space="preserve"> Ulvi Lasteaed</v>
      </c>
      <c r="D695" s="3" t="str">
        <f>VLOOKUP(Table2[[#This Row],[Tegevusala]],Table4[[Tegevusala kood]:[Tegevusala alanimetus]],4,FALSE)</f>
        <v>Alusharidus</v>
      </c>
      <c r="E695" s="3" t="str">
        <f>VLOOKUP(Table2[[#This Row],[Tegevusala nimetus2]],Table4[[Tegevusala nimetus]:[Tegevusala koondnimetus]],2,FALSE)</f>
        <v>Haridus</v>
      </c>
      <c r="F695" t="s">
        <v>1353</v>
      </c>
      <c r="G695" t="s">
        <v>1372</v>
      </c>
      <c r="H695" s="40">
        <v>250</v>
      </c>
      <c r="J695">
        <v>5525</v>
      </c>
      <c r="K695" s="3" t="str">
        <f>VLOOKUP(Table2[[#This Row],[Konto]],Table5[[Konto]:[Konto nimetus]],2,FALSE)</f>
        <v>Kommunikatsiooni-, kultuuri- ja vaba aja sisustamise kulud</v>
      </c>
      <c r="L695">
        <v>55</v>
      </c>
      <c r="M695" t="str">
        <f t="shared" si="21"/>
        <v>55</v>
      </c>
      <c r="N695" s="3" t="str">
        <f>VLOOKUP(Table2[[#This Row],[Tulu/kulu liik2]],Table5[[Tulu/kulu liik]:[Kontode koondnimetus]],4,FALSE)</f>
        <v>Muud tegevuskulud</v>
      </c>
      <c r="O695" s="3" t="str">
        <f>VLOOKUP(Table2[[#This Row],[Tulu/kulu liik2]],Table5[],6,FALSE)</f>
        <v>Majandamiskulud</v>
      </c>
      <c r="P695" s="3" t="str">
        <f>VLOOKUP(Table2[[#This Row],[Tulu/kulu liik2]],Table5[],5,FALSE)</f>
        <v>Põhitegevuse kulu</v>
      </c>
    </row>
    <row r="696" spans="1:16" hidden="1" x14ac:dyDescent="0.25">
      <c r="A696" t="str">
        <f t="shared" si="20"/>
        <v>09</v>
      </c>
      <c r="B696" t="s">
        <v>317</v>
      </c>
      <c r="C696" s="3" t="str">
        <f>VLOOKUP(Table2[[#This Row],[Tegevusala]],Table4[],2,FALSE)</f>
        <v xml:space="preserve"> Ulvi Lasteaed</v>
      </c>
      <c r="D696" s="3" t="str">
        <f>VLOOKUP(Table2[[#This Row],[Tegevusala]],Table4[[Tegevusala kood]:[Tegevusala alanimetus]],4,FALSE)</f>
        <v>Alusharidus</v>
      </c>
      <c r="E696" s="3" t="str">
        <f>VLOOKUP(Table2[[#This Row],[Tegevusala nimetus2]],Table4[[Tegevusala nimetus]:[Tegevusala koondnimetus]],2,FALSE)</f>
        <v>Haridus</v>
      </c>
      <c r="F696" t="s">
        <v>1353</v>
      </c>
      <c r="G696" t="s">
        <v>1373</v>
      </c>
      <c r="H696" s="40">
        <v>250</v>
      </c>
      <c r="J696">
        <v>5525</v>
      </c>
      <c r="K696" s="3" t="str">
        <f>VLOOKUP(Table2[[#This Row],[Konto]],Table5[[Konto]:[Konto nimetus]],2,FALSE)</f>
        <v>Kommunikatsiooni-, kultuuri- ja vaba aja sisustamise kulud</v>
      </c>
      <c r="L696">
        <v>55</v>
      </c>
      <c r="M696" t="str">
        <f t="shared" si="21"/>
        <v>55</v>
      </c>
      <c r="N696" s="3" t="str">
        <f>VLOOKUP(Table2[[#This Row],[Tulu/kulu liik2]],Table5[[Tulu/kulu liik]:[Kontode koondnimetus]],4,FALSE)</f>
        <v>Muud tegevuskulud</v>
      </c>
      <c r="O696" s="3" t="str">
        <f>VLOOKUP(Table2[[#This Row],[Tulu/kulu liik2]],Table5[],6,FALSE)</f>
        <v>Majandamiskulud</v>
      </c>
      <c r="P696" s="3" t="str">
        <f>VLOOKUP(Table2[[#This Row],[Tulu/kulu liik2]],Table5[],5,FALSE)</f>
        <v>Põhitegevuse kulu</v>
      </c>
    </row>
    <row r="697" spans="1:16" hidden="1" x14ac:dyDescent="0.25">
      <c r="A697" t="str">
        <f t="shared" si="20"/>
        <v>09</v>
      </c>
      <c r="B697" t="s">
        <v>317</v>
      </c>
      <c r="C697" s="3" t="str">
        <f>VLOOKUP(Table2[[#This Row],[Tegevusala]],Table4[],2,FALSE)</f>
        <v xml:space="preserve"> Ulvi Lasteaed</v>
      </c>
      <c r="D697" s="3" t="str">
        <f>VLOOKUP(Table2[[#This Row],[Tegevusala]],Table4[[Tegevusala kood]:[Tegevusala alanimetus]],4,FALSE)</f>
        <v>Alusharidus</v>
      </c>
      <c r="E697" s="3" t="str">
        <f>VLOOKUP(Table2[[#This Row],[Tegevusala nimetus2]],Table4[[Tegevusala nimetus]:[Tegevusala koondnimetus]],2,FALSE)</f>
        <v>Haridus</v>
      </c>
      <c r="F697" t="s">
        <v>1353</v>
      </c>
      <c r="G697" t="s">
        <v>1354</v>
      </c>
      <c r="H697" s="40">
        <f>3000+1500</f>
        <v>4500</v>
      </c>
      <c r="J697">
        <v>5511</v>
      </c>
      <c r="K697" s="3" t="str">
        <f>VLOOKUP(Table2[[#This Row],[Konto]],Table5[[Konto]:[Konto nimetus]],2,FALSE)</f>
        <v>Kinnistute, hoonete ja ruumide majandamiskulud</v>
      </c>
      <c r="L697">
        <v>55</v>
      </c>
      <c r="M697" t="str">
        <f t="shared" si="21"/>
        <v>55</v>
      </c>
      <c r="N697" s="3" t="str">
        <f>VLOOKUP(Table2[[#This Row],[Tulu/kulu liik2]],Table5[[Tulu/kulu liik]:[Kontode koondnimetus]],4,FALSE)</f>
        <v>Muud tegevuskulud</v>
      </c>
      <c r="O697" s="3" t="str">
        <f>VLOOKUP(Table2[[#This Row],[Tulu/kulu liik2]],Table5[],6,FALSE)</f>
        <v>Majandamiskulud</v>
      </c>
      <c r="P697" s="3" t="str">
        <f>VLOOKUP(Table2[[#This Row],[Tulu/kulu liik2]],Table5[],5,FALSE)</f>
        <v>Põhitegevuse kulu</v>
      </c>
    </row>
    <row r="698" spans="1:16" hidden="1" x14ac:dyDescent="0.25">
      <c r="A698" t="str">
        <f t="shared" si="20"/>
        <v>09</v>
      </c>
      <c r="B698" t="s">
        <v>317</v>
      </c>
      <c r="C698" s="3" t="str">
        <f>VLOOKUP(Table2[[#This Row],[Tegevusala]],Table4[],2,FALSE)</f>
        <v xml:space="preserve"> Ulvi Lasteaed</v>
      </c>
      <c r="D698" s="3" t="str">
        <f>VLOOKUP(Table2[[#This Row],[Tegevusala]],Table4[[Tegevusala kood]:[Tegevusala alanimetus]],4,FALSE)</f>
        <v>Alusharidus</v>
      </c>
      <c r="E698" s="3" t="str">
        <f>VLOOKUP(Table2[[#This Row],[Tegevusala nimetus2]],Table4[[Tegevusala nimetus]:[Tegevusala koondnimetus]],2,FALSE)</f>
        <v>Haridus</v>
      </c>
      <c r="F698" t="s">
        <v>1353</v>
      </c>
      <c r="G698" t="s">
        <v>1355</v>
      </c>
      <c r="H698" s="40">
        <v>200</v>
      </c>
      <c r="J698">
        <v>5511</v>
      </c>
      <c r="K698" s="3" t="str">
        <f>VLOOKUP(Table2[[#This Row],[Konto]],Table5[[Konto]:[Konto nimetus]],2,FALSE)</f>
        <v>Kinnistute, hoonete ja ruumide majandamiskulud</v>
      </c>
      <c r="L698">
        <v>55</v>
      </c>
      <c r="M698" t="str">
        <f t="shared" si="21"/>
        <v>55</v>
      </c>
      <c r="N698" s="3" t="str">
        <f>VLOOKUP(Table2[[#This Row],[Tulu/kulu liik2]],Table5[[Tulu/kulu liik]:[Kontode koondnimetus]],4,FALSE)</f>
        <v>Muud tegevuskulud</v>
      </c>
      <c r="O698" s="3" t="str">
        <f>VLOOKUP(Table2[[#This Row],[Tulu/kulu liik2]],Table5[],6,FALSE)</f>
        <v>Majandamiskulud</v>
      </c>
      <c r="P698" s="3" t="str">
        <f>VLOOKUP(Table2[[#This Row],[Tulu/kulu liik2]],Table5[],5,FALSE)</f>
        <v>Põhitegevuse kulu</v>
      </c>
    </row>
    <row r="699" spans="1:16" hidden="1" x14ac:dyDescent="0.25">
      <c r="A699" t="str">
        <f t="shared" si="20"/>
        <v>09</v>
      </c>
      <c r="B699" t="s">
        <v>317</v>
      </c>
      <c r="C699" s="3" t="str">
        <f>VLOOKUP(Table2[[#This Row],[Tegevusala]],Table4[],2,FALSE)</f>
        <v xml:space="preserve"> Ulvi Lasteaed</v>
      </c>
      <c r="D699" s="3" t="str">
        <f>VLOOKUP(Table2[[#This Row],[Tegevusala]],Table4[[Tegevusala kood]:[Tegevusala alanimetus]],4,FALSE)</f>
        <v>Alusharidus</v>
      </c>
      <c r="E699" s="3" t="str">
        <f>VLOOKUP(Table2[[#This Row],[Tegevusala nimetus2]],Table4[[Tegevusala nimetus]:[Tegevusala koondnimetus]],2,FALSE)</f>
        <v>Haridus</v>
      </c>
      <c r="F699" t="s">
        <v>1353</v>
      </c>
      <c r="G699" t="s">
        <v>178</v>
      </c>
      <c r="H699" s="40">
        <v>3500</v>
      </c>
      <c r="J699">
        <v>5511</v>
      </c>
      <c r="K699" s="3" t="str">
        <f>VLOOKUP(Table2[[#This Row],[Konto]],Table5[[Konto]:[Konto nimetus]],2,FALSE)</f>
        <v>Kinnistute, hoonete ja ruumide majandamiskulud</v>
      </c>
      <c r="L699">
        <v>55</v>
      </c>
      <c r="M699" t="str">
        <f t="shared" si="21"/>
        <v>55</v>
      </c>
      <c r="N699" s="3" t="str">
        <f>VLOOKUP(Table2[[#This Row],[Tulu/kulu liik2]],Table5[[Tulu/kulu liik]:[Kontode koondnimetus]],4,FALSE)</f>
        <v>Muud tegevuskulud</v>
      </c>
      <c r="O699" s="3" t="str">
        <f>VLOOKUP(Table2[[#This Row],[Tulu/kulu liik2]],Table5[],6,FALSE)</f>
        <v>Majandamiskulud</v>
      </c>
      <c r="P699" s="3" t="str">
        <f>VLOOKUP(Table2[[#This Row],[Tulu/kulu liik2]],Table5[],5,FALSE)</f>
        <v>Põhitegevuse kulu</v>
      </c>
    </row>
    <row r="700" spans="1:16" hidden="1" x14ac:dyDescent="0.25">
      <c r="A700" t="str">
        <f t="shared" si="20"/>
        <v>09</v>
      </c>
      <c r="B700" t="s">
        <v>317</v>
      </c>
      <c r="C700" s="3" t="str">
        <f>VLOOKUP(Table2[[#This Row],[Tegevusala]],Table4[],2,FALSE)</f>
        <v xml:space="preserve"> Ulvi Lasteaed</v>
      </c>
      <c r="D700" s="3" t="str">
        <f>VLOOKUP(Table2[[#This Row],[Tegevusala]],Table4[[Tegevusala kood]:[Tegevusala alanimetus]],4,FALSE)</f>
        <v>Alusharidus</v>
      </c>
      <c r="E700" s="3" t="str">
        <f>VLOOKUP(Table2[[#This Row],[Tegevusala nimetus2]],Table4[[Tegevusala nimetus]:[Tegevusala koondnimetus]],2,FALSE)</f>
        <v>Haridus</v>
      </c>
      <c r="F700" t="s">
        <v>1353</v>
      </c>
      <c r="G700" t="s">
        <v>1356</v>
      </c>
      <c r="H700" s="40">
        <v>1000</v>
      </c>
      <c r="J700">
        <v>5511</v>
      </c>
      <c r="K700" s="3" t="str">
        <f>VLOOKUP(Table2[[#This Row],[Konto]],Table5[[Konto]:[Konto nimetus]],2,FALSE)</f>
        <v>Kinnistute, hoonete ja ruumide majandamiskulud</v>
      </c>
      <c r="L700">
        <v>55</v>
      </c>
      <c r="M700" t="str">
        <f t="shared" si="21"/>
        <v>55</v>
      </c>
      <c r="N700" s="3" t="str">
        <f>VLOOKUP(Table2[[#This Row],[Tulu/kulu liik2]],Table5[[Tulu/kulu liik]:[Kontode koondnimetus]],4,FALSE)</f>
        <v>Muud tegevuskulud</v>
      </c>
      <c r="O700" s="3" t="str">
        <f>VLOOKUP(Table2[[#This Row],[Tulu/kulu liik2]],Table5[],6,FALSE)</f>
        <v>Majandamiskulud</v>
      </c>
      <c r="P700" s="3" t="str">
        <f>VLOOKUP(Table2[[#This Row],[Tulu/kulu liik2]],Table5[],5,FALSE)</f>
        <v>Põhitegevuse kulu</v>
      </c>
    </row>
    <row r="701" spans="1:16" hidden="1" x14ac:dyDescent="0.25">
      <c r="A701" t="str">
        <f t="shared" si="20"/>
        <v>09</v>
      </c>
      <c r="B701" t="s">
        <v>317</v>
      </c>
      <c r="C701" s="3" t="str">
        <f>VLOOKUP(Table2[[#This Row],[Tegevusala]],Table4[],2,FALSE)</f>
        <v xml:space="preserve"> Ulvi Lasteaed</v>
      </c>
      <c r="D701" s="3" t="str">
        <f>VLOOKUP(Table2[[#This Row],[Tegevusala]],Table4[[Tegevusala kood]:[Tegevusala alanimetus]],4,FALSE)</f>
        <v>Alusharidus</v>
      </c>
      <c r="E701" s="3" t="str">
        <f>VLOOKUP(Table2[[#This Row],[Tegevusala nimetus2]],Table4[[Tegevusala nimetus]:[Tegevusala koondnimetus]],2,FALSE)</f>
        <v>Haridus</v>
      </c>
      <c r="F701" t="s">
        <v>1353</v>
      </c>
      <c r="G701" t="s">
        <v>180</v>
      </c>
      <c r="H701" s="40">
        <v>250</v>
      </c>
      <c r="J701">
        <v>5511</v>
      </c>
      <c r="K701" s="3" t="str">
        <f>VLOOKUP(Table2[[#This Row],[Konto]],Table5[[Konto]:[Konto nimetus]],2,FALSE)</f>
        <v>Kinnistute, hoonete ja ruumide majandamiskulud</v>
      </c>
      <c r="L701">
        <v>55</v>
      </c>
      <c r="M701" t="str">
        <f t="shared" si="21"/>
        <v>55</v>
      </c>
      <c r="N701" s="3" t="str">
        <f>VLOOKUP(Table2[[#This Row],[Tulu/kulu liik2]],Table5[[Tulu/kulu liik]:[Kontode koondnimetus]],4,FALSE)</f>
        <v>Muud tegevuskulud</v>
      </c>
      <c r="O701" s="3" t="str">
        <f>VLOOKUP(Table2[[#This Row],[Tulu/kulu liik2]],Table5[],6,FALSE)</f>
        <v>Majandamiskulud</v>
      </c>
      <c r="P701" s="3" t="str">
        <f>VLOOKUP(Table2[[#This Row],[Tulu/kulu liik2]],Table5[],5,FALSE)</f>
        <v>Põhitegevuse kulu</v>
      </c>
    </row>
    <row r="702" spans="1:16" hidden="1" x14ac:dyDescent="0.25">
      <c r="A702" t="str">
        <f t="shared" ref="A702:A765" si="22">LEFT(B702,2)</f>
        <v>09</v>
      </c>
      <c r="B702" t="s">
        <v>317</v>
      </c>
      <c r="C702" s="3" t="str">
        <f>VLOOKUP(Table2[[#This Row],[Tegevusala]],Table4[],2,FALSE)</f>
        <v xml:space="preserve"> Ulvi Lasteaed</v>
      </c>
      <c r="D702" s="3" t="str">
        <f>VLOOKUP(Table2[[#This Row],[Tegevusala]],Table4[[Tegevusala kood]:[Tegevusala alanimetus]],4,FALSE)</f>
        <v>Alusharidus</v>
      </c>
      <c r="E702" s="3" t="str">
        <f>VLOOKUP(Table2[[#This Row],[Tegevusala nimetus2]],Table4[[Tegevusala nimetus]:[Tegevusala koondnimetus]],2,FALSE)</f>
        <v>Haridus</v>
      </c>
      <c r="F702" t="s">
        <v>1353</v>
      </c>
      <c r="G702" t="s">
        <v>1357</v>
      </c>
      <c r="H702" s="40">
        <v>2400</v>
      </c>
      <c r="J702">
        <v>5511</v>
      </c>
      <c r="K702" s="3" t="str">
        <f>VLOOKUP(Table2[[#This Row],[Konto]],Table5[[Konto]:[Konto nimetus]],2,FALSE)</f>
        <v>Kinnistute, hoonete ja ruumide majandamiskulud</v>
      </c>
      <c r="L702">
        <v>55</v>
      </c>
      <c r="M702" t="str">
        <f t="shared" ref="M702:M765" si="23">LEFT(J702,2)</f>
        <v>55</v>
      </c>
      <c r="N702" s="3" t="str">
        <f>VLOOKUP(Table2[[#This Row],[Tulu/kulu liik2]],Table5[[Tulu/kulu liik]:[Kontode koondnimetus]],4,FALSE)</f>
        <v>Muud tegevuskulud</v>
      </c>
      <c r="O702" s="3" t="str">
        <f>VLOOKUP(Table2[[#This Row],[Tulu/kulu liik2]],Table5[],6,FALSE)</f>
        <v>Majandamiskulud</v>
      </c>
      <c r="P702" s="3" t="str">
        <f>VLOOKUP(Table2[[#This Row],[Tulu/kulu liik2]],Table5[],5,FALSE)</f>
        <v>Põhitegevuse kulu</v>
      </c>
    </row>
    <row r="703" spans="1:16" hidden="1" x14ac:dyDescent="0.25">
      <c r="A703" t="str">
        <f t="shared" si="22"/>
        <v>09</v>
      </c>
      <c r="B703" t="s">
        <v>317</v>
      </c>
      <c r="C703" s="3" t="str">
        <f>VLOOKUP(Table2[[#This Row],[Tegevusala]],Table4[],2,FALSE)</f>
        <v xml:space="preserve"> Ulvi Lasteaed</v>
      </c>
      <c r="D703" s="3" t="str">
        <f>VLOOKUP(Table2[[#This Row],[Tegevusala]],Table4[[Tegevusala kood]:[Tegevusala alanimetus]],4,FALSE)</f>
        <v>Alusharidus</v>
      </c>
      <c r="E703" s="3" t="str">
        <f>VLOOKUP(Table2[[#This Row],[Tegevusala nimetus2]],Table4[[Tegevusala nimetus]:[Tegevusala koondnimetus]],2,FALSE)</f>
        <v>Haridus</v>
      </c>
      <c r="F703" t="s">
        <v>1353</v>
      </c>
      <c r="G703" t="s">
        <v>1358</v>
      </c>
      <c r="H703" s="40">
        <v>6000</v>
      </c>
      <c r="J703">
        <v>5511</v>
      </c>
      <c r="K703" s="3" t="str">
        <f>VLOOKUP(Table2[[#This Row],[Konto]],Table5[[Konto]:[Konto nimetus]],2,FALSE)</f>
        <v>Kinnistute, hoonete ja ruumide majandamiskulud</v>
      </c>
      <c r="L703">
        <v>55</v>
      </c>
      <c r="M703" t="str">
        <f t="shared" si="23"/>
        <v>55</v>
      </c>
      <c r="N703" s="3" t="str">
        <f>VLOOKUP(Table2[[#This Row],[Tulu/kulu liik2]],Table5[[Tulu/kulu liik]:[Kontode koondnimetus]],4,FALSE)</f>
        <v>Muud tegevuskulud</v>
      </c>
      <c r="O703" s="3" t="str">
        <f>VLOOKUP(Table2[[#This Row],[Tulu/kulu liik2]],Table5[],6,FALSE)</f>
        <v>Majandamiskulud</v>
      </c>
      <c r="P703" s="3" t="str">
        <f>VLOOKUP(Table2[[#This Row],[Tulu/kulu liik2]],Table5[],5,FALSE)</f>
        <v>Põhitegevuse kulu</v>
      </c>
    </row>
    <row r="704" spans="1:16" hidden="1" x14ac:dyDescent="0.25">
      <c r="A704" t="str">
        <f t="shared" si="22"/>
        <v>09</v>
      </c>
      <c r="B704" t="s">
        <v>317</v>
      </c>
      <c r="C704" s="3" t="str">
        <f>VLOOKUP(Table2[[#This Row],[Tegevusala]],Table4[],2,FALSE)</f>
        <v xml:space="preserve"> Ulvi Lasteaed</v>
      </c>
      <c r="D704" s="3" t="str">
        <f>VLOOKUP(Table2[[#This Row],[Tegevusala]],Table4[[Tegevusala kood]:[Tegevusala alanimetus]],4,FALSE)</f>
        <v>Alusharidus</v>
      </c>
      <c r="E704" s="3" t="str">
        <f>VLOOKUP(Table2[[#This Row],[Tegevusala nimetus2]],Table4[[Tegevusala nimetus]:[Tegevusala koondnimetus]],2,FALSE)</f>
        <v>Haridus</v>
      </c>
      <c r="F704" t="s">
        <v>1353</v>
      </c>
      <c r="G704" t="s">
        <v>1359</v>
      </c>
      <c r="H704" s="40">
        <v>100</v>
      </c>
      <c r="J704">
        <v>5511</v>
      </c>
      <c r="K704" s="3" t="str">
        <f>VLOOKUP(Table2[[#This Row],[Konto]],Table5[[Konto]:[Konto nimetus]],2,FALSE)</f>
        <v>Kinnistute, hoonete ja ruumide majandamiskulud</v>
      </c>
      <c r="L704">
        <v>55</v>
      </c>
      <c r="M704" t="str">
        <f t="shared" si="23"/>
        <v>55</v>
      </c>
      <c r="N704" s="3" t="str">
        <f>VLOOKUP(Table2[[#This Row],[Tulu/kulu liik2]],Table5[[Tulu/kulu liik]:[Kontode koondnimetus]],4,FALSE)</f>
        <v>Muud tegevuskulud</v>
      </c>
      <c r="O704" s="3" t="str">
        <f>VLOOKUP(Table2[[#This Row],[Tulu/kulu liik2]],Table5[],6,FALSE)</f>
        <v>Majandamiskulud</v>
      </c>
      <c r="P704" s="3" t="str">
        <f>VLOOKUP(Table2[[#This Row],[Tulu/kulu liik2]],Table5[],5,FALSE)</f>
        <v>Põhitegevuse kulu</v>
      </c>
    </row>
    <row r="705" spans="1:16" hidden="1" x14ac:dyDescent="0.25">
      <c r="A705" t="str">
        <f t="shared" si="22"/>
        <v>09</v>
      </c>
      <c r="B705" t="s">
        <v>317</v>
      </c>
      <c r="C705" s="3" t="str">
        <f>VLOOKUP(Table2[[#This Row],[Tegevusala]],Table4[],2,FALSE)</f>
        <v xml:space="preserve"> Ulvi Lasteaed</v>
      </c>
      <c r="D705" s="3" t="str">
        <f>VLOOKUP(Table2[[#This Row],[Tegevusala]],Table4[[Tegevusala kood]:[Tegevusala alanimetus]],4,FALSE)</f>
        <v>Alusharidus</v>
      </c>
      <c r="E705" s="3" t="str">
        <f>VLOOKUP(Table2[[#This Row],[Tegevusala nimetus2]],Table4[[Tegevusala nimetus]:[Tegevusala koondnimetus]],2,FALSE)</f>
        <v>Haridus</v>
      </c>
      <c r="F705" t="s">
        <v>1353</v>
      </c>
      <c r="G705" t="s">
        <v>1360</v>
      </c>
      <c r="H705" s="40">
        <v>500</v>
      </c>
      <c r="J705">
        <v>5514</v>
      </c>
      <c r="K705" s="3" t="str">
        <f>VLOOKUP(Table2[[#This Row],[Konto]],Table5[[Konto]:[Konto nimetus]],2,FALSE)</f>
        <v>Info- ja kommunikatsioonitehnoliigised kulud</v>
      </c>
      <c r="L705">
        <v>55</v>
      </c>
      <c r="M705" t="str">
        <f t="shared" si="23"/>
        <v>55</v>
      </c>
      <c r="N705" s="3" t="str">
        <f>VLOOKUP(Table2[[#This Row],[Tulu/kulu liik2]],Table5[[Tulu/kulu liik]:[Kontode koondnimetus]],4,FALSE)</f>
        <v>Muud tegevuskulud</v>
      </c>
      <c r="O705" s="3" t="str">
        <f>VLOOKUP(Table2[[#This Row],[Tulu/kulu liik2]],Table5[],6,FALSE)</f>
        <v>Majandamiskulud</v>
      </c>
      <c r="P705" s="3" t="str">
        <f>VLOOKUP(Table2[[#This Row],[Tulu/kulu liik2]],Table5[],5,FALSE)</f>
        <v>Põhitegevuse kulu</v>
      </c>
    </row>
    <row r="706" spans="1:16" hidden="1" x14ac:dyDescent="0.25">
      <c r="A706" t="str">
        <f t="shared" si="22"/>
        <v>09</v>
      </c>
      <c r="B706" t="s">
        <v>319</v>
      </c>
      <c r="C706" s="3" t="str">
        <f>VLOOKUP(Table2[[#This Row],[Tegevusala]],Table4[],2,FALSE)</f>
        <v xml:space="preserve"> Laekvere Lasteaed</v>
      </c>
      <c r="D706" s="3" t="str">
        <f>VLOOKUP(Table2[[#This Row],[Tegevusala]],Table4[[Tegevusala kood]:[Tegevusala alanimetus]],4,FALSE)</f>
        <v>Alusharidus</v>
      </c>
      <c r="E706" s="3" t="str">
        <f>VLOOKUP(Table2[[#This Row],[Tegevusala nimetus2]],Table4[[Tegevusala nimetus]:[Tegevusala koondnimetus]],2,FALSE)</f>
        <v>Haridus</v>
      </c>
      <c r="F706" t="s">
        <v>1848</v>
      </c>
      <c r="G706" t="s">
        <v>177</v>
      </c>
      <c r="H706" s="40">
        <v>9000</v>
      </c>
      <c r="J706">
        <v>5511</v>
      </c>
      <c r="K706" s="3" t="str">
        <f>VLOOKUP(Table2[[#This Row],[Konto]],Table5[[Konto]:[Konto nimetus]],2,FALSE)</f>
        <v>Kinnistute, hoonete ja ruumide majandamiskulud</v>
      </c>
      <c r="L706">
        <v>55</v>
      </c>
      <c r="M706" t="str">
        <f t="shared" si="23"/>
        <v>55</v>
      </c>
      <c r="N706" s="3" t="str">
        <f>VLOOKUP(Table2[[#This Row],[Tulu/kulu liik2]],Table5[[Tulu/kulu liik]:[Kontode koondnimetus]],4,FALSE)</f>
        <v>Muud tegevuskulud</v>
      </c>
      <c r="O706" s="3" t="str">
        <f>VLOOKUP(Table2[[#This Row],[Tulu/kulu liik2]],Table5[],6,FALSE)</f>
        <v>Majandamiskulud</v>
      </c>
      <c r="P706" s="3" t="str">
        <f>VLOOKUP(Table2[[#This Row],[Tulu/kulu liik2]],Table5[],5,FALSE)</f>
        <v>Põhitegevuse kulu</v>
      </c>
    </row>
    <row r="707" spans="1:16" hidden="1" x14ac:dyDescent="0.25">
      <c r="A707" t="str">
        <f t="shared" si="22"/>
        <v>09</v>
      </c>
      <c r="B707" t="s">
        <v>319</v>
      </c>
      <c r="C707" s="3" t="str">
        <f>VLOOKUP(Table2[[#This Row],[Tegevusala]],Table4[],2,FALSE)</f>
        <v xml:space="preserve"> Laekvere Lasteaed</v>
      </c>
      <c r="D707" s="3" t="str">
        <f>VLOOKUP(Table2[[#This Row],[Tegevusala]],Table4[[Tegevusala kood]:[Tegevusala alanimetus]],4,FALSE)</f>
        <v>Alusharidus</v>
      </c>
      <c r="E707" s="3" t="str">
        <f>VLOOKUP(Table2[[#This Row],[Tegevusala nimetus2]],Table4[[Tegevusala nimetus]:[Tegevusala koondnimetus]],2,FALSE)</f>
        <v>Haridus</v>
      </c>
      <c r="F707" t="s">
        <v>1848</v>
      </c>
      <c r="G707" t="s">
        <v>178</v>
      </c>
      <c r="H707" s="40">
        <v>4000</v>
      </c>
      <c r="J707">
        <v>5511</v>
      </c>
      <c r="K707" s="3" t="str">
        <f>VLOOKUP(Table2[[#This Row],[Konto]],Table5[[Konto]:[Konto nimetus]],2,FALSE)</f>
        <v>Kinnistute, hoonete ja ruumide majandamiskulud</v>
      </c>
      <c r="L707">
        <v>55</v>
      </c>
      <c r="M707" t="str">
        <f t="shared" si="23"/>
        <v>55</v>
      </c>
      <c r="N707" s="3" t="str">
        <f>VLOOKUP(Table2[[#This Row],[Tulu/kulu liik2]],Table5[[Tulu/kulu liik]:[Kontode koondnimetus]],4,FALSE)</f>
        <v>Muud tegevuskulud</v>
      </c>
      <c r="O707" s="3" t="str">
        <f>VLOOKUP(Table2[[#This Row],[Tulu/kulu liik2]],Table5[],6,FALSE)</f>
        <v>Majandamiskulud</v>
      </c>
      <c r="P707" s="3" t="str">
        <f>VLOOKUP(Table2[[#This Row],[Tulu/kulu liik2]],Table5[],5,FALSE)</f>
        <v>Põhitegevuse kulu</v>
      </c>
    </row>
    <row r="708" spans="1:16" hidden="1" x14ac:dyDescent="0.25">
      <c r="A708" t="str">
        <f t="shared" si="22"/>
        <v>09</v>
      </c>
      <c r="B708" t="s">
        <v>319</v>
      </c>
      <c r="C708" s="3" t="str">
        <f>VLOOKUP(Table2[[#This Row],[Tegevusala]],Table4[],2,FALSE)</f>
        <v xml:space="preserve"> Laekvere Lasteaed</v>
      </c>
      <c r="D708" s="3" t="str">
        <f>VLOOKUP(Table2[[#This Row],[Tegevusala]],Table4[[Tegevusala kood]:[Tegevusala alanimetus]],4,FALSE)</f>
        <v>Alusharidus</v>
      </c>
      <c r="E708" s="3" t="str">
        <f>VLOOKUP(Table2[[#This Row],[Tegevusala nimetus2]],Table4[[Tegevusala nimetus]:[Tegevusala koondnimetus]],2,FALSE)</f>
        <v>Haridus</v>
      </c>
      <c r="F708" t="s">
        <v>1848</v>
      </c>
      <c r="G708" t="s">
        <v>392</v>
      </c>
      <c r="H708" s="40">
        <v>400</v>
      </c>
      <c r="J708">
        <v>5511</v>
      </c>
      <c r="K708" s="3" t="str">
        <f>VLOOKUP(Table2[[#This Row],[Konto]],Table5[[Konto]:[Konto nimetus]],2,FALSE)</f>
        <v>Kinnistute, hoonete ja ruumide majandamiskulud</v>
      </c>
      <c r="L708">
        <v>55</v>
      </c>
      <c r="M708" t="str">
        <f t="shared" si="23"/>
        <v>55</v>
      </c>
      <c r="N708" s="3" t="str">
        <f>VLOOKUP(Table2[[#This Row],[Tulu/kulu liik2]],Table5[[Tulu/kulu liik]:[Kontode koondnimetus]],4,FALSE)</f>
        <v>Muud tegevuskulud</v>
      </c>
      <c r="O708" s="3" t="str">
        <f>VLOOKUP(Table2[[#This Row],[Tulu/kulu liik2]],Table5[],6,FALSE)</f>
        <v>Majandamiskulud</v>
      </c>
      <c r="P708" s="3" t="str">
        <f>VLOOKUP(Table2[[#This Row],[Tulu/kulu liik2]],Table5[],5,FALSE)</f>
        <v>Põhitegevuse kulu</v>
      </c>
    </row>
    <row r="709" spans="1:16" hidden="1" x14ac:dyDescent="0.25">
      <c r="A709" t="str">
        <f t="shared" si="22"/>
        <v>09</v>
      </c>
      <c r="B709" t="s">
        <v>319</v>
      </c>
      <c r="C709" s="3" t="str">
        <f>VLOOKUP(Table2[[#This Row],[Tegevusala]],Table4[],2,FALSE)</f>
        <v xml:space="preserve"> Laekvere Lasteaed</v>
      </c>
      <c r="D709" s="3" t="str">
        <f>VLOOKUP(Table2[[#This Row],[Tegevusala]],Table4[[Tegevusala kood]:[Tegevusala alanimetus]],4,FALSE)</f>
        <v>Alusharidus</v>
      </c>
      <c r="E709" s="3" t="str">
        <f>VLOOKUP(Table2[[#This Row],[Tegevusala nimetus2]],Table4[[Tegevusala nimetus]:[Tegevusala koondnimetus]],2,FALSE)</f>
        <v>Haridus</v>
      </c>
      <c r="F709" t="s">
        <v>1848</v>
      </c>
      <c r="G709" t="s">
        <v>393</v>
      </c>
      <c r="H709" s="40">
        <v>3500</v>
      </c>
      <c r="J709">
        <v>5511</v>
      </c>
      <c r="K709" s="3" t="str">
        <f>VLOOKUP(Table2[[#This Row],[Konto]],Table5[[Konto]:[Konto nimetus]],2,FALSE)</f>
        <v>Kinnistute, hoonete ja ruumide majandamiskulud</v>
      </c>
      <c r="L709">
        <v>55</v>
      </c>
      <c r="M709" t="str">
        <f t="shared" si="23"/>
        <v>55</v>
      </c>
      <c r="N709" s="3" t="str">
        <f>VLOOKUP(Table2[[#This Row],[Tulu/kulu liik2]],Table5[[Tulu/kulu liik]:[Kontode koondnimetus]],4,FALSE)</f>
        <v>Muud tegevuskulud</v>
      </c>
      <c r="O709" s="3" t="str">
        <f>VLOOKUP(Table2[[#This Row],[Tulu/kulu liik2]],Table5[],6,FALSE)</f>
        <v>Majandamiskulud</v>
      </c>
      <c r="P709" s="3" t="str">
        <f>VLOOKUP(Table2[[#This Row],[Tulu/kulu liik2]],Table5[],5,FALSE)</f>
        <v>Põhitegevuse kulu</v>
      </c>
    </row>
    <row r="710" spans="1:16" hidden="1" x14ac:dyDescent="0.25">
      <c r="A710" t="str">
        <f t="shared" si="22"/>
        <v>09</v>
      </c>
      <c r="B710" t="s">
        <v>319</v>
      </c>
      <c r="C710" s="3" t="str">
        <f>VLOOKUP(Table2[[#This Row],[Tegevusala]],Table4[],2,FALSE)</f>
        <v xml:space="preserve"> Laekvere Lasteaed</v>
      </c>
      <c r="D710" s="3" t="str">
        <f>VLOOKUP(Table2[[#This Row],[Tegevusala]],Table4[[Tegevusala kood]:[Tegevusala alanimetus]],4,FALSE)</f>
        <v>Alusharidus</v>
      </c>
      <c r="E710" s="3" t="str">
        <f>VLOOKUP(Table2[[#This Row],[Tegevusala nimetus2]],Table4[[Tegevusala nimetus]:[Tegevusala koondnimetus]],2,FALSE)</f>
        <v>Haridus</v>
      </c>
      <c r="F710" t="s">
        <v>1848</v>
      </c>
      <c r="G710" t="s">
        <v>180</v>
      </c>
      <c r="H710" s="40">
        <v>500</v>
      </c>
      <c r="J710">
        <v>5511</v>
      </c>
      <c r="K710" s="3" t="str">
        <f>VLOOKUP(Table2[[#This Row],[Konto]],Table5[[Konto]:[Konto nimetus]],2,FALSE)</f>
        <v>Kinnistute, hoonete ja ruumide majandamiskulud</v>
      </c>
      <c r="L710">
        <v>55</v>
      </c>
      <c r="M710" t="str">
        <f t="shared" si="23"/>
        <v>55</v>
      </c>
      <c r="N710" s="3" t="str">
        <f>VLOOKUP(Table2[[#This Row],[Tulu/kulu liik2]],Table5[[Tulu/kulu liik]:[Kontode koondnimetus]],4,FALSE)</f>
        <v>Muud tegevuskulud</v>
      </c>
      <c r="O710" s="3" t="str">
        <f>VLOOKUP(Table2[[#This Row],[Tulu/kulu liik2]],Table5[],6,FALSE)</f>
        <v>Majandamiskulud</v>
      </c>
      <c r="P710" s="3" t="str">
        <f>VLOOKUP(Table2[[#This Row],[Tulu/kulu liik2]],Table5[],5,FALSE)</f>
        <v>Põhitegevuse kulu</v>
      </c>
    </row>
    <row r="711" spans="1:16" hidden="1" x14ac:dyDescent="0.25">
      <c r="A711" t="str">
        <f t="shared" si="22"/>
        <v>09</v>
      </c>
      <c r="B711" t="s">
        <v>319</v>
      </c>
      <c r="C711" s="3" t="str">
        <f>VLOOKUP(Table2[[#This Row],[Tegevusala]],Table4[],2,FALSE)</f>
        <v xml:space="preserve"> Laekvere Lasteaed</v>
      </c>
      <c r="D711" s="3" t="str">
        <f>VLOOKUP(Table2[[#This Row],[Tegevusala]],Table4[[Tegevusala kood]:[Tegevusala alanimetus]],4,FALSE)</f>
        <v>Alusharidus</v>
      </c>
      <c r="E711" s="3" t="str">
        <f>VLOOKUP(Table2[[#This Row],[Tegevusala nimetus2]],Table4[[Tegevusala nimetus]:[Tegevusala koondnimetus]],2,FALSE)</f>
        <v>Haridus</v>
      </c>
      <c r="F711" t="s">
        <v>1848</v>
      </c>
      <c r="G711" t="s">
        <v>394</v>
      </c>
      <c r="H711" s="40">
        <v>0</v>
      </c>
      <c r="J711">
        <v>5511</v>
      </c>
      <c r="K711" s="3" t="str">
        <f>VLOOKUP(Table2[[#This Row],[Konto]],Table5[[Konto]:[Konto nimetus]],2,FALSE)</f>
        <v>Kinnistute, hoonete ja ruumide majandamiskulud</v>
      </c>
      <c r="L711">
        <v>55</v>
      </c>
      <c r="M711" t="str">
        <f t="shared" si="23"/>
        <v>55</v>
      </c>
      <c r="N711" s="3" t="str">
        <f>VLOOKUP(Table2[[#This Row],[Tulu/kulu liik2]],Table5[[Tulu/kulu liik]:[Kontode koondnimetus]],4,FALSE)</f>
        <v>Muud tegevuskulud</v>
      </c>
      <c r="O711" s="3" t="str">
        <f>VLOOKUP(Table2[[#This Row],[Tulu/kulu liik2]],Table5[],6,FALSE)</f>
        <v>Majandamiskulud</v>
      </c>
      <c r="P711" s="3" t="str">
        <f>VLOOKUP(Table2[[#This Row],[Tulu/kulu liik2]],Table5[],5,FALSE)</f>
        <v>Põhitegevuse kulu</v>
      </c>
    </row>
    <row r="712" spans="1:16" hidden="1" x14ac:dyDescent="0.25">
      <c r="A712" t="str">
        <f t="shared" si="22"/>
        <v>09</v>
      </c>
      <c r="B712" t="s">
        <v>319</v>
      </c>
      <c r="C712" s="3" t="str">
        <f>VLOOKUP(Table2[[#This Row],[Tegevusala]],Table4[],2,FALSE)</f>
        <v xml:space="preserve"> Laekvere Lasteaed</v>
      </c>
      <c r="D712" s="3" t="str">
        <f>VLOOKUP(Table2[[#This Row],[Tegevusala]],Table4[[Tegevusala kood]:[Tegevusala alanimetus]],4,FALSE)</f>
        <v>Alusharidus</v>
      </c>
      <c r="E712" s="3" t="str">
        <f>VLOOKUP(Table2[[#This Row],[Tegevusala nimetus2]],Table4[[Tegevusala nimetus]:[Tegevusala koondnimetus]],2,FALSE)</f>
        <v>Haridus</v>
      </c>
      <c r="F712" t="s">
        <v>1848</v>
      </c>
      <c r="G712" t="s">
        <v>395</v>
      </c>
      <c r="H712" s="40">
        <v>1900</v>
      </c>
      <c r="J712">
        <v>5511</v>
      </c>
      <c r="K712" s="3" t="str">
        <f>VLOOKUP(Table2[[#This Row],[Konto]],Table5[[Konto]:[Konto nimetus]],2,FALSE)</f>
        <v>Kinnistute, hoonete ja ruumide majandamiskulud</v>
      </c>
      <c r="L712">
        <v>55</v>
      </c>
      <c r="M712" t="str">
        <f t="shared" si="23"/>
        <v>55</v>
      </c>
      <c r="N712" s="3" t="str">
        <f>VLOOKUP(Table2[[#This Row],[Tulu/kulu liik2]],Table5[[Tulu/kulu liik]:[Kontode koondnimetus]],4,FALSE)</f>
        <v>Muud tegevuskulud</v>
      </c>
      <c r="O712" s="3" t="str">
        <f>VLOOKUP(Table2[[#This Row],[Tulu/kulu liik2]],Table5[],6,FALSE)</f>
        <v>Majandamiskulud</v>
      </c>
      <c r="P712" s="3" t="str">
        <f>VLOOKUP(Table2[[#This Row],[Tulu/kulu liik2]],Table5[],5,FALSE)</f>
        <v>Põhitegevuse kulu</v>
      </c>
    </row>
    <row r="713" spans="1:16" hidden="1" x14ac:dyDescent="0.25">
      <c r="A713" t="str">
        <f t="shared" si="22"/>
        <v>09</v>
      </c>
      <c r="B713" t="s">
        <v>319</v>
      </c>
      <c r="C713" s="3" t="str">
        <f>VLOOKUP(Table2[[#This Row],[Tegevusala]],Table4[],2,FALSE)</f>
        <v xml:space="preserve"> Laekvere Lasteaed</v>
      </c>
      <c r="D713" s="3" t="str">
        <f>VLOOKUP(Table2[[#This Row],[Tegevusala]],Table4[[Tegevusala kood]:[Tegevusala alanimetus]],4,FALSE)</f>
        <v>Alusharidus</v>
      </c>
      <c r="E713" s="3" t="str">
        <f>VLOOKUP(Table2[[#This Row],[Tegevusala nimetus2]],Table4[[Tegevusala nimetus]:[Tegevusala koondnimetus]],2,FALSE)</f>
        <v>Haridus</v>
      </c>
      <c r="F713" t="s">
        <v>1848</v>
      </c>
      <c r="G713" t="s">
        <v>396</v>
      </c>
      <c r="H713" s="40">
        <v>500</v>
      </c>
      <c r="J713">
        <v>5511</v>
      </c>
      <c r="K713" s="3" t="str">
        <f>VLOOKUP(Table2[[#This Row],[Konto]],Table5[[Konto]:[Konto nimetus]],2,FALSE)</f>
        <v>Kinnistute, hoonete ja ruumide majandamiskulud</v>
      </c>
      <c r="L713">
        <v>55</v>
      </c>
      <c r="M713" t="str">
        <f t="shared" si="23"/>
        <v>55</v>
      </c>
      <c r="N713" s="3" t="str">
        <f>VLOOKUP(Table2[[#This Row],[Tulu/kulu liik2]],Table5[[Tulu/kulu liik]:[Kontode koondnimetus]],4,FALSE)</f>
        <v>Muud tegevuskulud</v>
      </c>
      <c r="O713" s="3" t="str">
        <f>VLOOKUP(Table2[[#This Row],[Tulu/kulu liik2]],Table5[],6,FALSE)</f>
        <v>Majandamiskulud</v>
      </c>
      <c r="P713" s="3" t="str">
        <f>VLOOKUP(Table2[[#This Row],[Tulu/kulu liik2]],Table5[],5,FALSE)</f>
        <v>Põhitegevuse kulu</v>
      </c>
    </row>
    <row r="714" spans="1:16" hidden="1" x14ac:dyDescent="0.25">
      <c r="A714" t="str">
        <f t="shared" si="22"/>
        <v>09</v>
      </c>
      <c r="B714" t="s">
        <v>319</v>
      </c>
      <c r="C714" s="3" t="str">
        <f>VLOOKUP(Table2[[#This Row],[Tegevusala]],Table4[],2,FALSE)</f>
        <v xml:space="preserve"> Laekvere Lasteaed</v>
      </c>
      <c r="D714" s="3" t="str">
        <f>VLOOKUP(Table2[[#This Row],[Tegevusala]],Table4[[Tegevusala kood]:[Tegevusala alanimetus]],4,FALSE)</f>
        <v>Alusharidus</v>
      </c>
      <c r="E714" s="3" t="str">
        <f>VLOOKUP(Table2[[#This Row],[Tegevusala nimetus2]],Table4[[Tegevusala nimetus]:[Tegevusala koondnimetus]],2,FALSE)</f>
        <v>Haridus</v>
      </c>
      <c r="F714" t="s">
        <v>1848</v>
      </c>
      <c r="G714" t="s">
        <v>397</v>
      </c>
      <c r="H714" s="40">
        <v>1200</v>
      </c>
      <c r="J714">
        <v>5511</v>
      </c>
      <c r="K714" s="3" t="str">
        <f>VLOOKUP(Table2[[#This Row],[Konto]],Table5[[Konto]:[Konto nimetus]],2,FALSE)</f>
        <v>Kinnistute, hoonete ja ruumide majandamiskulud</v>
      </c>
      <c r="L714">
        <v>55</v>
      </c>
      <c r="M714" t="str">
        <f t="shared" si="23"/>
        <v>55</v>
      </c>
      <c r="N714" s="3" t="str">
        <f>VLOOKUP(Table2[[#This Row],[Tulu/kulu liik2]],Table5[[Tulu/kulu liik]:[Kontode koondnimetus]],4,FALSE)</f>
        <v>Muud tegevuskulud</v>
      </c>
      <c r="O714" s="3" t="str">
        <f>VLOOKUP(Table2[[#This Row],[Tulu/kulu liik2]],Table5[],6,FALSE)</f>
        <v>Majandamiskulud</v>
      </c>
      <c r="P714" s="3" t="str">
        <f>VLOOKUP(Table2[[#This Row],[Tulu/kulu liik2]],Table5[],5,FALSE)</f>
        <v>Põhitegevuse kulu</v>
      </c>
    </row>
    <row r="715" spans="1:16" hidden="1" x14ac:dyDescent="0.25">
      <c r="A715" t="str">
        <f t="shared" si="22"/>
        <v>09</v>
      </c>
      <c r="B715" t="s">
        <v>319</v>
      </c>
      <c r="C715" s="3" t="str">
        <f>VLOOKUP(Table2[[#This Row],[Tegevusala]],Table4[],2,FALSE)</f>
        <v xml:space="preserve"> Laekvere Lasteaed</v>
      </c>
      <c r="D715" s="3" t="str">
        <f>VLOOKUP(Table2[[#This Row],[Tegevusala]],Table4[[Tegevusala kood]:[Tegevusala alanimetus]],4,FALSE)</f>
        <v>Alusharidus</v>
      </c>
      <c r="E715" s="3" t="str">
        <f>VLOOKUP(Table2[[#This Row],[Tegevusala nimetus2]],Table4[[Tegevusala nimetus]:[Tegevusala koondnimetus]],2,FALSE)</f>
        <v>Haridus</v>
      </c>
      <c r="F715" t="s">
        <v>1848</v>
      </c>
      <c r="G715" t="s">
        <v>1851</v>
      </c>
      <c r="H715" s="40">
        <v>200</v>
      </c>
      <c r="J715">
        <v>5511</v>
      </c>
      <c r="K715" s="3" t="str">
        <f>VLOOKUP(Table2[[#This Row],[Konto]],Table5[[Konto]:[Konto nimetus]],2,FALSE)</f>
        <v>Kinnistute, hoonete ja ruumide majandamiskulud</v>
      </c>
      <c r="L715">
        <v>55</v>
      </c>
      <c r="M715" t="str">
        <f t="shared" si="23"/>
        <v>55</v>
      </c>
      <c r="N715" s="3" t="str">
        <f>VLOOKUP(Table2[[#This Row],[Tulu/kulu liik2]],Table5[[Tulu/kulu liik]:[Kontode koondnimetus]],4,FALSE)</f>
        <v>Muud tegevuskulud</v>
      </c>
      <c r="O715" s="3" t="str">
        <f>VLOOKUP(Table2[[#This Row],[Tulu/kulu liik2]],Table5[],6,FALSE)</f>
        <v>Majandamiskulud</v>
      </c>
      <c r="P715" s="3" t="str">
        <f>VLOOKUP(Table2[[#This Row],[Tulu/kulu liik2]],Table5[],5,FALSE)</f>
        <v>Põhitegevuse kulu</v>
      </c>
    </row>
    <row r="716" spans="1:16" hidden="1" x14ac:dyDescent="0.25">
      <c r="A716" t="str">
        <f t="shared" si="22"/>
        <v>09</v>
      </c>
      <c r="B716" t="s">
        <v>319</v>
      </c>
      <c r="C716" s="3" t="str">
        <f>VLOOKUP(Table2[[#This Row],[Tegevusala]],Table4[],2,FALSE)</f>
        <v xml:space="preserve"> Laekvere Lasteaed</v>
      </c>
      <c r="D716" s="3" t="str">
        <f>VLOOKUP(Table2[[#This Row],[Tegevusala]],Table4[[Tegevusala kood]:[Tegevusala alanimetus]],4,FALSE)</f>
        <v>Alusharidus</v>
      </c>
      <c r="E716" s="3" t="str">
        <f>VLOOKUP(Table2[[#This Row],[Tegevusala nimetus2]],Table4[[Tegevusala nimetus]:[Tegevusala koondnimetus]],2,FALSE)</f>
        <v>Haridus</v>
      </c>
      <c r="F716" t="s">
        <v>1848</v>
      </c>
      <c r="G716" t="s">
        <v>398</v>
      </c>
      <c r="H716" s="40">
        <v>500</v>
      </c>
      <c r="J716">
        <v>5511</v>
      </c>
      <c r="K716" s="3" t="str">
        <f>VLOOKUP(Table2[[#This Row],[Konto]],Table5[[Konto]:[Konto nimetus]],2,FALSE)</f>
        <v>Kinnistute, hoonete ja ruumide majandamiskulud</v>
      </c>
      <c r="L716">
        <v>55</v>
      </c>
      <c r="M716" t="str">
        <f t="shared" si="23"/>
        <v>55</v>
      </c>
      <c r="N716" s="3" t="str">
        <f>VLOOKUP(Table2[[#This Row],[Tulu/kulu liik2]],Table5[[Tulu/kulu liik]:[Kontode koondnimetus]],4,FALSE)</f>
        <v>Muud tegevuskulud</v>
      </c>
      <c r="O716" s="3" t="str">
        <f>VLOOKUP(Table2[[#This Row],[Tulu/kulu liik2]],Table5[],6,FALSE)</f>
        <v>Majandamiskulud</v>
      </c>
      <c r="P716" s="3" t="str">
        <f>VLOOKUP(Table2[[#This Row],[Tulu/kulu liik2]],Table5[],5,FALSE)</f>
        <v>Põhitegevuse kulu</v>
      </c>
    </row>
    <row r="717" spans="1:16" hidden="1" x14ac:dyDescent="0.25">
      <c r="A717" t="str">
        <f t="shared" si="22"/>
        <v>09</v>
      </c>
      <c r="B717" t="s">
        <v>319</v>
      </c>
      <c r="C717" s="3" t="str">
        <f>VLOOKUP(Table2[[#This Row],[Tegevusala]],Table4[],2,FALSE)</f>
        <v xml:space="preserve"> Laekvere Lasteaed</v>
      </c>
      <c r="D717" s="3" t="str">
        <f>VLOOKUP(Table2[[#This Row],[Tegevusala]],Table4[[Tegevusala kood]:[Tegevusala alanimetus]],4,FALSE)</f>
        <v>Alusharidus</v>
      </c>
      <c r="E717" s="3" t="str">
        <f>VLOOKUP(Table2[[#This Row],[Tegevusala nimetus2]],Table4[[Tegevusala nimetus]:[Tegevusala koondnimetus]],2,FALSE)</f>
        <v>Haridus</v>
      </c>
      <c r="F717" t="s">
        <v>1848</v>
      </c>
      <c r="G717" t="s">
        <v>418</v>
      </c>
      <c r="H717" s="40">
        <v>150</v>
      </c>
      <c r="J717">
        <v>5511</v>
      </c>
      <c r="K717" s="3" t="str">
        <f>VLOOKUP(Table2[[#This Row],[Konto]],Table5[[Konto]:[Konto nimetus]],2,FALSE)</f>
        <v>Kinnistute, hoonete ja ruumide majandamiskulud</v>
      </c>
      <c r="L717">
        <v>55</v>
      </c>
      <c r="M717" t="str">
        <f t="shared" si="23"/>
        <v>55</v>
      </c>
      <c r="N717" s="3" t="str">
        <f>VLOOKUP(Table2[[#This Row],[Tulu/kulu liik2]],Table5[[Tulu/kulu liik]:[Kontode koondnimetus]],4,FALSE)</f>
        <v>Muud tegevuskulud</v>
      </c>
      <c r="O717" s="3" t="str">
        <f>VLOOKUP(Table2[[#This Row],[Tulu/kulu liik2]],Table5[],6,FALSE)</f>
        <v>Majandamiskulud</v>
      </c>
      <c r="P717" s="3" t="str">
        <f>VLOOKUP(Table2[[#This Row],[Tulu/kulu liik2]],Table5[],5,FALSE)</f>
        <v>Põhitegevuse kulu</v>
      </c>
    </row>
    <row r="718" spans="1:16" hidden="1" x14ac:dyDescent="0.25">
      <c r="A718" t="str">
        <f t="shared" si="22"/>
        <v>09</v>
      </c>
      <c r="B718" t="s">
        <v>319</v>
      </c>
      <c r="C718" s="3" t="str">
        <f>VLOOKUP(Table2[[#This Row],[Tegevusala]],Table4[],2,FALSE)</f>
        <v xml:space="preserve"> Laekvere Lasteaed</v>
      </c>
      <c r="D718" s="3" t="str">
        <f>VLOOKUP(Table2[[#This Row],[Tegevusala]],Table4[[Tegevusala kood]:[Tegevusala alanimetus]],4,FALSE)</f>
        <v>Alusharidus</v>
      </c>
      <c r="E718" s="3" t="str">
        <f>VLOOKUP(Table2[[#This Row],[Tegevusala nimetus2]],Table4[[Tegevusala nimetus]:[Tegevusala koondnimetus]],2,FALSE)</f>
        <v>Haridus</v>
      </c>
      <c r="F718" t="s">
        <v>1848</v>
      </c>
      <c r="G718" t="s">
        <v>1849</v>
      </c>
      <c r="H718" s="40">
        <v>600</v>
      </c>
      <c r="J718">
        <v>5500</v>
      </c>
      <c r="K718" s="3" t="str">
        <f>VLOOKUP(Table2[[#This Row],[Konto]],Table5[[Konto]:[Konto nimetus]],2,FALSE)</f>
        <v>Administreerimiskulud</v>
      </c>
      <c r="L718">
        <v>55</v>
      </c>
      <c r="M718" t="str">
        <f t="shared" si="23"/>
        <v>55</v>
      </c>
      <c r="N718" s="3" t="str">
        <f>VLOOKUP(Table2[[#This Row],[Tulu/kulu liik2]],Table5[[Tulu/kulu liik]:[Kontode koondnimetus]],4,FALSE)</f>
        <v>Muud tegevuskulud</v>
      </c>
      <c r="O718" s="3" t="str">
        <f>VLOOKUP(Table2[[#This Row],[Tulu/kulu liik2]],Table5[],6,FALSE)</f>
        <v>Majandamiskulud</v>
      </c>
      <c r="P718" s="3" t="str">
        <f>VLOOKUP(Table2[[#This Row],[Tulu/kulu liik2]],Table5[],5,FALSE)</f>
        <v>Põhitegevuse kulu</v>
      </c>
    </row>
    <row r="719" spans="1:16" hidden="1" x14ac:dyDescent="0.25">
      <c r="A719" t="str">
        <f t="shared" si="22"/>
        <v>09</v>
      </c>
      <c r="B719" t="s">
        <v>319</v>
      </c>
      <c r="C719" s="3" t="str">
        <f>VLOOKUP(Table2[[#This Row],[Tegevusala]],Table4[],2,FALSE)</f>
        <v xml:space="preserve"> Laekvere Lasteaed</v>
      </c>
      <c r="D719" s="3" t="str">
        <f>VLOOKUP(Table2[[#This Row],[Tegevusala]],Table4[[Tegevusala kood]:[Tegevusala alanimetus]],4,FALSE)</f>
        <v>Alusharidus</v>
      </c>
      <c r="E719" s="3" t="str">
        <f>VLOOKUP(Table2[[#This Row],[Tegevusala nimetus2]],Table4[[Tegevusala nimetus]:[Tegevusala koondnimetus]],2,FALSE)</f>
        <v>Haridus</v>
      </c>
      <c r="F719" t="s">
        <v>1848</v>
      </c>
      <c r="G719" t="s">
        <v>383</v>
      </c>
      <c r="H719" s="40">
        <v>400</v>
      </c>
      <c r="J719">
        <v>5500</v>
      </c>
      <c r="K719" s="3" t="str">
        <f>VLOOKUP(Table2[[#This Row],[Konto]],Table5[[Konto]:[Konto nimetus]],2,FALSE)</f>
        <v>Administreerimiskulud</v>
      </c>
      <c r="L719">
        <v>55</v>
      </c>
      <c r="M719" t="str">
        <f t="shared" si="23"/>
        <v>55</v>
      </c>
      <c r="N719" s="3" t="str">
        <f>VLOOKUP(Table2[[#This Row],[Tulu/kulu liik2]],Table5[[Tulu/kulu liik]:[Kontode koondnimetus]],4,FALSE)</f>
        <v>Muud tegevuskulud</v>
      </c>
      <c r="O719" s="3" t="str">
        <f>VLOOKUP(Table2[[#This Row],[Tulu/kulu liik2]],Table5[],6,FALSE)</f>
        <v>Majandamiskulud</v>
      </c>
      <c r="P719" s="3" t="str">
        <f>VLOOKUP(Table2[[#This Row],[Tulu/kulu liik2]],Table5[],5,FALSE)</f>
        <v>Põhitegevuse kulu</v>
      </c>
    </row>
    <row r="720" spans="1:16" hidden="1" x14ac:dyDescent="0.25">
      <c r="A720" t="str">
        <f t="shared" si="22"/>
        <v>09</v>
      </c>
      <c r="B720" t="s">
        <v>319</v>
      </c>
      <c r="C720" s="3" t="str">
        <f>VLOOKUP(Table2[[#This Row],[Tegevusala]],Table4[],2,FALSE)</f>
        <v xml:space="preserve"> Laekvere Lasteaed</v>
      </c>
      <c r="D720" s="3" t="str">
        <f>VLOOKUP(Table2[[#This Row],[Tegevusala]],Table4[[Tegevusala kood]:[Tegevusala alanimetus]],4,FALSE)</f>
        <v>Alusharidus</v>
      </c>
      <c r="E720" s="3" t="str">
        <f>VLOOKUP(Table2[[#This Row],[Tegevusala nimetus2]],Table4[[Tegevusala nimetus]:[Tegevusala koondnimetus]],2,FALSE)</f>
        <v>Haridus</v>
      </c>
      <c r="F720" t="s">
        <v>1848</v>
      </c>
      <c r="G720" t="s">
        <v>384</v>
      </c>
      <c r="H720" s="40">
        <v>100</v>
      </c>
      <c r="J720">
        <v>5500</v>
      </c>
      <c r="K720" s="3" t="str">
        <f>VLOOKUP(Table2[[#This Row],[Konto]],Table5[[Konto]:[Konto nimetus]],2,FALSE)</f>
        <v>Administreerimiskulud</v>
      </c>
      <c r="L720">
        <v>55</v>
      </c>
      <c r="M720" t="str">
        <f t="shared" si="23"/>
        <v>55</v>
      </c>
      <c r="N720" s="3" t="str">
        <f>VLOOKUP(Table2[[#This Row],[Tulu/kulu liik2]],Table5[[Tulu/kulu liik]:[Kontode koondnimetus]],4,FALSE)</f>
        <v>Muud tegevuskulud</v>
      </c>
      <c r="O720" s="3" t="str">
        <f>VLOOKUP(Table2[[#This Row],[Tulu/kulu liik2]],Table5[],6,FALSE)</f>
        <v>Majandamiskulud</v>
      </c>
      <c r="P720" s="3" t="str">
        <f>VLOOKUP(Table2[[#This Row],[Tulu/kulu liik2]],Table5[],5,FALSE)</f>
        <v>Põhitegevuse kulu</v>
      </c>
    </row>
    <row r="721" spans="1:16" hidden="1" x14ac:dyDescent="0.25">
      <c r="A721" t="str">
        <f t="shared" si="22"/>
        <v>09</v>
      </c>
      <c r="B721" t="s">
        <v>319</v>
      </c>
      <c r="C721" s="3" t="str">
        <f>VLOOKUP(Table2[[#This Row],[Tegevusala]],Table4[],2,FALSE)</f>
        <v xml:space="preserve"> Laekvere Lasteaed</v>
      </c>
      <c r="D721" s="3" t="str">
        <f>VLOOKUP(Table2[[#This Row],[Tegevusala]],Table4[[Tegevusala kood]:[Tegevusala alanimetus]],4,FALSE)</f>
        <v>Alusharidus</v>
      </c>
      <c r="E721" s="3" t="str">
        <f>VLOOKUP(Table2[[#This Row],[Tegevusala nimetus2]],Table4[[Tegevusala nimetus]:[Tegevusala koondnimetus]],2,FALSE)</f>
        <v>Haridus</v>
      </c>
      <c r="F721" t="s">
        <v>1848</v>
      </c>
      <c r="G721" t="s">
        <v>385</v>
      </c>
      <c r="H721" s="40">
        <v>50</v>
      </c>
      <c r="J721">
        <v>5500</v>
      </c>
      <c r="K721" s="3" t="str">
        <f>VLOOKUP(Table2[[#This Row],[Konto]],Table5[[Konto]:[Konto nimetus]],2,FALSE)</f>
        <v>Administreerimiskulud</v>
      </c>
      <c r="L721">
        <v>55</v>
      </c>
      <c r="M721" t="str">
        <f t="shared" si="23"/>
        <v>55</v>
      </c>
      <c r="N721" s="3" t="str">
        <f>VLOOKUP(Table2[[#This Row],[Tulu/kulu liik2]],Table5[[Tulu/kulu liik]:[Kontode koondnimetus]],4,FALSE)</f>
        <v>Muud tegevuskulud</v>
      </c>
      <c r="O721" s="3" t="str">
        <f>VLOOKUP(Table2[[#This Row],[Tulu/kulu liik2]],Table5[],6,FALSE)</f>
        <v>Majandamiskulud</v>
      </c>
      <c r="P721" s="3" t="str">
        <f>VLOOKUP(Table2[[#This Row],[Tulu/kulu liik2]],Table5[],5,FALSE)</f>
        <v>Põhitegevuse kulu</v>
      </c>
    </row>
    <row r="722" spans="1:16" hidden="1" x14ac:dyDescent="0.25">
      <c r="A722" t="str">
        <f t="shared" si="22"/>
        <v>09</v>
      </c>
      <c r="B722" t="s">
        <v>319</v>
      </c>
      <c r="C722" s="3" t="str">
        <f>VLOOKUP(Table2[[#This Row],[Tegevusala]],Table4[],2,FALSE)</f>
        <v xml:space="preserve"> Laekvere Lasteaed</v>
      </c>
      <c r="D722" s="3" t="str">
        <f>VLOOKUP(Table2[[#This Row],[Tegevusala]],Table4[[Tegevusala kood]:[Tegevusala alanimetus]],4,FALSE)</f>
        <v>Alusharidus</v>
      </c>
      <c r="E722" s="3" t="str">
        <f>VLOOKUP(Table2[[#This Row],[Tegevusala nimetus2]],Table4[[Tegevusala nimetus]:[Tegevusala koondnimetus]],2,FALSE)</f>
        <v>Haridus</v>
      </c>
      <c r="F722" t="s">
        <v>1848</v>
      </c>
      <c r="G722" t="s">
        <v>386</v>
      </c>
      <c r="H722" s="40">
        <v>300</v>
      </c>
      <c r="J722">
        <v>5500</v>
      </c>
      <c r="K722" s="3" t="str">
        <f>VLOOKUP(Table2[[#This Row],[Konto]],Table5[[Konto]:[Konto nimetus]],2,FALSE)</f>
        <v>Administreerimiskulud</v>
      </c>
      <c r="L722">
        <v>55</v>
      </c>
      <c r="M722" t="str">
        <f t="shared" si="23"/>
        <v>55</v>
      </c>
      <c r="N722" s="3" t="str">
        <f>VLOOKUP(Table2[[#This Row],[Tulu/kulu liik2]],Table5[[Tulu/kulu liik]:[Kontode koondnimetus]],4,FALSE)</f>
        <v>Muud tegevuskulud</v>
      </c>
      <c r="O722" s="3" t="str">
        <f>VLOOKUP(Table2[[#This Row],[Tulu/kulu liik2]],Table5[],6,FALSE)</f>
        <v>Majandamiskulud</v>
      </c>
      <c r="P722" s="3" t="str">
        <f>VLOOKUP(Table2[[#This Row],[Tulu/kulu liik2]],Table5[],5,FALSE)</f>
        <v>Põhitegevuse kulu</v>
      </c>
    </row>
    <row r="723" spans="1:16" hidden="1" x14ac:dyDescent="0.25">
      <c r="A723" t="str">
        <f t="shared" si="22"/>
        <v>09</v>
      </c>
      <c r="B723" t="s">
        <v>319</v>
      </c>
      <c r="C723" s="3" t="str">
        <f>VLOOKUP(Table2[[#This Row],[Tegevusala]],Table4[],2,FALSE)</f>
        <v xml:space="preserve"> Laekvere Lasteaed</v>
      </c>
      <c r="D723" s="3" t="str">
        <f>VLOOKUP(Table2[[#This Row],[Tegevusala]],Table4[[Tegevusala kood]:[Tegevusala alanimetus]],4,FALSE)</f>
        <v>Alusharidus</v>
      </c>
      <c r="E723" s="3" t="str">
        <f>VLOOKUP(Table2[[#This Row],[Tegevusala nimetus2]],Table4[[Tegevusala nimetus]:[Tegevusala koondnimetus]],2,FALSE)</f>
        <v>Haridus</v>
      </c>
      <c r="F723" t="s">
        <v>1848</v>
      </c>
      <c r="G723" t="s">
        <v>387</v>
      </c>
      <c r="H723" s="40">
        <v>0</v>
      </c>
      <c r="J723">
        <v>5500</v>
      </c>
      <c r="K723" s="3" t="str">
        <f>VLOOKUP(Table2[[#This Row],[Konto]],Table5[[Konto]:[Konto nimetus]],2,FALSE)</f>
        <v>Administreerimiskulud</v>
      </c>
      <c r="L723">
        <v>55</v>
      </c>
      <c r="M723" t="str">
        <f t="shared" si="23"/>
        <v>55</v>
      </c>
      <c r="N723" s="3" t="str">
        <f>VLOOKUP(Table2[[#This Row],[Tulu/kulu liik2]],Table5[[Tulu/kulu liik]:[Kontode koondnimetus]],4,FALSE)</f>
        <v>Muud tegevuskulud</v>
      </c>
      <c r="O723" s="3" t="str">
        <f>VLOOKUP(Table2[[#This Row],[Tulu/kulu liik2]],Table5[],6,FALSE)</f>
        <v>Majandamiskulud</v>
      </c>
      <c r="P723" s="3" t="str">
        <f>VLOOKUP(Table2[[#This Row],[Tulu/kulu liik2]],Table5[],5,FALSE)</f>
        <v>Põhitegevuse kulu</v>
      </c>
    </row>
    <row r="724" spans="1:16" hidden="1" x14ac:dyDescent="0.25">
      <c r="A724" t="str">
        <f t="shared" si="22"/>
        <v>09</v>
      </c>
      <c r="B724" t="s">
        <v>319</v>
      </c>
      <c r="C724" s="3" t="str">
        <f>VLOOKUP(Table2[[#This Row],[Tegevusala]],Table4[],2,FALSE)</f>
        <v xml:space="preserve"> Laekvere Lasteaed</v>
      </c>
      <c r="D724" s="3" t="str">
        <f>VLOOKUP(Table2[[#This Row],[Tegevusala]],Table4[[Tegevusala kood]:[Tegevusala alanimetus]],4,FALSE)</f>
        <v>Alusharidus</v>
      </c>
      <c r="E724" s="3" t="str">
        <f>VLOOKUP(Table2[[#This Row],[Tegevusala nimetus2]],Table4[[Tegevusala nimetus]:[Tegevusala koondnimetus]],2,FALSE)</f>
        <v>Haridus</v>
      </c>
      <c r="F724" t="s">
        <v>1848</v>
      </c>
      <c r="G724" t="s">
        <v>388</v>
      </c>
      <c r="H724" s="40">
        <v>100</v>
      </c>
      <c r="J724">
        <v>5500</v>
      </c>
      <c r="K724" s="3" t="str">
        <f>VLOOKUP(Table2[[#This Row],[Konto]],Table5[[Konto]:[Konto nimetus]],2,FALSE)</f>
        <v>Administreerimiskulud</v>
      </c>
      <c r="L724">
        <v>55</v>
      </c>
      <c r="M724" t="str">
        <f t="shared" si="23"/>
        <v>55</v>
      </c>
      <c r="N724" s="3" t="str">
        <f>VLOOKUP(Table2[[#This Row],[Tulu/kulu liik2]],Table5[[Tulu/kulu liik]:[Kontode koondnimetus]],4,FALSE)</f>
        <v>Muud tegevuskulud</v>
      </c>
      <c r="O724" s="3" t="str">
        <f>VLOOKUP(Table2[[#This Row],[Tulu/kulu liik2]],Table5[],6,FALSE)</f>
        <v>Majandamiskulud</v>
      </c>
      <c r="P724" s="3" t="str">
        <f>VLOOKUP(Table2[[#This Row],[Tulu/kulu liik2]],Table5[],5,FALSE)</f>
        <v>Põhitegevuse kulu</v>
      </c>
    </row>
    <row r="725" spans="1:16" hidden="1" x14ac:dyDescent="0.25">
      <c r="A725" t="str">
        <f t="shared" si="22"/>
        <v>09</v>
      </c>
      <c r="B725" t="s">
        <v>319</v>
      </c>
      <c r="C725" s="3" t="str">
        <f>VLOOKUP(Table2[[#This Row],[Tegevusala]],Table4[],2,FALSE)</f>
        <v xml:space="preserve"> Laekvere Lasteaed</v>
      </c>
      <c r="D725" s="3" t="str">
        <f>VLOOKUP(Table2[[#This Row],[Tegevusala]],Table4[[Tegevusala kood]:[Tegevusala alanimetus]],4,FALSE)</f>
        <v>Alusharidus</v>
      </c>
      <c r="E725" s="3" t="str">
        <f>VLOOKUP(Table2[[#This Row],[Tegevusala nimetus2]],Table4[[Tegevusala nimetus]:[Tegevusala koondnimetus]],2,FALSE)</f>
        <v>Haridus</v>
      </c>
      <c r="F725" t="s">
        <v>1848</v>
      </c>
      <c r="G725" t="s">
        <v>389</v>
      </c>
      <c r="H725" s="40">
        <v>130</v>
      </c>
      <c r="J725">
        <v>5500</v>
      </c>
      <c r="K725" s="3" t="str">
        <f>VLOOKUP(Table2[[#This Row],[Konto]],Table5[[Konto]:[Konto nimetus]],2,FALSE)</f>
        <v>Administreerimiskulud</v>
      </c>
      <c r="L725">
        <v>55</v>
      </c>
      <c r="M725" t="str">
        <f t="shared" si="23"/>
        <v>55</v>
      </c>
      <c r="N725" s="3" t="str">
        <f>VLOOKUP(Table2[[#This Row],[Tulu/kulu liik2]],Table5[[Tulu/kulu liik]:[Kontode koondnimetus]],4,FALSE)</f>
        <v>Muud tegevuskulud</v>
      </c>
      <c r="O725" s="3" t="str">
        <f>VLOOKUP(Table2[[#This Row],[Tulu/kulu liik2]],Table5[],6,FALSE)</f>
        <v>Majandamiskulud</v>
      </c>
      <c r="P725" s="3" t="str">
        <f>VLOOKUP(Table2[[#This Row],[Tulu/kulu liik2]],Table5[],5,FALSE)</f>
        <v>Põhitegevuse kulu</v>
      </c>
    </row>
    <row r="726" spans="1:16" hidden="1" x14ac:dyDescent="0.25">
      <c r="A726" t="str">
        <f t="shared" si="22"/>
        <v>09</v>
      </c>
      <c r="B726" t="s">
        <v>319</v>
      </c>
      <c r="C726" s="3" t="str">
        <f>VLOOKUP(Table2[[#This Row],[Tegevusala]],Table4[],2,FALSE)</f>
        <v xml:space="preserve"> Laekvere Lasteaed</v>
      </c>
      <c r="D726" s="3" t="str">
        <f>VLOOKUP(Table2[[#This Row],[Tegevusala]],Table4[[Tegevusala kood]:[Tegevusala alanimetus]],4,FALSE)</f>
        <v>Alusharidus</v>
      </c>
      <c r="E726" s="3" t="str">
        <f>VLOOKUP(Table2[[#This Row],[Tegevusala nimetus2]],Table4[[Tegevusala nimetus]:[Tegevusala koondnimetus]],2,FALSE)</f>
        <v>Haridus</v>
      </c>
      <c r="F726" t="s">
        <v>1848</v>
      </c>
      <c r="G726" t="s">
        <v>390</v>
      </c>
      <c r="H726" s="40">
        <v>50</v>
      </c>
      <c r="J726">
        <v>5500</v>
      </c>
      <c r="K726" s="3" t="str">
        <f>VLOOKUP(Table2[[#This Row],[Konto]],Table5[[Konto]:[Konto nimetus]],2,FALSE)</f>
        <v>Administreerimiskulud</v>
      </c>
      <c r="L726">
        <v>55</v>
      </c>
      <c r="M726" t="str">
        <f t="shared" si="23"/>
        <v>55</v>
      </c>
      <c r="N726" s="3" t="str">
        <f>VLOOKUP(Table2[[#This Row],[Tulu/kulu liik2]],Table5[[Tulu/kulu liik]:[Kontode koondnimetus]],4,FALSE)</f>
        <v>Muud tegevuskulud</v>
      </c>
      <c r="O726" s="3" t="str">
        <f>VLOOKUP(Table2[[#This Row],[Tulu/kulu liik2]],Table5[],6,FALSE)</f>
        <v>Majandamiskulud</v>
      </c>
      <c r="P726" s="3" t="str">
        <f>VLOOKUP(Table2[[#This Row],[Tulu/kulu liik2]],Table5[],5,FALSE)</f>
        <v>Põhitegevuse kulu</v>
      </c>
    </row>
    <row r="727" spans="1:16" hidden="1" x14ac:dyDescent="0.25">
      <c r="A727" t="str">
        <f t="shared" si="22"/>
        <v>09</v>
      </c>
      <c r="B727" t="s">
        <v>319</v>
      </c>
      <c r="C727" s="3" t="str">
        <f>VLOOKUP(Table2[[#This Row],[Tegevusala]],Table4[],2,FALSE)</f>
        <v xml:space="preserve"> Laekvere Lasteaed</v>
      </c>
      <c r="D727" s="3" t="str">
        <f>VLOOKUP(Table2[[#This Row],[Tegevusala]],Table4[[Tegevusala kood]:[Tegevusala alanimetus]],4,FALSE)</f>
        <v>Alusharidus</v>
      </c>
      <c r="E727" s="3" t="str">
        <f>VLOOKUP(Table2[[#This Row],[Tegevusala nimetus2]],Table4[[Tegevusala nimetus]:[Tegevusala koondnimetus]],2,FALSE)</f>
        <v>Haridus</v>
      </c>
      <c r="F727" t="s">
        <v>1848</v>
      </c>
      <c r="G727" t="s">
        <v>1850</v>
      </c>
      <c r="H727" s="40">
        <v>100</v>
      </c>
      <c r="J727">
        <v>5500</v>
      </c>
      <c r="K727" s="3" t="str">
        <f>VLOOKUP(Table2[[#This Row],[Konto]],Table5[[Konto]:[Konto nimetus]],2,FALSE)</f>
        <v>Administreerimiskulud</v>
      </c>
      <c r="L727">
        <v>55</v>
      </c>
      <c r="M727" t="str">
        <f t="shared" si="23"/>
        <v>55</v>
      </c>
      <c r="N727" s="3" t="str">
        <f>VLOOKUP(Table2[[#This Row],[Tulu/kulu liik2]],Table5[[Tulu/kulu liik]:[Kontode koondnimetus]],4,FALSE)</f>
        <v>Muud tegevuskulud</v>
      </c>
      <c r="O727" s="3" t="str">
        <f>VLOOKUP(Table2[[#This Row],[Tulu/kulu liik2]],Table5[],6,FALSE)</f>
        <v>Majandamiskulud</v>
      </c>
      <c r="P727" s="3" t="str">
        <f>VLOOKUP(Table2[[#This Row],[Tulu/kulu liik2]],Table5[],5,FALSE)</f>
        <v>Põhitegevuse kulu</v>
      </c>
    </row>
    <row r="728" spans="1:16" hidden="1" x14ac:dyDescent="0.25">
      <c r="A728" t="str">
        <f t="shared" si="22"/>
        <v>09</v>
      </c>
      <c r="B728" t="s">
        <v>319</v>
      </c>
      <c r="C728" s="3" t="str">
        <f>VLOOKUP(Table2[[#This Row],[Tegevusala]],Table4[],2,FALSE)</f>
        <v xml:space="preserve"> Laekvere Lasteaed</v>
      </c>
      <c r="D728" s="3" t="str">
        <f>VLOOKUP(Table2[[#This Row],[Tegevusala]],Table4[[Tegevusala kood]:[Tegevusala alanimetus]],4,FALSE)</f>
        <v>Alusharidus</v>
      </c>
      <c r="E728" s="3" t="str">
        <f>VLOOKUP(Table2[[#This Row],[Tegevusala nimetus2]],Table4[[Tegevusala nimetus]:[Tegevusala koondnimetus]],2,FALSE)</f>
        <v>Haridus</v>
      </c>
      <c r="F728" t="s">
        <v>1848</v>
      </c>
      <c r="G728" t="s">
        <v>391</v>
      </c>
      <c r="H728" s="40">
        <v>500</v>
      </c>
      <c r="J728">
        <v>5504</v>
      </c>
      <c r="K728" s="3" t="str">
        <f>VLOOKUP(Table2[[#This Row],[Konto]],Table5[[Konto]:[Konto nimetus]],2,FALSE)</f>
        <v>Koolituskulud</v>
      </c>
      <c r="L728">
        <v>55</v>
      </c>
      <c r="M728" t="str">
        <f t="shared" si="23"/>
        <v>55</v>
      </c>
      <c r="N728" s="3" t="str">
        <f>VLOOKUP(Table2[[#This Row],[Tulu/kulu liik2]],Table5[[Tulu/kulu liik]:[Kontode koondnimetus]],4,FALSE)</f>
        <v>Muud tegevuskulud</v>
      </c>
      <c r="O728" s="3" t="str">
        <f>VLOOKUP(Table2[[#This Row],[Tulu/kulu liik2]],Table5[],6,FALSE)</f>
        <v>Majandamiskulud</v>
      </c>
      <c r="P728" s="3" t="str">
        <f>VLOOKUP(Table2[[#This Row],[Tulu/kulu liik2]],Table5[],5,FALSE)</f>
        <v>Põhitegevuse kulu</v>
      </c>
    </row>
    <row r="729" spans="1:16" hidden="1" x14ac:dyDescent="0.25">
      <c r="A729" t="str">
        <f t="shared" si="22"/>
        <v>09</v>
      </c>
      <c r="B729" t="s">
        <v>319</v>
      </c>
      <c r="C729" s="3" t="str">
        <f>VLOOKUP(Table2[[#This Row],[Tegevusala]],Table4[],2,FALSE)</f>
        <v xml:space="preserve"> Laekvere Lasteaed</v>
      </c>
      <c r="D729" s="3" t="str">
        <f>VLOOKUP(Table2[[#This Row],[Tegevusala]],Table4[[Tegevusala kood]:[Tegevusala alanimetus]],4,FALSE)</f>
        <v>Alusharidus</v>
      </c>
      <c r="E729" s="3" t="str">
        <f>VLOOKUP(Table2[[#This Row],[Tegevusala nimetus2]],Table4[[Tegevusala nimetus]:[Tegevusala koondnimetus]],2,FALSE)</f>
        <v>Haridus</v>
      </c>
      <c r="F729" t="s">
        <v>1848</v>
      </c>
      <c r="G729" t="s">
        <v>399</v>
      </c>
      <c r="H729" s="40">
        <v>500</v>
      </c>
      <c r="J729">
        <v>5513</v>
      </c>
      <c r="K729" s="3" t="str">
        <f>VLOOKUP(Table2[[#This Row],[Konto]],Table5[[Konto]:[Konto nimetus]],2,FALSE)</f>
        <v>Sõidukite ülalpidamise kulud</v>
      </c>
      <c r="L729">
        <v>55</v>
      </c>
      <c r="M729" t="str">
        <f t="shared" si="23"/>
        <v>55</v>
      </c>
      <c r="N729" s="3" t="str">
        <f>VLOOKUP(Table2[[#This Row],[Tulu/kulu liik2]],Table5[[Tulu/kulu liik]:[Kontode koondnimetus]],4,FALSE)</f>
        <v>Muud tegevuskulud</v>
      </c>
      <c r="O729" s="3" t="str">
        <f>VLOOKUP(Table2[[#This Row],[Tulu/kulu liik2]],Table5[],6,FALSE)</f>
        <v>Majandamiskulud</v>
      </c>
      <c r="P729" s="3" t="str">
        <f>VLOOKUP(Table2[[#This Row],[Tulu/kulu liik2]],Table5[],5,FALSE)</f>
        <v>Põhitegevuse kulu</v>
      </c>
    </row>
    <row r="730" spans="1:16" hidden="1" x14ac:dyDescent="0.25">
      <c r="A730" t="str">
        <f t="shared" si="22"/>
        <v>09</v>
      </c>
      <c r="B730" t="s">
        <v>319</v>
      </c>
      <c r="C730" s="3" t="str">
        <f>VLOOKUP(Table2[[#This Row],[Tegevusala]],Table4[],2,FALSE)</f>
        <v xml:space="preserve"> Laekvere Lasteaed</v>
      </c>
      <c r="D730" s="3" t="str">
        <f>VLOOKUP(Table2[[#This Row],[Tegevusala]],Table4[[Tegevusala kood]:[Tegevusala alanimetus]],4,FALSE)</f>
        <v>Alusharidus</v>
      </c>
      <c r="E730" s="3" t="str">
        <f>VLOOKUP(Table2[[#This Row],[Tegevusala nimetus2]],Table4[[Tegevusala nimetus]:[Tegevusala koondnimetus]],2,FALSE)</f>
        <v>Haridus</v>
      </c>
      <c r="F730" t="s">
        <v>1848</v>
      </c>
      <c r="G730" t="s">
        <v>405</v>
      </c>
      <c r="H730" s="40">
        <v>500</v>
      </c>
      <c r="J730">
        <v>5515</v>
      </c>
      <c r="K730" s="3" t="str">
        <f>VLOOKUP(Table2[[#This Row],[Konto]],Table5[[Konto]:[Konto nimetus]],2,FALSE)</f>
        <v>Inventari kulud, v.a infotehnoloogia ja kaitseotstarbelised kulud</v>
      </c>
      <c r="L730">
        <v>55</v>
      </c>
      <c r="M730" t="str">
        <f t="shared" si="23"/>
        <v>55</v>
      </c>
      <c r="N730" s="3" t="str">
        <f>VLOOKUP(Table2[[#This Row],[Tulu/kulu liik2]],Table5[[Tulu/kulu liik]:[Kontode koondnimetus]],4,FALSE)</f>
        <v>Muud tegevuskulud</v>
      </c>
      <c r="O730" s="3" t="str">
        <f>VLOOKUP(Table2[[#This Row],[Tulu/kulu liik2]],Table5[],6,FALSE)</f>
        <v>Majandamiskulud</v>
      </c>
      <c r="P730" s="3" t="str">
        <f>VLOOKUP(Table2[[#This Row],[Tulu/kulu liik2]],Table5[],5,FALSE)</f>
        <v>Põhitegevuse kulu</v>
      </c>
    </row>
    <row r="731" spans="1:16" hidden="1" x14ac:dyDescent="0.25">
      <c r="A731" t="str">
        <f t="shared" si="22"/>
        <v>09</v>
      </c>
      <c r="B731" t="s">
        <v>319</v>
      </c>
      <c r="C731" s="3" t="str">
        <f>VLOOKUP(Table2[[#This Row],[Tegevusala]],Table4[],2,FALSE)</f>
        <v xml:space="preserve"> Laekvere Lasteaed</v>
      </c>
      <c r="D731" s="3" t="str">
        <f>VLOOKUP(Table2[[#This Row],[Tegevusala]],Table4[[Tegevusala kood]:[Tegevusala alanimetus]],4,FALSE)</f>
        <v>Alusharidus</v>
      </c>
      <c r="E731" s="3" t="str">
        <f>VLOOKUP(Table2[[#This Row],[Tegevusala nimetus2]],Table4[[Tegevusala nimetus]:[Tegevusala koondnimetus]],2,FALSE)</f>
        <v>Haridus</v>
      </c>
      <c r="F731" t="s">
        <v>1848</v>
      </c>
      <c r="G731" t="s">
        <v>1852</v>
      </c>
      <c r="H731" s="40">
        <v>300</v>
      </c>
      <c r="J731">
        <v>5515</v>
      </c>
      <c r="K731" s="3" t="str">
        <f>VLOOKUP(Table2[[#This Row],[Konto]],Table5[[Konto]:[Konto nimetus]],2,FALSE)</f>
        <v>Inventari kulud, v.a infotehnoloogia ja kaitseotstarbelised kulud</v>
      </c>
      <c r="L731">
        <v>55</v>
      </c>
      <c r="M731" t="str">
        <f t="shared" si="23"/>
        <v>55</v>
      </c>
      <c r="N731" s="3" t="str">
        <f>VLOOKUP(Table2[[#This Row],[Tulu/kulu liik2]],Table5[[Tulu/kulu liik]:[Kontode koondnimetus]],4,FALSE)</f>
        <v>Muud tegevuskulud</v>
      </c>
      <c r="O731" s="3" t="str">
        <f>VLOOKUP(Table2[[#This Row],[Tulu/kulu liik2]],Table5[],6,FALSE)</f>
        <v>Majandamiskulud</v>
      </c>
      <c r="P731" s="3" t="str">
        <f>VLOOKUP(Table2[[#This Row],[Tulu/kulu liik2]],Table5[],5,FALSE)</f>
        <v>Põhitegevuse kulu</v>
      </c>
    </row>
    <row r="732" spans="1:16" hidden="1" x14ac:dyDescent="0.25">
      <c r="A732" t="str">
        <f t="shared" si="22"/>
        <v>09</v>
      </c>
      <c r="B732" t="s">
        <v>319</v>
      </c>
      <c r="C732" s="3" t="str">
        <f>VLOOKUP(Table2[[#This Row],[Tegevusala]],Table4[],2,FALSE)</f>
        <v xml:space="preserve"> Laekvere Lasteaed</v>
      </c>
      <c r="D732" s="3" t="str">
        <f>VLOOKUP(Table2[[#This Row],[Tegevusala]],Table4[[Tegevusala kood]:[Tegevusala alanimetus]],4,FALSE)</f>
        <v>Alusharidus</v>
      </c>
      <c r="E732" s="3" t="str">
        <f>VLOOKUP(Table2[[#This Row],[Tegevusala nimetus2]],Table4[[Tegevusala nimetus]:[Tegevusala koondnimetus]],2,FALSE)</f>
        <v>Haridus</v>
      </c>
      <c r="F732" t="s">
        <v>1848</v>
      </c>
      <c r="G732" t="s">
        <v>1118</v>
      </c>
      <c r="H732" s="40">
        <v>8000</v>
      </c>
      <c r="J732">
        <v>5521</v>
      </c>
      <c r="K732" s="3" t="str">
        <f>VLOOKUP(Table2[[#This Row],[Konto]],Table5[[Konto]:[Konto nimetus]],2,FALSE)</f>
        <v>Toiduained ja toitlustusteenused</v>
      </c>
      <c r="L732">
        <v>55</v>
      </c>
      <c r="M732" t="str">
        <f t="shared" si="23"/>
        <v>55</v>
      </c>
      <c r="N732" s="3" t="str">
        <f>VLOOKUP(Table2[[#This Row],[Tulu/kulu liik2]],Table5[[Tulu/kulu liik]:[Kontode koondnimetus]],4,FALSE)</f>
        <v>Muud tegevuskulud</v>
      </c>
      <c r="O732" s="3" t="str">
        <f>VLOOKUP(Table2[[#This Row],[Tulu/kulu liik2]],Table5[],6,FALSE)</f>
        <v>Majandamiskulud</v>
      </c>
      <c r="P732" s="3" t="str">
        <f>VLOOKUP(Table2[[#This Row],[Tulu/kulu liik2]],Table5[],5,FALSE)</f>
        <v>Põhitegevuse kulu</v>
      </c>
    </row>
    <row r="733" spans="1:16" hidden="1" x14ac:dyDescent="0.25">
      <c r="A733" t="str">
        <f t="shared" si="22"/>
        <v>09</v>
      </c>
      <c r="B733" t="s">
        <v>319</v>
      </c>
      <c r="C733" s="3" t="str">
        <f>VLOOKUP(Table2[[#This Row],[Tegevusala]],Table4[],2,FALSE)</f>
        <v xml:space="preserve"> Laekvere Lasteaed</v>
      </c>
      <c r="D733" s="3" t="str">
        <f>VLOOKUP(Table2[[#This Row],[Tegevusala]],Table4[[Tegevusala kood]:[Tegevusala alanimetus]],4,FALSE)</f>
        <v>Alusharidus</v>
      </c>
      <c r="E733" s="3" t="str">
        <f>VLOOKUP(Table2[[#This Row],[Tegevusala nimetus2]],Table4[[Tegevusala nimetus]:[Tegevusala koondnimetus]],2,FALSE)</f>
        <v>Haridus</v>
      </c>
      <c r="F733" t="s">
        <v>1848</v>
      </c>
      <c r="G733" t="s">
        <v>406</v>
      </c>
      <c r="H733" s="40">
        <v>50</v>
      </c>
      <c r="J733">
        <v>5522</v>
      </c>
      <c r="K733" s="3" t="str">
        <f>VLOOKUP(Table2[[#This Row],[Konto]],Table5[[Konto]:[Konto nimetus]],2,FALSE)</f>
        <v>Meditsiinikulud ja hügieenitarbed</v>
      </c>
      <c r="L733">
        <v>55</v>
      </c>
      <c r="M733" t="str">
        <f t="shared" si="23"/>
        <v>55</v>
      </c>
      <c r="N733" s="3" t="str">
        <f>VLOOKUP(Table2[[#This Row],[Tulu/kulu liik2]],Table5[[Tulu/kulu liik]:[Kontode koondnimetus]],4,FALSE)</f>
        <v>Muud tegevuskulud</v>
      </c>
      <c r="O733" s="3" t="str">
        <f>VLOOKUP(Table2[[#This Row],[Tulu/kulu liik2]],Table5[],6,FALSE)</f>
        <v>Majandamiskulud</v>
      </c>
      <c r="P733" s="3" t="str">
        <f>VLOOKUP(Table2[[#This Row],[Tulu/kulu liik2]],Table5[],5,FALSE)</f>
        <v>Põhitegevuse kulu</v>
      </c>
    </row>
    <row r="734" spans="1:16" hidden="1" x14ac:dyDescent="0.25">
      <c r="A734" t="str">
        <f t="shared" si="22"/>
        <v>09</v>
      </c>
      <c r="B734" t="s">
        <v>319</v>
      </c>
      <c r="C734" s="3" t="str">
        <f>VLOOKUP(Table2[[#This Row],[Tegevusala]],Table4[],2,FALSE)</f>
        <v xml:space="preserve"> Laekvere Lasteaed</v>
      </c>
      <c r="D734" s="3" t="str">
        <f>VLOOKUP(Table2[[#This Row],[Tegevusala]],Table4[[Tegevusala kood]:[Tegevusala alanimetus]],4,FALSE)</f>
        <v>Alusharidus</v>
      </c>
      <c r="E734" s="3" t="str">
        <f>VLOOKUP(Table2[[#This Row],[Tegevusala nimetus2]],Table4[[Tegevusala nimetus]:[Tegevusala koondnimetus]],2,FALSE)</f>
        <v>Haridus</v>
      </c>
      <c r="F734" t="s">
        <v>1848</v>
      </c>
      <c r="G734" t="s">
        <v>408</v>
      </c>
      <c r="H734" s="40">
        <v>50</v>
      </c>
      <c r="J734">
        <v>5522</v>
      </c>
      <c r="K734" s="3" t="str">
        <f>VLOOKUP(Table2[[#This Row],[Konto]],Table5[[Konto]:[Konto nimetus]],2,FALSE)</f>
        <v>Meditsiinikulud ja hügieenitarbed</v>
      </c>
      <c r="L734">
        <v>55</v>
      </c>
      <c r="M734" t="str">
        <f t="shared" si="23"/>
        <v>55</v>
      </c>
      <c r="N734" s="3" t="str">
        <f>VLOOKUP(Table2[[#This Row],[Tulu/kulu liik2]],Table5[[Tulu/kulu liik]:[Kontode koondnimetus]],4,FALSE)</f>
        <v>Muud tegevuskulud</v>
      </c>
      <c r="O734" s="3" t="str">
        <f>VLOOKUP(Table2[[#This Row],[Tulu/kulu liik2]],Table5[],6,FALSE)</f>
        <v>Majandamiskulud</v>
      </c>
      <c r="P734" s="3" t="str">
        <f>VLOOKUP(Table2[[#This Row],[Tulu/kulu liik2]],Table5[],5,FALSE)</f>
        <v>Põhitegevuse kulu</v>
      </c>
    </row>
    <row r="735" spans="1:16" hidden="1" x14ac:dyDescent="0.25">
      <c r="A735" t="str">
        <f t="shared" si="22"/>
        <v>09</v>
      </c>
      <c r="B735" t="s">
        <v>319</v>
      </c>
      <c r="C735" s="3" t="str">
        <f>VLOOKUP(Table2[[#This Row],[Tegevusala]],Table4[],2,FALSE)</f>
        <v xml:space="preserve"> Laekvere Lasteaed</v>
      </c>
      <c r="D735" s="3" t="str">
        <f>VLOOKUP(Table2[[#This Row],[Tegevusala]],Table4[[Tegevusala kood]:[Tegevusala alanimetus]],4,FALSE)</f>
        <v>Alusharidus</v>
      </c>
      <c r="E735" s="3" t="str">
        <f>VLOOKUP(Table2[[#This Row],[Tegevusala nimetus2]],Table4[[Tegevusala nimetus]:[Tegevusala koondnimetus]],2,FALSE)</f>
        <v>Haridus</v>
      </c>
      <c r="F735" t="s">
        <v>1848</v>
      </c>
      <c r="G735" t="s">
        <v>409</v>
      </c>
      <c r="H735" s="40">
        <v>300</v>
      </c>
      <c r="J735">
        <v>5522</v>
      </c>
      <c r="K735" s="3" t="str">
        <f>VLOOKUP(Table2[[#This Row],[Konto]],Table5[[Konto]:[Konto nimetus]],2,FALSE)</f>
        <v>Meditsiinikulud ja hügieenitarbed</v>
      </c>
      <c r="L735">
        <v>55</v>
      </c>
      <c r="M735" t="str">
        <f t="shared" si="23"/>
        <v>55</v>
      </c>
      <c r="N735" s="3" t="str">
        <f>VLOOKUP(Table2[[#This Row],[Tulu/kulu liik2]],Table5[[Tulu/kulu liik]:[Kontode koondnimetus]],4,FALSE)</f>
        <v>Muud tegevuskulud</v>
      </c>
      <c r="O735" s="3" t="str">
        <f>VLOOKUP(Table2[[#This Row],[Tulu/kulu liik2]],Table5[],6,FALSE)</f>
        <v>Majandamiskulud</v>
      </c>
      <c r="P735" s="3" t="str">
        <f>VLOOKUP(Table2[[#This Row],[Tulu/kulu liik2]],Table5[],5,FALSE)</f>
        <v>Põhitegevuse kulu</v>
      </c>
    </row>
    <row r="736" spans="1:16" hidden="1" x14ac:dyDescent="0.25">
      <c r="A736" t="str">
        <f t="shared" si="22"/>
        <v>09</v>
      </c>
      <c r="B736" t="s">
        <v>319</v>
      </c>
      <c r="C736" s="3" t="str">
        <f>VLOOKUP(Table2[[#This Row],[Tegevusala]],Table4[],2,FALSE)</f>
        <v xml:space="preserve"> Laekvere Lasteaed</v>
      </c>
      <c r="D736" s="3" t="str">
        <f>VLOOKUP(Table2[[#This Row],[Tegevusala]],Table4[[Tegevusala kood]:[Tegevusala alanimetus]],4,FALSE)</f>
        <v>Alusharidus</v>
      </c>
      <c r="E736" s="3" t="str">
        <f>VLOOKUP(Table2[[#This Row],[Tegevusala nimetus2]],Table4[[Tegevusala nimetus]:[Tegevusala koondnimetus]],2,FALSE)</f>
        <v>Haridus</v>
      </c>
      <c r="F736" t="s">
        <v>1848</v>
      </c>
      <c r="G736" t="s">
        <v>410</v>
      </c>
      <c r="H736" s="40">
        <v>800</v>
      </c>
      <c r="J736">
        <v>5524</v>
      </c>
      <c r="K736" s="3" t="str">
        <f>VLOOKUP(Table2[[#This Row],[Konto]],Table5[[Konto]:[Konto nimetus]],2,FALSE)</f>
        <v>Õppevahendid</v>
      </c>
      <c r="L736">
        <v>55</v>
      </c>
      <c r="M736" t="str">
        <f t="shared" si="23"/>
        <v>55</v>
      </c>
      <c r="N736" s="3" t="str">
        <f>VLOOKUP(Table2[[#This Row],[Tulu/kulu liik2]],Table5[[Tulu/kulu liik]:[Kontode koondnimetus]],4,FALSE)</f>
        <v>Muud tegevuskulud</v>
      </c>
      <c r="O736" s="3" t="str">
        <f>VLOOKUP(Table2[[#This Row],[Tulu/kulu liik2]],Table5[],6,FALSE)</f>
        <v>Majandamiskulud</v>
      </c>
      <c r="P736" s="3" t="str">
        <f>VLOOKUP(Table2[[#This Row],[Tulu/kulu liik2]],Table5[],5,FALSE)</f>
        <v>Põhitegevuse kulu</v>
      </c>
    </row>
    <row r="737" spans="1:16" hidden="1" x14ac:dyDescent="0.25">
      <c r="A737" t="str">
        <f t="shared" si="22"/>
        <v>09</v>
      </c>
      <c r="B737" t="s">
        <v>319</v>
      </c>
      <c r="C737" s="3" t="str">
        <f>VLOOKUP(Table2[[#This Row],[Tegevusala]],Table4[],2,FALSE)</f>
        <v xml:space="preserve"> Laekvere Lasteaed</v>
      </c>
      <c r="D737" s="3" t="str">
        <f>VLOOKUP(Table2[[#This Row],[Tegevusala]],Table4[[Tegevusala kood]:[Tegevusala alanimetus]],4,FALSE)</f>
        <v>Alusharidus</v>
      </c>
      <c r="E737" s="3" t="str">
        <f>VLOOKUP(Table2[[#This Row],[Tegevusala nimetus2]],Table4[[Tegevusala nimetus]:[Tegevusala koondnimetus]],2,FALSE)</f>
        <v>Haridus</v>
      </c>
      <c r="F737" t="s">
        <v>1848</v>
      </c>
      <c r="G737" t="s">
        <v>411</v>
      </c>
      <c r="H737" s="40">
        <v>800</v>
      </c>
      <c r="J737">
        <v>5524</v>
      </c>
      <c r="K737" s="3" t="str">
        <f>VLOOKUP(Table2[[#This Row],[Konto]],Table5[[Konto]:[Konto nimetus]],2,FALSE)</f>
        <v>Õppevahendid</v>
      </c>
      <c r="L737">
        <v>55</v>
      </c>
      <c r="M737" t="str">
        <f t="shared" si="23"/>
        <v>55</v>
      </c>
      <c r="N737" s="3" t="str">
        <f>VLOOKUP(Table2[[#This Row],[Tulu/kulu liik2]],Table5[[Tulu/kulu liik]:[Kontode koondnimetus]],4,FALSE)</f>
        <v>Muud tegevuskulud</v>
      </c>
      <c r="O737" s="3" t="str">
        <f>VLOOKUP(Table2[[#This Row],[Tulu/kulu liik2]],Table5[],6,FALSE)</f>
        <v>Majandamiskulud</v>
      </c>
      <c r="P737" s="3" t="str">
        <f>VLOOKUP(Table2[[#This Row],[Tulu/kulu liik2]],Table5[],5,FALSE)</f>
        <v>Põhitegevuse kulu</v>
      </c>
    </row>
    <row r="738" spans="1:16" hidden="1" x14ac:dyDescent="0.25">
      <c r="A738" t="str">
        <f t="shared" si="22"/>
        <v>09</v>
      </c>
      <c r="B738" t="s">
        <v>319</v>
      </c>
      <c r="C738" s="3" t="str">
        <f>VLOOKUP(Table2[[#This Row],[Tegevusala]],Table4[],2,FALSE)</f>
        <v xml:space="preserve"> Laekvere Lasteaed</v>
      </c>
      <c r="D738" s="3" t="str">
        <f>VLOOKUP(Table2[[#This Row],[Tegevusala]],Table4[[Tegevusala kood]:[Tegevusala alanimetus]],4,FALSE)</f>
        <v>Alusharidus</v>
      </c>
      <c r="E738" s="3" t="str">
        <f>VLOOKUP(Table2[[#This Row],[Tegevusala nimetus2]],Table4[[Tegevusala nimetus]:[Tegevusala koondnimetus]],2,FALSE)</f>
        <v>Haridus</v>
      </c>
      <c r="F738" t="s">
        <v>1848</v>
      </c>
      <c r="G738" t="s">
        <v>412</v>
      </c>
      <c r="H738" s="40">
        <v>900</v>
      </c>
      <c r="J738">
        <v>5524</v>
      </c>
      <c r="K738" s="3" t="str">
        <f>VLOOKUP(Table2[[#This Row],[Konto]],Table5[[Konto]:[Konto nimetus]],2,FALSE)</f>
        <v>Õppevahendid</v>
      </c>
      <c r="L738">
        <v>55</v>
      </c>
      <c r="M738" t="str">
        <f t="shared" si="23"/>
        <v>55</v>
      </c>
      <c r="N738" s="3" t="str">
        <f>VLOOKUP(Table2[[#This Row],[Tulu/kulu liik2]],Table5[[Tulu/kulu liik]:[Kontode koondnimetus]],4,FALSE)</f>
        <v>Muud tegevuskulud</v>
      </c>
      <c r="O738" s="3" t="str">
        <f>VLOOKUP(Table2[[#This Row],[Tulu/kulu liik2]],Table5[],6,FALSE)</f>
        <v>Majandamiskulud</v>
      </c>
      <c r="P738" s="3" t="str">
        <f>VLOOKUP(Table2[[#This Row],[Tulu/kulu liik2]],Table5[],5,FALSE)</f>
        <v>Põhitegevuse kulu</v>
      </c>
    </row>
    <row r="739" spans="1:16" hidden="1" x14ac:dyDescent="0.25">
      <c r="A739" t="str">
        <f t="shared" si="22"/>
        <v>09</v>
      </c>
      <c r="B739" t="s">
        <v>319</v>
      </c>
      <c r="C739" s="3" t="str">
        <f>VLOOKUP(Table2[[#This Row],[Tegevusala]],Table4[],2,FALSE)</f>
        <v xml:space="preserve"> Laekvere Lasteaed</v>
      </c>
      <c r="D739" s="3" t="str">
        <f>VLOOKUP(Table2[[#This Row],[Tegevusala]],Table4[[Tegevusala kood]:[Tegevusala alanimetus]],4,FALSE)</f>
        <v>Alusharidus</v>
      </c>
      <c r="E739" s="3" t="str">
        <f>VLOOKUP(Table2[[#This Row],[Tegevusala nimetus2]],Table4[[Tegevusala nimetus]:[Tegevusala koondnimetus]],2,FALSE)</f>
        <v>Haridus</v>
      </c>
      <c r="F739" t="s">
        <v>1848</v>
      </c>
      <c r="G739" t="s">
        <v>413</v>
      </c>
      <c r="H739" s="40">
        <v>100</v>
      </c>
      <c r="J739">
        <v>5524</v>
      </c>
      <c r="K739" s="3" t="str">
        <f>VLOOKUP(Table2[[#This Row],[Konto]],Table5[[Konto]:[Konto nimetus]],2,FALSE)</f>
        <v>Õppevahendid</v>
      </c>
      <c r="L739">
        <v>55</v>
      </c>
      <c r="M739" t="str">
        <f t="shared" si="23"/>
        <v>55</v>
      </c>
      <c r="N739" s="3" t="str">
        <f>VLOOKUP(Table2[[#This Row],[Tulu/kulu liik2]],Table5[[Tulu/kulu liik]:[Kontode koondnimetus]],4,FALSE)</f>
        <v>Muud tegevuskulud</v>
      </c>
      <c r="O739" s="3" t="str">
        <f>VLOOKUP(Table2[[#This Row],[Tulu/kulu liik2]],Table5[],6,FALSE)</f>
        <v>Majandamiskulud</v>
      </c>
      <c r="P739" s="3" t="str">
        <f>VLOOKUP(Table2[[#This Row],[Tulu/kulu liik2]],Table5[],5,FALSE)</f>
        <v>Põhitegevuse kulu</v>
      </c>
    </row>
    <row r="740" spans="1:16" hidden="1" x14ac:dyDescent="0.25">
      <c r="A740" t="str">
        <f t="shared" si="22"/>
        <v>09</v>
      </c>
      <c r="B740" t="s">
        <v>319</v>
      </c>
      <c r="C740" s="3" t="str">
        <f>VLOOKUP(Table2[[#This Row],[Tegevusala]],Table4[],2,FALSE)</f>
        <v xml:space="preserve"> Laekvere Lasteaed</v>
      </c>
      <c r="D740" s="3" t="str">
        <f>VLOOKUP(Table2[[#This Row],[Tegevusala]],Table4[[Tegevusala kood]:[Tegevusala alanimetus]],4,FALSE)</f>
        <v>Alusharidus</v>
      </c>
      <c r="E740" s="3" t="str">
        <f>VLOOKUP(Table2[[#This Row],[Tegevusala nimetus2]],Table4[[Tegevusala nimetus]:[Tegevusala koondnimetus]],2,FALSE)</f>
        <v>Haridus</v>
      </c>
      <c r="F740" t="s">
        <v>1848</v>
      </c>
      <c r="G740" t="s">
        <v>414</v>
      </c>
      <c r="H740" s="40">
        <v>500</v>
      </c>
      <c r="J740">
        <v>5524</v>
      </c>
      <c r="K740" s="3" t="str">
        <f>VLOOKUP(Table2[[#This Row],[Konto]],Table5[[Konto]:[Konto nimetus]],2,FALSE)</f>
        <v>Õppevahendid</v>
      </c>
      <c r="L740">
        <v>55</v>
      </c>
      <c r="M740" t="str">
        <f t="shared" si="23"/>
        <v>55</v>
      </c>
      <c r="N740" s="3" t="str">
        <f>VLOOKUP(Table2[[#This Row],[Tulu/kulu liik2]],Table5[[Tulu/kulu liik]:[Kontode koondnimetus]],4,FALSE)</f>
        <v>Muud tegevuskulud</v>
      </c>
      <c r="O740" s="3" t="str">
        <f>VLOOKUP(Table2[[#This Row],[Tulu/kulu liik2]],Table5[],6,FALSE)</f>
        <v>Majandamiskulud</v>
      </c>
      <c r="P740" s="3" t="str">
        <f>VLOOKUP(Table2[[#This Row],[Tulu/kulu liik2]],Table5[],5,FALSE)</f>
        <v>Põhitegevuse kulu</v>
      </c>
    </row>
    <row r="741" spans="1:16" hidden="1" x14ac:dyDescent="0.25">
      <c r="A741" t="str">
        <f t="shared" si="22"/>
        <v>09</v>
      </c>
      <c r="B741" t="s">
        <v>319</v>
      </c>
      <c r="C741" s="3" t="str">
        <f>VLOOKUP(Table2[[#This Row],[Tegevusala]],Table4[],2,FALSE)</f>
        <v xml:space="preserve"> Laekvere Lasteaed</v>
      </c>
      <c r="D741" s="3" t="str">
        <f>VLOOKUP(Table2[[#This Row],[Tegevusala]],Table4[[Tegevusala kood]:[Tegevusala alanimetus]],4,FALSE)</f>
        <v>Alusharidus</v>
      </c>
      <c r="E741" s="3" t="str">
        <f>VLOOKUP(Table2[[#This Row],[Tegevusala nimetus2]],Table4[[Tegevusala nimetus]:[Tegevusala koondnimetus]],2,FALSE)</f>
        <v>Haridus</v>
      </c>
      <c r="F741" t="s">
        <v>1848</v>
      </c>
      <c r="G741" t="s">
        <v>415</v>
      </c>
      <c r="H741" s="40">
        <v>500</v>
      </c>
      <c r="J741">
        <v>5525</v>
      </c>
      <c r="K741" s="3" t="str">
        <f>VLOOKUP(Table2[[#This Row],[Konto]],Table5[[Konto]:[Konto nimetus]],2,FALSE)</f>
        <v>Kommunikatsiooni-, kultuuri- ja vaba aja sisustamise kulud</v>
      </c>
      <c r="L741">
        <v>55</v>
      </c>
      <c r="M741" t="str">
        <f t="shared" si="23"/>
        <v>55</v>
      </c>
      <c r="N741" s="3" t="str">
        <f>VLOOKUP(Table2[[#This Row],[Tulu/kulu liik2]],Table5[[Tulu/kulu liik]:[Kontode koondnimetus]],4,FALSE)</f>
        <v>Muud tegevuskulud</v>
      </c>
      <c r="O741" s="3" t="str">
        <f>VLOOKUP(Table2[[#This Row],[Tulu/kulu liik2]],Table5[],6,FALSE)</f>
        <v>Majandamiskulud</v>
      </c>
      <c r="P741" s="3" t="str">
        <f>VLOOKUP(Table2[[#This Row],[Tulu/kulu liik2]],Table5[],5,FALSE)</f>
        <v>Põhitegevuse kulu</v>
      </c>
    </row>
    <row r="742" spans="1:16" hidden="1" x14ac:dyDescent="0.25">
      <c r="A742" t="str">
        <f t="shared" si="22"/>
        <v>09</v>
      </c>
      <c r="B742" t="s">
        <v>319</v>
      </c>
      <c r="C742" s="3" t="str">
        <f>VLOOKUP(Table2[[#This Row],[Tegevusala]],Table4[],2,FALSE)</f>
        <v xml:space="preserve"> Laekvere Lasteaed</v>
      </c>
      <c r="D742" s="3" t="str">
        <f>VLOOKUP(Table2[[#This Row],[Tegevusala]],Table4[[Tegevusala kood]:[Tegevusala alanimetus]],4,FALSE)</f>
        <v>Alusharidus</v>
      </c>
      <c r="E742" s="3" t="str">
        <f>VLOOKUP(Table2[[#This Row],[Tegevusala nimetus2]],Table4[[Tegevusala nimetus]:[Tegevusala koondnimetus]],2,FALSE)</f>
        <v>Haridus</v>
      </c>
      <c r="F742" t="s">
        <v>1848</v>
      </c>
      <c r="G742" t="s">
        <v>416</v>
      </c>
      <c r="H742" s="40">
        <v>100</v>
      </c>
      <c r="J742">
        <v>5525</v>
      </c>
      <c r="K742" s="3" t="str">
        <f>VLOOKUP(Table2[[#This Row],[Konto]],Table5[[Konto]:[Konto nimetus]],2,FALSE)</f>
        <v>Kommunikatsiooni-, kultuuri- ja vaba aja sisustamise kulud</v>
      </c>
      <c r="L742">
        <v>55</v>
      </c>
      <c r="M742" t="str">
        <f t="shared" si="23"/>
        <v>55</v>
      </c>
      <c r="N742" s="3" t="str">
        <f>VLOOKUP(Table2[[#This Row],[Tulu/kulu liik2]],Table5[[Tulu/kulu liik]:[Kontode koondnimetus]],4,FALSE)</f>
        <v>Muud tegevuskulud</v>
      </c>
      <c r="O742" s="3" t="str">
        <f>VLOOKUP(Table2[[#This Row],[Tulu/kulu liik2]],Table5[],6,FALSE)</f>
        <v>Majandamiskulud</v>
      </c>
      <c r="P742" s="3" t="str">
        <f>VLOOKUP(Table2[[#This Row],[Tulu/kulu liik2]],Table5[],5,FALSE)</f>
        <v>Põhitegevuse kulu</v>
      </c>
    </row>
    <row r="743" spans="1:16" hidden="1" x14ac:dyDescent="0.25">
      <c r="A743" t="str">
        <f t="shared" si="22"/>
        <v>09</v>
      </c>
      <c r="B743" t="s">
        <v>319</v>
      </c>
      <c r="C743" s="3" t="str">
        <f>VLOOKUP(Table2[[#This Row],[Tegevusala]],Table4[],2,FALSE)</f>
        <v xml:space="preserve"> Laekvere Lasteaed</v>
      </c>
      <c r="D743" s="3" t="str">
        <f>VLOOKUP(Table2[[#This Row],[Tegevusala]],Table4[[Tegevusala kood]:[Tegevusala alanimetus]],4,FALSE)</f>
        <v>Alusharidus</v>
      </c>
      <c r="E743" s="3" t="str">
        <f>VLOOKUP(Table2[[#This Row],[Tegevusala nimetus2]],Table4[[Tegevusala nimetus]:[Tegevusala koondnimetus]],2,FALSE)</f>
        <v>Haridus</v>
      </c>
      <c r="F743" t="s">
        <v>1848</v>
      </c>
      <c r="G743" t="s">
        <v>417</v>
      </c>
      <c r="H743" s="40">
        <v>1000</v>
      </c>
      <c r="J743">
        <v>5525</v>
      </c>
      <c r="K743" s="3" t="str">
        <f>VLOOKUP(Table2[[#This Row],[Konto]],Table5[[Konto]:[Konto nimetus]],2,FALSE)</f>
        <v>Kommunikatsiooni-, kultuuri- ja vaba aja sisustamise kulud</v>
      </c>
      <c r="L743">
        <v>55</v>
      </c>
      <c r="M743" t="str">
        <f t="shared" si="23"/>
        <v>55</v>
      </c>
      <c r="N743" s="3" t="str">
        <f>VLOOKUP(Table2[[#This Row],[Tulu/kulu liik2]],Table5[[Tulu/kulu liik]:[Kontode koondnimetus]],4,FALSE)</f>
        <v>Muud tegevuskulud</v>
      </c>
      <c r="O743" s="3" t="str">
        <f>VLOOKUP(Table2[[#This Row],[Tulu/kulu liik2]],Table5[],6,FALSE)</f>
        <v>Majandamiskulud</v>
      </c>
      <c r="P743" s="3" t="str">
        <f>VLOOKUP(Table2[[#This Row],[Tulu/kulu liik2]],Table5[],5,FALSE)</f>
        <v>Põhitegevuse kulu</v>
      </c>
    </row>
    <row r="744" spans="1:16" hidden="1" x14ac:dyDescent="0.25">
      <c r="A744" t="str">
        <f t="shared" si="22"/>
        <v>09</v>
      </c>
      <c r="B744" t="s">
        <v>319</v>
      </c>
      <c r="C744" s="3" t="str">
        <f>VLOOKUP(Table2[[#This Row],[Tegevusala]],Table4[],2,FALSE)</f>
        <v xml:space="preserve"> Laekvere Lasteaed</v>
      </c>
      <c r="D744" s="3" t="str">
        <f>VLOOKUP(Table2[[#This Row],[Tegevusala]],Table4[[Tegevusala kood]:[Tegevusala alanimetus]],4,FALSE)</f>
        <v>Alusharidus</v>
      </c>
      <c r="E744" s="3" t="str">
        <f>VLOOKUP(Table2[[#This Row],[Tegevusala nimetus2]],Table4[[Tegevusala nimetus]:[Tegevusala koondnimetus]],2,FALSE)</f>
        <v>Haridus</v>
      </c>
      <c r="F744" t="s">
        <v>1848</v>
      </c>
      <c r="G744" t="s">
        <v>401</v>
      </c>
      <c r="H744" s="40">
        <v>300</v>
      </c>
      <c r="J744">
        <v>5514</v>
      </c>
      <c r="K744" s="3" t="str">
        <f>VLOOKUP(Table2[[#This Row],[Konto]],Table5[[Konto]:[Konto nimetus]],2,FALSE)</f>
        <v>Info- ja kommunikatsioonitehnoliigised kulud</v>
      </c>
      <c r="L744">
        <v>55</v>
      </c>
      <c r="M744" t="str">
        <f t="shared" si="23"/>
        <v>55</v>
      </c>
      <c r="N744" s="3" t="str">
        <f>VLOOKUP(Table2[[#This Row],[Tulu/kulu liik2]],Table5[[Tulu/kulu liik]:[Kontode koondnimetus]],4,FALSE)</f>
        <v>Muud tegevuskulud</v>
      </c>
      <c r="O744" s="3" t="str">
        <f>VLOOKUP(Table2[[#This Row],[Tulu/kulu liik2]],Table5[],6,FALSE)</f>
        <v>Majandamiskulud</v>
      </c>
      <c r="P744" s="3" t="str">
        <f>VLOOKUP(Table2[[#This Row],[Tulu/kulu liik2]],Table5[],5,FALSE)</f>
        <v>Põhitegevuse kulu</v>
      </c>
    </row>
    <row r="745" spans="1:16" hidden="1" x14ac:dyDescent="0.25">
      <c r="A745" t="str">
        <f t="shared" si="22"/>
        <v>09</v>
      </c>
      <c r="B745" t="s">
        <v>319</v>
      </c>
      <c r="C745" s="3" t="str">
        <f>VLOOKUP(Table2[[#This Row],[Tegevusala]],Table4[],2,FALSE)</f>
        <v xml:space="preserve"> Laekvere Lasteaed</v>
      </c>
      <c r="D745" s="3" t="str">
        <f>VLOOKUP(Table2[[#This Row],[Tegevusala]],Table4[[Tegevusala kood]:[Tegevusala alanimetus]],4,FALSE)</f>
        <v>Alusharidus</v>
      </c>
      <c r="E745" s="3" t="str">
        <f>VLOOKUP(Table2[[#This Row],[Tegevusala nimetus2]],Table4[[Tegevusala nimetus]:[Tegevusala koondnimetus]],2,FALSE)</f>
        <v>Haridus</v>
      </c>
      <c r="F745" t="s">
        <v>1848</v>
      </c>
      <c r="G745" t="s">
        <v>402</v>
      </c>
      <c r="H745" s="40">
        <v>250</v>
      </c>
      <c r="J745">
        <v>5514</v>
      </c>
      <c r="K745" s="3" t="str">
        <f>VLOOKUP(Table2[[#This Row],[Konto]],Table5[[Konto]:[Konto nimetus]],2,FALSE)</f>
        <v>Info- ja kommunikatsioonitehnoliigised kulud</v>
      </c>
      <c r="L745">
        <v>55</v>
      </c>
      <c r="M745" t="str">
        <f t="shared" si="23"/>
        <v>55</v>
      </c>
      <c r="N745" s="3" t="str">
        <f>VLOOKUP(Table2[[#This Row],[Tulu/kulu liik2]],Table5[[Tulu/kulu liik]:[Kontode koondnimetus]],4,FALSE)</f>
        <v>Muud tegevuskulud</v>
      </c>
      <c r="O745" s="3" t="str">
        <f>VLOOKUP(Table2[[#This Row],[Tulu/kulu liik2]],Table5[],6,FALSE)</f>
        <v>Majandamiskulud</v>
      </c>
      <c r="P745" s="3" t="str">
        <f>VLOOKUP(Table2[[#This Row],[Tulu/kulu liik2]],Table5[],5,FALSE)</f>
        <v>Põhitegevuse kulu</v>
      </c>
    </row>
    <row r="746" spans="1:16" hidden="1" x14ac:dyDescent="0.25">
      <c r="A746" t="str">
        <f t="shared" si="22"/>
        <v>09</v>
      </c>
      <c r="B746" t="s">
        <v>319</v>
      </c>
      <c r="C746" s="3" t="str">
        <f>VLOOKUP(Table2[[#This Row],[Tegevusala]],Table4[],2,FALSE)</f>
        <v xml:space="preserve"> Laekvere Lasteaed</v>
      </c>
      <c r="D746" s="3" t="str">
        <f>VLOOKUP(Table2[[#This Row],[Tegevusala]],Table4[[Tegevusala kood]:[Tegevusala alanimetus]],4,FALSE)</f>
        <v>Alusharidus</v>
      </c>
      <c r="E746" s="3" t="str">
        <f>VLOOKUP(Table2[[#This Row],[Tegevusala nimetus2]],Table4[[Tegevusala nimetus]:[Tegevusala koondnimetus]],2,FALSE)</f>
        <v>Haridus</v>
      </c>
      <c r="F746" t="s">
        <v>1848</v>
      </c>
      <c r="G746" t="s">
        <v>403</v>
      </c>
      <c r="H746" s="40">
        <v>100</v>
      </c>
      <c r="J746">
        <v>5514</v>
      </c>
      <c r="K746" s="3" t="str">
        <f>VLOOKUP(Table2[[#This Row],[Konto]],Table5[[Konto]:[Konto nimetus]],2,FALSE)</f>
        <v>Info- ja kommunikatsioonitehnoliigised kulud</v>
      </c>
      <c r="L746">
        <v>55</v>
      </c>
      <c r="M746" t="str">
        <f t="shared" si="23"/>
        <v>55</v>
      </c>
      <c r="N746" s="3" t="str">
        <f>VLOOKUP(Table2[[#This Row],[Tulu/kulu liik2]],Table5[[Tulu/kulu liik]:[Kontode koondnimetus]],4,FALSE)</f>
        <v>Muud tegevuskulud</v>
      </c>
      <c r="O746" s="3" t="str">
        <f>VLOOKUP(Table2[[#This Row],[Tulu/kulu liik2]],Table5[],6,FALSE)</f>
        <v>Majandamiskulud</v>
      </c>
      <c r="P746" s="3" t="str">
        <f>VLOOKUP(Table2[[#This Row],[Tulu/kulu liik2]],Table5[],5,FALSE)</f>
        <v>Põhitegevuse kulu</v>
      </c>
    </row>
    <row r="747" spans="1:16" hidden="1" x14ac:dyDescent="0.25">
      <c r="A747" t="str">
        <f t="shared" si="22"/>
        <v>09</v>
      </c>
      <c r="B747" t="s">
        <v>319</v>
      </c>
      <c r="C747" s="3" t="str">
        <f>VLOOKUP(Table2[[#This Row],[Tegevusala]],Table4[],2,FALSE)</f>
        <v xml:space="preserve"> Laekvere Lasteaed</v>
      </c>
      <c r="D747" s="3" t="str">
        <f>VLOOKUP(Table2[[#This Row],[Tegevusala]],Table4[[Tegevusala kood]:[Tegevusala alanimetus]],4,FALSE)</f>
        <v>Alusharidus</v>
      </c>
      <c r="E747" s="3" t="str">
        <f>VLOOKUP(Table2[[#This Row],[Tegevusala nimetus2]],Table4[[Tegevusala nimetus]:[Tegevusala koondnimetus]],2,FALSE)</f>
        <v>Haridus</v>
      </c>
      <c r="F747" t="s">
        <v>1848</v>
      </c>
      <c r="G747" t="s">
        <v>199</v>
      </c>
      <c r="H747" s="40">
        <v>100</v>
      </c>
      <c r="J747">
        <v>5514</v>
      </c>
      <c r="K747" s="3" t="str">
        <f>VLOOKUP(Table2[[#This Row],[Konto]],Table5[[Konto]:[Konto nimetus]],2,FALSE)</f>
        <v>Info- ja kommunikatsioonitehnoliigised kulud</v>
      </c>
      <c r="L747">
        <v>55</v>
      </c>
      <c r="M747" t="str">
        <f t="shared" si="23"/>
        <v>55</v>
      </c>
      <c r="N747" s="3" t="str">
        <f>VLOOKUP(Table2[[#This Row],[Tulu/kulu liik2]],Table5[[Tulu/kulu liik]:[Kontode koondnimetus]],4,FALSE)</f>
        <v>Muud tegevuskulud</v>
      </c>
      <c r="O747" s="3" t="str">
        <f>VLOOKUP(Table2[[#This Row],[Tulu/kulu liik2]],Table5[],6,FALSE)</f>
        <v>Majandamiskulud</v>
      </c>
      <c r="P747" s="3" t="str">
        <f>VLOOKUP(Table2[[#This Row],[Tulu/kulu liik2]],Table5[],5,FALSE)</f>
        <v>Põhitegevuse kulu</v>
      </c>
    </row>
    <row r="748" spans="1:16" hidden="1" x14ac:dyDescent="0.25">
      <c r="A748" t="str">
        <f t="shared" si="22"/>
        <v>09</v>
      </c>
      <c r="B748" t="s">
        <v>245</v>
      </c>
      <c r="C748" s="3" t="str">
        <f>VLOOKUP(Table2[[#This Row],[Tegevusala]],Table4[],2,FALSE)</f>
        <v xml:space="preserve"> Roela Lasteaed</v>
      </c>
      <c r="D748" s="3" t="str">
        <f>VLOOKUP(Table2[[#This Row],[Tegevusala]],Table4[[Tegevusala kood]:[Tegevusala alanimetus]],4,FALSE)</f>
        <v>Alusharidus</v>
      </c>
      <c r="E748" s="3" t="str">
        <f>VLOOKUP(Table2[[#This Row],[Tegevusala nimetus2]],Table4[[Tegevusala nimetus]:[Tegevusala koondnimetus]],2,FALSE)</f>
        <v>Haridus</v>
      </c>
      <c r="F748" t="s">
        <v>166</v>
      </c>
      <c r="G748" t="s">
        <v>240</v>
      </c>
      <c r="H748" s="40">
        <v>630</v>
      </c>
      <c r="I748" s="2" t="s">
        <v>241</v>
      </c>
      <c r="J748">
        <v>5514</v>
      </c>
      <c r="K748" s="3" t="str">
        <f>VLOOKUP(Table2[[#This Row],[Konto]],Table5[[Konto]:[Konto nimetus]],2,FALSE)</f>
        <v>Info- ja kommunikatsioonitehnoliigised kulud</v>
      </c>
      <c r="L748">
        <v>55</v>
      </c>
      <c r="M748" t="str">
        <f t="shared" si="23"/>
        <v>55</v>
      </c>
      <c r="N748" t="str">
        <f>VLOOKUP(Table2[[#This Row],[Tulu/kulu liik2]],Table5[[Tulu/kulu liik]:[Kontode koondnimetus]],4,FALSE)</f>
        <v>Muud tegevuskulud</v>
      </c>
      <c r="O748" t="str">
        <f>VLOOKUP(Table2[[#This Row],[Tulu/kulu liik2]],Table5[],6,FALSE)</f>
        <v>Majandamiskulud</v>
      </c>
      <c r="P748" s="3" t="str">
        <f>VLOOKUP(Table2[[#This Row],[Tulu/kulu liik2]],Table5[],5,FALSE)</f>
        <v>Põhitegevuse kulu</v>
      </c>
    </row>
    <row r="749" spans="1:16" hidden="1" x14ac:dyDescent="0.25">
      <c r="A749" t="str">
        <f t="shared" si="22"/>
        <v>09</v>
      </c>
      <c r="B749" t="s">
        <v>245</v>
      </c>
      <c r="C749" s="3" t="str">
        <f>VLOOKUP(Table2[[#This Row],[Tegevusala]],Table4[],2,FALSE)</f>
        <v xml:space="preserve"> Roela Lasteaed</v>
      </c>
      <c r="D749" s="3" t="str">
        <f>VLOOKUP(Table2[[#This Row],[Tegevusala]],Table4[[Tegevusala kood]:[Tegevusala alanimetus]],4,FALSE)</f>
        <v>Alusharidus</v>
      </c>
      <c r="E749" s="3" t="str">
        <f>VLOOKUP(Table2[[#This Row],[Tegevusala nimetus2]],Table4[[Tegevusala nimetus]:[Tegevusala koondnimetus]],2,FALSE)</f>
        <v>Haridus</v>
      </c>
      <c r="F749" t="s">
        <v>166</v>
      </c>
      <c r="G749" t="s">
        <v>213</v>
      </c>
      <c r="H749" s="40">
        <v>6900</v>
      </c>
      <c r="J749">
        <v>5521</v>
      </c>
      <c r="K749" s="3" t="str">
        <f>VLOOKUP(Table2[[#This Row],[Konto]],Table5[[Konto]:[Konto nimetus]],2,FALSE)</f>
        <v>Toiduained ja toitlustusteenused</v>
      </c>
      <c r="L749">
        <v>55</v>
      </c>
      <c r="M749" t="str">
        <f t="shared" si="23"/>
        <v>55</v>
      </c>
      <c r="N749" s="3" t="str">
        <f>VLOOKUP(Table2[[#This Row],[Tulu/kulu liik2]],Table5[[Tulu/kulu liik]:[Kontode koondnimetus]],4,FALSE)</f>
        <v>Muud tegevuskulud</v>
      </c>
      <c r="O749" s="34" t="str">
        <f>VLOOKUP(Table2[[#This Row],[Tulu/kulu liik2]],Table5[],6,FALSE)</f>
        <v>Majandamiskulud</v>
      </c>
      <c r="P749" s="3" t="str">
        <f>VLOOKUP(Table2[[#This Row],[Tulu/kulu liik2]],Table5[],5,FALSE)</f>
        <v>Põhitegevuse kulu</v>
      </c>
    </row>
    <row r="750" spans="1:16" hidden="1" x14ac:dyDescent="0.25">
      <c r="A750" t="str">
        <f t="shared" si="22"/>
        <v>09</v>
      </c>
      <c r="B750" t="s">
        <v>245</v>
      </c>
      <c r="C750" s="3" t="str">
        <f>VLOOKUP(Table2[[#This Row],[Tegevusala]],Table4[],2,FALSE)</f>
        <v xml:space="preserve"> Roela Lasteaed</v>
      </c>
      <c r="D750" s="3" t="str">
        <f>VLOOKUP(Table2[[#This Row],[Tegevusala]],Table4[[Tegevusala kood]:[Tegevusala alanimetus]],4,FALSE)</f>
        <v>Alusharidus</v>
      </c>
      <c r="E750" s="3" t="str">
        <f>VLOOKUP(Table2[[#This Row],[Tegevusala nimetus2]],Table4[[Tegevusala nimetus]:[Tegevusala koondnimetus]],2,FALSE)</f>
        <v>Haridus</v>
      </c>
      <c r="F750" t="s">
        <v>166</v>
      </c>
      <c r="G750" t="s">
        <v>117</v>
      </c>
      <c r="H750" s="40">
        <v>1000</v>
      </c>
      <c r="J750">
        <v>5524</v>
      </c>
      <c r="K750" s="3" t="str">
        <f>VLOOKUP(Table2[[#This Row],[Konto]],Table5[[Konto]:[Konto nimetus]],2,FALSE)</f>
        <v>Õppevahendid</v>
      </c>
      <c r="L750">
        <v>55</v>
      </c>
      <c r="M750" t="str">
        <f t="shared" si="23"/>
        <v>55</v>
      </c>
      <c r="N750" s="3" t="str">
        <f>VLOOKUP(Table2[[#This Row],[Tulu/kulu liik2]],Table5[[Tulu/kulu liik]:[Kontode koondnimetus]],4,FALSE)</f>
        <v>Muud tegevuskulud</v>
      </c>
      <c r="O750" s="34" t="str">
        <f>VLOOKUP(Table2[[#This Row],[Tulu/kulu liik2]],Table5[],6,FALSE)</f>
        <v>Majandamiskulud</v>
      </c>
      <c r="P750" s="3" t="str">
        <f>VLOOKUP(Table2[[#This Row],[Tulu/kulu liik2]],Table5[],5,FALSE)</f>
        <v>Põhitegevuse kulu</v>
      </c>
    </row>
    <row r="751" spans="1:16" hidden="1" x14ac:dyDescent="0.25">
      <c r="A751" t="str">
        <f t="shared" si="22"/>
        <v>09</v>
      </c>
      <c r="B751" t="s">
        <v>322</v>
      </c>
      <c r="C751" s="3" t="str">
        <f>VLOOKUP(Table2[[#This Row],[Tegevusala]],Table4[],2,FALSE)</f>
        <v xml:space="preserve"> Kohatasud</v>
      </c>
      <c r="D751" s="3" t="str">
        <f>VLOOKUP(Table2[[#This Row],[Tegevusala]],Table4[[Tegevusala kood]:[Tegevusala alanimetus]],4,FALSE)</f>
        <v>Alusharidus</v>
      </c>
      <c r="E751" s="3" t="str">
        <f>VLOOKUP(Table2[[#This Row],[Tegevusala nimetus2]],Table4[[Tegevusala nimetus]:[Tegevusala koondnimetus]],2,FALSE)</f>
        <v>Haridus</v>
      </c>
      <c r="F751" t="s">
        <v>1527</v>
      </c>
      <c r="G751" t="s">
        <v>1533</v>
      </c>
      <c r="H751" s="40">
        <v>46249.440000000002</v>
      </c>
      <c r="I751" s="2" t="s">
        <v>1536</v>
      </c>
      <c r="J751">
        <v>5524</v>
      </c>
      <c r="K751" s="3" t="str">
        <f>VLOOKUP(Table2[[#This Row],[Konto]],Table5[[Konto]:[Konto nimetus]],2,FALSE)</f>
        <v>Õppevahendid</v>
      </c>
      <c r="L751">
        <v>55</v>
      </c>
      <c r="M751" t="str">
        <f t="shared" si="23"/>
        <v>55</v>
      </c>
      <c r="N751" s="3" t="str">
        <f>VLOOKUP(Table2[[#This Row],[Tulu/kulu liik2]],Table5[[Tulu/kulu liik]:[Kontode koondnimetus]],4,FALSE)</f>
        <v>Muud tegevuskulud</v>
      </c>
      <c r="O751" s="3" t="str">
        <f>VLOOKUP(Table2[[#This Row],[Tulu/kulu liik2]],Table5[],6,FALSE)</f>
        <v>Majandamiskulud</v>
      </c>
      <c r="P751" s="3" t="str">
        <f>VLOOKUP(Table2[[#This Row],[Tulu/kulu liik2]],Table5[],5,FALSE)</f>
        <v>Põhitegevuse kulu</v>
      </c>
    </row>
    <row r="752" spans="1:16" hidden="1" x14ac:dyDescent="0.25">
      <c r="A752" s="8" t="str">
        <f t="shared" si="22"/>
        <v>09</v>
      </c>
      <c r="B752" s="8" t="s">
        <v>322</v>
      </c>
      <c r="C752" s="32" t="str">
        <f>VLOOKUP(Table2[[#This Row],[Tegevusala]],Table4[],2,FALSE)</f>
        <v xml:space="preserve"> Kohatasud</v>
      </c>
      <c r="D752" s="32" t="str">
        <f>VLOOKUP(Table2[[#This Row],[Tegevusala]],Table4[[Tegevusala kood]:[Tegevusala alanimetus]],4,FALSE)</f>
        <v>Alusharidus</v>
      </c>
      <c r="E752" s="32" t="str">
        <f>VLOOKUP(Table2[[#This Row],[Tegevusala nimetus2]],Table4[[Tegevusala nimetus]:[Tegevusala koondnimetus]],2,FALSE)</f>
        <v>Haridus</v>
      </c>
      <c r="F752" s="8" t="s">
        <v>1527</v>
      </c>
      <c r="G752" s="8" t="s">
        <v>1528</v>
      </c>
      <c r="H752" s="43">
        <v>-63828</v>
      </c>
      <c r="I752" s="9" t="s">
        <v>1531</v>
      </c>
      <c r="J752" s="8">
        <v>32202</v>
      </c>
      <c r="K752" s="32" t="str">
        <f>VLOOKUP(Table2[[#This Row],[Konto]],Table5[[Konto]:[Konto nimetus]],2,FALSE)</f>
        <v>Õpilaskoht</v>
      </c>
      <c r="L752" s="8">
        <v>32</v>
      </c>
      <c r="M752" s="8" t="str">
        <f t="shared" si="23"/>
        <v>32</v>
      </c>
      <c r="N752" s="32" t="str">
        <f>VLOOKUP(Table2[[#This Row],[Tulu/kulu liik2]],Table5[[Tulu/kulu liik]:[Kontode koondnimetus]],4,FALSE)</f>
        <v>Tulud kaupade ja teenuste müügist</v>
      </c>
      <c r="O752" s="32" t="str">
        <f>VLOOKUP(Table2[[#This Row],[Tulu/kulu liik2]],Table5[],6,FALSE)</f>
        <v>Tulud kaupade ja teenuste müügist</v>
      </c>
      <c r="P752" s="32" t="str">
        <f>VLOOKUP(Table2[[#This Row],[Tulu/kulu liik2]],Table5[],5,FALSE)</f>
        <v>Põhitegevuse tulu</v>
      </c>
    </row>
    <row r="753" spans="1:16" hidden="1" x14ac:dyDescent="0.25">
      <c r="A753" t="str">
        <f t="shared" si="22"/>
        <v>09</v>
      </c>
      <c r="B753" t="s">
        <v>2226</v>
      </c>
      <c r="C753" s="3" t="str">
        <f>VLOOKUP(Table2[[#This Row],[Tegevusala]],Table4[],2,FALSE)</f>
        <v>Muuga-Laekvere Kool</v>
      </c>
      <c r="D753" s="3" t="str">
        <f>VLOOKUP(Table2[[#This Row],[Tegevusala]],Table4[[Tegevusala kood]:[Tegevusala alanimetus]],4,FALSE)</f>
        <v>Põhihariduse otsekulud</v>
      </c>
      <c r="E753" s="3" t="str">
        <f>VLOOKUP(Table2[[#This Row],[Tegevusala nimetus2]],Table4[[Tegevusala nimetus]:[Tegevusala koondnimetus]],2,FALSE)</f>
        <v>Haridus</v>
      </c>
      <c r="F753" t="s">
        <v>2231</v>
      </c>
      <c r="G753" t="s">
        <v>177</v>
      </c>
      <c r="H753" s="40">
        <v>20000</v>
      </c>
      <c r="J753">
        <v>5511</v>
      </c>
      <c r="K753" s="3" t="str">
        <f>VLOOKUP(Table2[[#This Row],[Konto]],Table5[[Konto]:[Konto nimetus]],2,FALSE)</f>
        <v>Kinnistute, hoonete ja ruumide majandamiskulud</v>
      </c>
      <c r="L753">
        <v>55</v>
      </c>
      <c r="M753" t="str">
        <f t="shared" si="23"/>
        <v>55</v>
      </c>
      <c r="N753" s="3" t="str">
        <f>VLOOKUP(Table2[[#This Row],[Tulu/kulu liik2]],Table5[[Tulu/kulu liik]:[Kontode koondnimetus]],4,FALSE)</f>
        <v>Muud tegevuskulud</v>
      </c>
      <c r="O753" s="3" t="str">
        <f>VLOOKUP(Table2[[#This Row],[Tulu/kulu liik2]],Table5[],6,FALSE)</f>
        <v>Majandamiskulud</v>
      </c>
      <c r="P753" s="3" t="str">
        <f>VLOOKUP(Table2[[#This Row],[Tulu/kulu liik2]],Table5[],5,FALSE)</f>
        <v>Põhitegevuse kulu</v>
      </c>
    </row>
    <row r="754" spans="1:16" hidden="1" x14ac:dyDescent="0.25">
      <c r="A754" t="str">
        <f t="shared" si="22"/>
        <v>09</v>
      </c>
      <c r="B754" t="s">
        <v>2226</v>
      </c>
      <c r="C754" s="3" t="str">
        <f>VLOOKUP(Table2[[#This Row],[Tegevusala]],Table4[],2,FALSE)</f>
        <v>Muuga-Laekvere Kool</v>
      </c>
      <c r="D754" s="3" t="str">
        <f>VLOOKUP(Table2[[#This Row],[Tegevusala]],Table4[[Tegevusala kood]:[Tegevusala alanimetus]],4,FALSE)</f>
        <v>Põhihariduse otsekulud</v>
      </c>
      <c r="E754" s="3" t="str">
        <f>VLOOKUP(Table2[[#This Row],[Tegevusala nimetus2]],Table4[[Tegevusala nimetus]:[Tegevusala koondnimetus]],2,FALSE)</f>
        <v>Haridus</v>
      </c>
      <c r="F754" t="s">
        <v>2231</v>
      </c>
      <c r="G754" t="s">
        <v>178</v>
      </c>
      <c r="H754" s="40">
        <v>6000</v>
      </c>
      <c r="J754">
        <v>5511</v>
      </c>
      <c r="K754" s="3" t="str">
        <f>VLOOKUP(Table2[[#This Row],[Konto]],Table5[[Konto]:[Konto nimetus]],2,FALSE)</f>
        <v>Kinnistute, hoonete ja ruumide majandamiskulud</v>
      </c>
      <c r="L754">
        <v>55</v>
      </c>
      <c r="M754" t="str">
        <f t="shared" si="23"/>
        <v>55</v>
      </c>
      <c r="N754" s="3" t="str">
        <f>VLOOKUP(Table2[[#This Row],[Tulu/kulu liik2]],Table5[[Tulu/kulu liik]:[Kontode koondnimetus]],4,FALSE)</f>
        <v>Muud tegevuskulud</v>
      </c>
      <c r="O754" s="3" t="str">
        <f>VLOOKUP(Table2[[#This Row],[Tulu/kulu liik2]],Table5[],6,FALSE)</f>
        <v>Majandamiskulud</v>
      </c>
      <c r="P754" s="3" t="str">
        <f>VLOOKUP(Table2[[#This Row],[Tulu/kulu liik2]],Table5[],5,FALSE)</f>
        <v>Põhitegevuse kulu</v>
      </c>
    </row>
    <row r="755" spans="1:16" hidden="1" x14ac:dyDescent="0.25">
      <c r="A755" t="str">
        <f t="shared" si="22"/>
        <v>09</v>
      </c>
      <c r="B755" t="s">
        <v>2226</v>
      </c>
      <c r="C755" s="3" t="str">
        <f>VLOOKUP(Table2[[#This Row],[Tegevusala]],Table4[],2,FALSE)</f>
        <v>Muuga-Laekvere Kool</v>
      </c>
      <c r="D755" s="3" t="str">
        <f>VLOOKUP(Table2[[#This Row],[Tegevusala]],Table4[[Tegevusala kood]:[Tegevusala alanimetus]],4,FALSE)</f>
        <v>Põhihariduse otsekulud</v>
      </c>
      <c r="E755" s="3" t="str">
        <f>VLOOKUP(Table2[[#This Row],[Tegevusala nimetus2]],Table4[[Tegevusala nimetus]:[Tegevusala koondnimetus]],2,FALSE)</f>
        <v>Haridus</v>
      </c>
      <c r="F755" t="s">
        <v>2231</v>
      </c>
      <c r="G755" t="s">
        <v>392</v>
      </c>
      <c r="H755" s="40">
        <v>500</v>
      </c>
      <c r="J755">
        <v>5511</v>
      </c>
      <c r="K755" s="3" t="str">
        <f>VLOOKUP(Table2[[#This Row],[Konto]],Table5[[Konto]:[Konto nimetus]],2,FALSE)</f>
        <v>Kinnistute, hoonete ja ruumide majandamiskulud</v>
      </c>
      <c r="L755">
        <v>55</v>
      </c>
      <c r="M755" t="str">
        <f t="shared" si="23"/>
        <v>55</v>
      </c>
      <c r="N755" s="3" t="str">
        <f>VLOOKUP(Table2[[#This Row],[Tulu/kulu liik2]],Table5[[Tulu/kulu liik]:[Kontode koondnimetus]],4,FALSE)</f>
        <v>Muud tegevuskulud</v>
      </c>
      <c r="O755" s="3" t="str">
        <f>VLOOKUP(Table2[[#This Row],[Tulu/kulu liik2]],Table5[],6,FALSE)</f>
        <v>Majandamiskulud</v>
      </c>
      <c r="P755" s="3" t="str">
        <f>VLOOKUP(Table2[[#This Row],[Tulu/kulu liik2]],Table5[],5,FALSE)</f>
        <v>Põhitegevuse kulu</v>
      </c>
    </row>
    <row r="756" spans="1:16" hidden="1" x14ac:dyDescent="0.25">
      <c r="A756" t="str">
        <f t="shared" si="22"/>
        <v>09</v>
      </c>
      <c r="B756" t="s">
        <v>2226</v>
      </c>
      <c r="C756" s="3" t="str">
        <f>VLOOKUP(Table2[[#This Row],[Tegevusala]],Table4[],2,FALSE)</f>
        <v>Muuga-Laekvere Kool</v>
      </c>
      <c r="D756" s="3" t="str">
        <f>VLOOKUP(Table2[[#This Row],[Tegevusala]],Table4[[Tegevusala kood]:[Tegevusala alanimetus]],4,FALSE)</f>
        <v>Põhihariduse otsekulud</v>
      </c>
      <c r="E756" s="3" t="str">
        <f>VLOOKUP(Table2[[#This Row],[Tegevusala nimetus2]],Table4[[Tegevusala nimetus]:[Tegevusala koondnimetus]],2,FALSE)</f>
        <v>Haridus</v>
      </c>
      <c r="F756" t="s">
        <v>2231</v>
      </c>
      <c r="G756" t="s">
        <v>393</v>
      </c>
      <c r="H756" s="40">
        <v>2600</v>
      </c>
      <c r="J756">
        <v>5511</v>
      </c>
      <c r="K756" s="3" t="str">
        <f>VLOOKUP(Table2[[#This Row],[Konto]],Table5[[Konto]:[Konto nimetus]],2,FALSE)</f>
        <v>Kinnistute, hoonete ja ruumide majandamiskulud</v>
      </c>
      <c r="L756">
        <v>55</v>
      </c>
      <c r="M756" t="str">
        <f t="shared" si="23"/>
        <v>55</v>
      </c>
      <c r="N756" s="3" t="str">
        <f>VLOOKUP(Table2[[#This Row],[Tulu/kulu liik2]],Table5[[Tulu/kulu liik]:[Kontode koondnimetus]],4,FALSE)</f>
        <v>Muud tegevuskulud</v>
      </c>
      <c r="O756" s="3" t="str">
        <f>VLOOKUP(Table2[[#This Row],[Tulu/kulu liik2]],Table5[],6,FALSE)</f>
        <v>Majandamiskulud</v>
      </c>
      <c r="P756" s="3" t="str">
        <f>VLOOKUP(Table2[[#This Row],[Tulu/kulu liik2]],Table5[],5,FALSE)</f>
        <v>Põhitegevuse kulu</v>
      </c>
    </row>
    <row r="757" spans="1:16" hidden="1" x14ac:dyDescent="0.25">
      <c r="A757" t="str">
        <f t="shared" si="22"/>
        <v>09</v>
      </c>
      <c r="B757" t="s">
        <v>2226</v>
      </c>
      <c r="C757" s="3" t="str">
        <f>VLOOKUP(Table2[[#This Row],[Tegevusala]],Table4[],2,FALSE)</f>
        <v>Muuga-Laekvere Kool</v>
      </c>
      <c r="D757" s="3" t="str">
        <f>VLOOKUP(Table2[[#This Row],[Tegevusala]],Table4[[Tegevusala kood]:[Tegevusala alanimetus]],4,FALSE)</f>
        <v>Põhihariduse otsekulud</v>
      </c>
      <c r="E757" s="3" t="str">
        <f>VLOOKUP(Table2[[#This Row],[Tegevusala nimetus2]],Table4[[Tegevusala nimetus]:[Tegevusala koondnimetus]],2,FALSE)</f>
        <v>Haridus</v>
      </c>
      <c r="F757" t="s">
        <v>2231</v>
      </c>
      <c r="G757" t="s">
        <v>180</v>
      </c>
      <c r="H757" s="40">
        <v>500</v>
      </c>
      <c r="J757">
        <v>5511</v>
      </c>
      <c r="K757" s="3" t="str">
        <f>VLOOKUP(Table2[[#This Row],[Konto]],Table5[[Konto]:[Konto nimetus]],2,FALSE)</f>
        <v>Kinnistute, hoonete ja ruumide majandamiskulud</v>
      </c>
      <c r="L757">
        <v>55</v>
      </c>
      <c r="M757" t="str">
        <f t="shared" si="23"/>
        <v>55</v>
      </c>
      <c r="N757" s="3" t="str">
        <f>VLOOKUP(Table2[[#This Row],[Tulu/kulu liik2]],Table5[[Tulu/kulu liik]:[Kontode koondnimetus]],4,FALSE)</f>
        <v>Muud tegevuskulud</v>
      </c>
      <c r="O757" s="3" t="str">
        <f>VLOOKUP(Table2[[#This Row],[Tulu/kulu liik2]],Table5[],6,FALSE)</f>
        <v>Majandamiskulud</v>
      </c>
      <c r="P757" s="3" t="str">
        <f>VLOOKUP(Table2[[#This Row],[Tulu/kulu liik2]],Table5[],5,FALSE)</f>
        <v>Põhitegevuse kulu</v>
      </c>
    </row>
    <row r="758" spans="1:16" hidden="1" x14ac:dyDescent="0.25">
      <c r="A758" t="str">
        <f t="shared" si="22"/>
        <v>09</v>
      </c>
      <c r="B758" t="s">
        <v>2226</v>
      </c>
      <c r="C758" s="3" t="str">
        <f>VLOOKUP(Table2[[#This Row],[Tegevusala]],Table4[],2,FALSE)</f>
        <v>Muuga-Laekvere Kool</v>
      </c>
      <c r="D758" s="3" t="str">
        <f>VLOOKUP(Table2[[#This Row],[Tegevusala]],Table4[[Tegevusala kood]:[Tegevusala alanimetus]],4,FALSE)</f>
        <v>Põhihariduse otsekulud</v>
      </c>
      <c r="E758" s="3" t="str">
        <f>VLOOKUP(Table2[[#This Row],[Tegevusala nimetus2]],Table4[[Tegevusala nimetus]:[Tegevusala koondnimetus]],2,FALSE)</f>
        <v>Haridus</v>
      </c>
      <c r="F758" t="s">
        <v>2231</v>
      </c>
      <c r="G758" t="s">
        <v>394</v>
      </c>
      <c r="H758" s="40">
        <v>120</v>
      </c>
      <c r="J758">
        <v>5511</v>
      </c>
      <c r="K758" s="3" t="str">
        <f>VLOOKUP(Table2[[#This Row],[Konto]],Table5[[Konto]:[Konto nimetus]],2,FALSE)</f>
        <v>Kinnistute, hoonete ja ruumide majandamiskulud</v>
      </c>
      <c r="L758">
        <v>55</v>
      </c>
      <c r="M758" t="str">
        <f t="shared" si="23"/>
        <v>55</v>
      </c>
      <c r="N758" s="3" t="str">
        <f>VLOOKUP(Table2[[#This Row],[Tulu/kulu liik2]],Table5[[Tulu/kulu liik]:[Kontode koondnimetus]],4,FALSE)</f>
        <v>Muud tegevuskulud</v>
      </c>
      <c r="O758" s="3" t="str">
        <f>VLOOKUP(Table2[[#This Row],[Tulu/kulu liik2]],Table5[],6,FALSE)</f>
        <v>Majandamiskulud</v>
      </c>
      <c r="P758" s="3" t="str">
        <f>VLOOKUP(Table2[[#This Row],[Tulu/kulu liik2]],Table5[],5,FALSE)</f>
        <v>Põhitegevuse kulu</v>
      </c>
    </row>
    <row r="759" spans="1:16" hidden="1" x14ac:dyDescent="0.25">
      <c r="A759" t="str">
        <f t="shared" si="22"/>
        <v>09</v>
      </c>
      <c r="B759" t="s">
        <v>2226</v>
      </c>
      <c r="C759" s="3" t="str">
        <f>VLOOKUP(Table2[[#This Row],[Tegevusala]],Table4[],2,FALSE)</f>
        <v>Muuga-Laekvere Kool</v>
      </c>
      <c r="D759" s="3" t="str">
        <f>VLOOKUP(Table2[[#This Row],[Tegevusala]],Table4[[Tegevusala kood]:[Tegevusala alanimetus]],4,FALSE)</f>
        <v>Põhihariduse otsekulud</v>
      </c>
      <c r="E759" s="3" t="str">
        <f>VLOOKUP(Table2[[#This Row],[Tegevusala nimetus2]],Table4[[Tegevusala nimetus]:[Tegevusala koondnimetus]],2,FALSE)</f>
        <v>Haridus</v>
      </c>
      <c r="F759" t="s">
        <v>2231</v>
      </c>
      <c r="G759" t="s">
        <v>395</v>
      </c>
      <c r="H759" s="40">
        <v>3000</v>
      </c>
      <c r="J759">
        <v>5511</v>
      </c>
      <c r="K759" s="3" t="str">
        <f>VLOOKUP(Table2[[#This Row],[Konto]],Table5[[Konto]:[Konto nimetus]],2,FALSE)</f>
        <v>Kinnistute, hoonete ja ruumide majandamiskulud</v>
      </c>
      <c r="L759">
        <v>55</v>
      </c>
      <c r="M759" t="str">
        <f t="shared" si="23"/>
        <v>55</v>
      </c>
      <c r="N759" s="3" t="str">
        <f>VLOOKUP(Table2[[#This Row],[Tulu/kulu liik2]],Table5[[Tulu/kulu liik]:[Kontode koondnimetus]],4,FALSE)</f>
        <v>Muud tegevuskulud</v>
      </c>
      <c r="O759" s="3" t="str">
        <f>VLOOKUP(Table2[[#This Row],[Tulu/kulu liik2]],Table5[],6,FALSE)</f>
        <v>Majandamiskulud</v>
      </c>
      <c r="P759" s="3" t="str">
        <f>VLOOKUP(Table2[[#This Row],[Tulu/kulu liik2]],Table5[],5,FALSE)</f>
        <v>Põhitegevuse kulu</v>
      </c>
    </row>
    <row r="760" spans="1:16" hidden="1" x14ac:dyDescent="0.25">
      <c r="A760" t="str">
        <f t="shared" si="22"/>
        <v>09</v>
      </c>
      <c r="B760" t="s">
        <v>2226</v>
      </c>
      <c r="C760" s="3" t="str">
        <f>VLOOKUP(Table2[[#This Row],[Tegevusala]],Table4[],2,FALSE)</f>
        <v>Muuga-Laekvere Kool</v>
      </c>
      <c r="D760" s="3" t="str">
        <f>VLOOKUP(Table2[[#This Row],[Tegevusala]],Table4[[Tegevusala kood]:[Tegevusala alanimetus]],4,FALSE)</f>
        <v>Põhihariduse otsekulud</v>
      </c>
      <c r="E760" s="3" t="str">
        <f>VLOOKUP(Table2[[#This Row],[Tegevusala nimetus2]],Table4[[Tegevusala nimetus]:[Tegevusala koondnimetus]],2,FALSE)</f>
        <v>Haridus</v>
      </c>
      <c r="F760" t="s">
        <v>2231</v>
      </c>
      <c r="G760" t="s">
        <v>396</v>
      </c>
      <c r="H760" s="40">
        <v>500</v>
      </c>
      <c r="J760">
        <v>5511</v>
      </c>
      <c r="K760" s="3" t="str">
        <f>VLOOKUP(Table2[[#This Row],[Konto]],Table5[[Konto]:[Konto nimetus]],2,FALSE)</f>
        <v>Kinnistute, hoonete ja ruumide majandamiskulud</v>
      </c>
      <c r="L760">
        <v>55</v>
      </c>
      <c r="M760" t="str">
        <f t="shared" si="23"/>
        <v>55</v>
      </c>
      <c r="N760" s="3" t="str">
        <f>VLOOKUP(Table2[[#This Row],[Tulu/kulu liik2]],Table5[[Tulu/kulu liik]:[Kontode koondnimetus]],4,FALSE)</f>
        <v>Muud tegevuskulud</v>
      </c>
      <c r="O760" s="3" t="str">
        <f>VLOOKUP(Table2[[#This Row],[Tulu/kulu liik2]],Table5[],6,FALSE)</f>
        <v>Majandamiskulud</v>
      </c>
      <c r="P760" s="3" t="str">
        <f>VLOOKUP(Table2[[#This Row],[Tulu/kulu liik2]],Table5[],5,FALSE)</f>
        <v>Põhitegevuse kulu</v>
      </c>
    </row>
    <row r="761" spans="1:16" hidden="1" x14ac:dyDescent="0.25">
      <c r="A761" t="str">
        <f t="shared" si="22"/>
        <v>09</v>
      </c>
      <c r="B761" t="s">
        <v>2226</v>
      </c>
      <c r="C761" s="3" t="str">
        <f>VLOOKUP(Table2[[#This Row],[Tegevusala]],Table4[],2,FALSE)</f>
        <v>Muuga-Laekvere Kool</v>
      </c>
      <c r="D761" s="3" t="str">
        <f>VLOOKUP(Table2[[#This Row],[Tegevusala]],Table4[[Tegevusala kood]:[Tegevusala alanimetus]],4,FALSE)</f>
        <v>Põhihariduse otsekulud</v>
      </c>
      <c r="E761" s="3" t="str">
        <f>VLOOKUP(Table2[[#This Row],[Tegevusala nimetus2]],Table4[[Tegevusala nimetus]:[Tegevusala koondnimetus]],2,FALSE)</f>
        <v>Haridus</v>
      </c>
      <c r="F761" t="s">
        <v>2231</v>
      </c>
      <c r="G761" t="s">
        <v>397</v>
      </c>
      <c r="H761" s="40">
        <v>760</v>
      </c>
      <c r="J761">
        <v>5511</v>
      </c>
      <c r="K761" s="3" t="str">
        <f>VLOOKUP(Table2[[#This Row],[Konto]],Table5[[Konto]:[Konto nimetus]],2,FALSE)</f>
        <v>Kinnistute, hoonete ja ruumide majandamiskulud</v>
      </c>
      <c r="L761">
        <v>55</v>
      </c>
      <c r="M761" t="str">
        <f t="shared" si="23"/>
        <v>55</v>
      </c>
      <c r="N761" s="3" t="str">
        <f>VLOOKUP(Table2[[#This Row],[Tulu/kulu liik2]],Table5[[Tulu/kulu liik]:[Kontode koondnimetus]],4,FALSE)</f>
        <v>Muud tegevuskulud</v>
      </c>
      <c r="O761" s="3" t="str">
        <f>VLOOKUP(Table2[[#This Row],[Tulu/kulu liik2]],Table5[],6,FALSE)</f>
        <v>Majandamiskulud</v>
      </c>
      <c r="P761" s="3" t="str">
        <f>VLOOKUP(Table2[[#This Row],[Tulu/kulu liik2]],Table5[],5,FALSE)</f>
        <v>Põhitegevuse kulu</v>
      </c>
    </row>
    <row r="762" spans="1:16" hidden="1" x14ac:dyDescent="0.25">
      <c r="A762" t="str">
        <f t="shared" si="22"/>
        <v>09</v>
      </c>
      <c r="B762" t="s">
        <v>2226</v>
      </c>
      <c r="C762" s="3" t="str">
        <f>VLOOKUP(Table2[[#This Row],[Tegevusala]],Table4[],2,FALSE)</f>
        <v>Muuga-Laekvere Kool</v>
      </c>
      <c r="D762" s="3" t="str">
        <f>VLOOKUP(Table2[[#This Row],[Tegevusala]],Table4[[Tegevusala kood]:[Tegevusala alanimetus]],4,FALSE)</f>
        <v>Põhihariduse otsekulud</v>
      </c>
      <c r="E762" s="3" t="str">
        <f>VLOOKUP(Table2[[#This Row],[Tegevusala nimetus2]],Table4[[Tegevusala nimetus]:[Tegevusala koondnimetus]],2,FALSE)</f>
        <v>Haridus</v>
      </c>
      <c r="F762" t="s">
        <v>2231</v>
      </c>
      <c r="G762" t="s">
        <v>1851</v>
      </c>
      <c r="H762" s="40">
        <v>1500</v>
      </c>
      <c r="J762">
        <v>5511</v>
      </c>
      <c r="K762" s="3" t="str">
        <f>VLOOKUP(Table2[[#This Row],[Konto]],Table5[[Konto]:[Konto nimetus]],2,FALSE)</f>
        <v>Kinnistute, hoonete ja ruumide majandamiskulud</v>
      </c>
      <c r="L762">
        <v>55</v>
      </c>
      <c r="M762" t="str">
        <f t="shared" si="23"/>
        <v>55</v>
      </c>
      <c r="N762" s="3" t="str">
        <f>VLOOKUP(Table2[[#This Row],[Tulu/kulu liik2]],Table5[[Tulu/kulu liik]:[Kontode koondnimetus]],4,FALSE)</f>
        <v>Muud tegevuskulud</v>
      </c>
      <c r="O762" s="3" t="str">
        <f>VLOOKUP(Table2[[#This Row],[Tulu/kulu liik2]],Table5[],6,FALSE)</f>
        <v>Majandamiskulud</v>
      </c>
      <c r="P762" s="3" t="str">
        <f>VLOOKUP(Table2[[#This Row],[Tulu/kulu liik2]],Table5[],5,FALSE)</f>
        <v>Põhitegevuse kulu</v>
      </c>
    </row>
    <row r="763" spans="1:16" hidden="1" x14ac:dyDescent="0.25">
      <c r="A763" t="str">
        <f t="shared" si="22"/>
        <v>09</v>
      </c>
      <c r="B763" t="s">
        <v>2226</v>
      </c>
      <c r="C763" s="3" t="str">
        <f>VLOOKUP(Table2[[#This Row],[Tegevusala]],Table4[],2,FALSE)</f>
        <v>Muuga-Laekvere Kool</v>
      </c>
      <c r="D763" s="3" t="str">
        <f>VLOOKUP(Table2[[#This Row],[Tegevusala]],Table4[[Tegevusala kood]:[Tegevusala alanimetus]],4,FALSE)</f>
        <v>Põhihariduse otsekulud</v>
      </c>
      <c r="E763" s="3" t="str">
        <f>VLOOKUP(Table2[[#This Row],[Tegevusala nimetus2]],Table4[[Tegevusala nimetus]:[Tegevusala koondnimetus]],2,FALSE)</f>
        <v>Haridus</v>
      </c>
      <c r="F763" t="s">
        <v>2231</v>
      </c>
      <c r="G763" t="s">
        <v>418</v>
      </c>
      <c r="H763" s="40">
        <v>150</v>
      </c>
      <c r="J763">
        <v>5511</v>
      </c>
      <c r="K763" s="3" t="str">
        <f>VLOOKUP(Table2[[#This Row],[Konto]],Table5[[Konto]:[Konto nimetus]],2,FALSE)</f>
        <v>Kinnistute, hoonete ja ruumide majandamiskulud</v>
      </c>
      <c r="L763">
        <v>55</v>
      </c>
      <c r="M763" t="str">
        <f t="shared" si="23"/>
        <v>55</v>
      </c>
      <c r="N763" s="3" t="str">
        <f>VLOOKUP(Table2[[#This Row],[Tulu/kulu liik2]],Table5[[Tulu/kulu liik]:[Kontode koondnimetus]],4,FALSE)</f>
        <v>Muud tegevuskulud</v>
      </c>
      <c r="O763" s="3" t="str">
        <f>VLOOKUP(Table2[[#This Row],[Tulu/kulu liik2]],Table5[],6,FALSE)</f>
        <v>Majandamiskulud</v>
      </c>
      <c r="P763" s="3" t="str">
        <f>VLOOKUP(Table2[[#This Row],[Tulu/kulu liik2]],Table5[],5,FALSE)</f>
        <v>Põhitegevuse kulu</v>
      </c>
    </row>
    <row r="764" spans="1:16" hidden="1" x14ac:dyDescent="0.25">
      <c r="A764" t="str">
        <f t="shared" si="22"/>
        <v>09</v>
      </c>
      <c r="B764" t="s">
        <v>2226</v>
      </c>
      <c r="C764" s="3" t="str">
        <f>VLOOKUP(Table2[[#This Row],[Tegevusala]],Table4[],2,FALSE)</f>
        <v>Muuga-Laekvere Kool</v>
      </c>
      <c r="D764" s="3" t="str">
        <f>VLOOKUP(Table2[[#This Row],[Tegevusala]],Table4[[Tegevusala kood]:[Tegevusala alanimetus]],4,FALSE)</f>
        <v>Põhihariduse otsekulud</v>
      </c>
      <c r="E764" s="3" t="str">
        <f>VLOOKUP(Table2[[#This Row],[Tegevusala nimetus2]],Table4[[Tegevusala nimetus]:[Tegevusala koondnimetus]],2,FALSE)</f>
        <v>Haridus</v>
      </c>
      <c r="F764" t="s">
        <v>2231</v>
      </c>
      <c r="G764" t="s">
        <v>383</v>
      </c>
      <c r="H764" s="40">
        <v>400</v>
      </c>
      <c r="J764">
        <v>5500</v>
      </c>
      <c r="K764" s="3" t="str">
        <f>VLOOKUP(Table2[[#This Row],[Konto]],Table5[[Konto]:[Konto nimetus]],2,FALSE)</f>
        <v>Administreerimiskulud</v>
      </c>
      <c r="L764">
        <v>55</v>
      </c>
      <c r="M764" t="str">
        <f t="shared" si="23"/>
        <v>55</v>
      </c>
      <c r="N764" s="3" t="str">
        <f>VLOOKUP(Table2[[#This Row],[Tulu/kulu liik2]],Table5[[Tulu/kulu liik]:[Kontode koondnimetus]],4,FALSE)</f>
        <v>Muud tegevuskulud</v>
      </c>
      <c r="O764" s="3" t="str">
        <f>VLOOKUP(Table2[[#This Row],[Tulu/kulu liik2]],Table5[],6,FALSE)</f>
        <v>Majandamiskulud</v>
      </c>
      <c r="P764" s="3" t="str">
        <f>VLOOKUP(Table2[[#This Row],[Tulu/kulu liik2]],Table5[],5,FALSE)</f>
        <v>Põhitegevuse kulu</v>
      </c>
    </row>
    <row r="765" spans="1:16" hidden="1" x14ac:dyDescent="0.25">
      <c r="A765" t="str">
        <f t="shared" si="22"/>
        <v>09</v>
      </c>
      <c r="B765" t="s">
        <v>2226</v>
      </c>
      <c r="C765" s="3" t="str">
        <f>VLOOKUP(Table2[[#This Row],[Tegevusala]],Table4[],2,FALSE)</f>
        <v>Muuga-Laekvere Kool</v>
      </c>
      <c r="D765" s="3" t="str">
        <f>VLOOKUP(Table2[[#This Row],[Tegevusala]],Table4[[Tegevusala kood]:[Tegevusala alanimetus]],4,FALSE)</f>
        <v>Põhihariduse otsekulud</v>
      </c>
      <c r="E765" s="3" t="str">
        <f>VLOOKUP(Table2[[#This Row],[Tegevusala nimetus2]],Table4[[Tegevusala nimetus]:[Tegevusala koondnimetus]],2,FALSE)</f>
        <v>Haridus</v>
      </c>
      <c r="F765" t="s">
        <v>2231</v>
      </c>
      <c r="G765" t="s">
        <v>384</v>
      </c>
      <c r="H765" s="40">
        <v>150</v>
      </c>
      <c r="J765">
        <v>5500</v>
      </c>
      <c r="K765" s="3" t="str">
        <f>VLOOKUP(Table2[[#This Row],[Konto]],Table5[[Konto]:[Konto nimetus]],2,FALSE)</f>
        <v>Administreerimiskulud</v>
      </c>
      <c r="L765">
        <v>55</v>
      </c>
      <c r="M765" t="str">
        <f t="shared" si="23"/>
        <v>55</v>
      </c>
      <c r="N765" s="3" t="str">
        <f>VLOOKUP(Table2[[#This Row],[Tulu/kulu liik2]],Table5[[Tulu/kulu liik]:[Kontode koondnimetus]],4,FALSE)</f>
        <v>Muud tegevuskulud</v>
      </c>
      <c r="O765" s="3" t="str">
        <f>VLOOKUP(Table2[[#This Row],[Tulu/kulu liik2]],Table5[],6,FALSE)</f>
        <v>Majandamiskulud</v>
      </c>
      <c r="P765" s="3" t="str">
        <f>VLOOKUP(Table2[[#This Row],[Tulu/kulu liik2]],Table5[],5,FALSE)</f>
        <v>Põhitegevuse kulu</v>
      </c>
    </row>
    <row r="766" spans="1:16" hidden="1" x14ac:dyDescent="0.25">
      <c r="A766" t="str">
        <f t="shared" ref="A766:A829" si="24">LEFT(B766,2)</f>
        <v>09</v>
      </c>
      <c r="B766" t="s">
        <v>2226</v>
      </c>
      <c r="C766" s="3" t="str">
        <f>VLOOKUP(Table2[[#This Row],[Tegevusala]],Table4[],2,FALSE)</f>
        <v>Muuga-Laekvere Kool</v>
      </c>
      <c r="D766" s="3" t="str">
        <f>VLOOKUP(Table2[[#This Row],[Tegevusala]],Table4[[Tegevusala kood]:[Tegevusala alanimetus]],4,FALSE)</f>
        <v>Põhihariduse otsekulud</v>
      </c>
      <c r="E766" s="3" t="str">
        <f>VLOOKUP(Table2[[#This Row],[Tegevusala nimetus2]],Table4[[Tegevusala nimetus]:[Tegevusala koondnimetus]],2,FALSE)</f>
        <v>Haridus</v>
      </c>
      <c r="F766" t="s">
        <v>2231</v>
      </c>
      <c r="G766" t="s">
        <v>385</v>
      </c>
      <c r="H766" s="40">
        <v>50</v>
      </c>
      <c r="J766">
        <v>5500</v>
      </c>
      <c r="K766" s="3" t="str">
        <f>VLOOKUP(Table2[[#This Row],[Konto]],Table5[[Konto]:[Konto nimetus]],2,FALSE)</f>
        <v>Administreerimiskulud</v>
      </c>
      <c r="L766">
        <v>55</v>
      </c>
      <c r="M766" t="str">
        <f t="shared" ref="M766:M829" si="25">LEFT(J766,2)</f>
        <v>55</v>
      </c>
      <c r="N766" s="3" t="str">
        <f>VLOOKUP(Table2[[#This Row],[Tulu/kulu liik2]],Table5[[Tulu/kulu liik]:[Kontode koondnimetus]],4,FALSE)</f>
        <v>Muud tegevuskulud</v>
      </c>
      <c r="O766" s="3" t="str">
        <f>VLOOKUP(Table2[[#This Row],[Tulu/kulu liik2]],Table5[],6,FALSE)</f>
        <v>Majandamiskulud</v>
      </c>
      <c r="P766" s="3" t="str">
        <f>VLOOKUP(Table2[[#This Row],[Tulu/kulu liik2]],Table5[],5,FALSE)</f>
        <v>Põhitegevuse kulu</v>
      </c>
    </row>
    <row r="767" spans="1:16" hidden="1" x14ac:dyDescent="0.25">
      <c r="A767" t="str">
        <f t="shared" si="24"/>
        <v>09</v>
      </c>
      <c r="B767" t="s">
        <v>2226</v>
      </c>
      <c r="C767" s="3" t="str">
        <f>VLOOKUP(Table2[[#This Row],[Tegevusala]],Table4[],2,FALSE)</f>
        <v>Muuga-Laekvere Kool</v>
      </c>
      <c r="D767" s="3" t="str">
        <f>VLOOKUP(Table2[[#This Row],[Tegevusala]],Table4[[Tegevusala kood]:[Tegevusala alanimetus]],4,FALSE)</f>
        <v>Põhihariduse otsekulud</v>
      </c>
      <c r="E767" s="3" t="str">
        <f>VLOOKUP(Table2[[#This Row],[Tegevusala nimetus2]],Table4[[Tegevusala nimetus]:[Tegevusala koondnimetus]],2,FALSE)</f>
        <v>Haridus</v>
      </c>
      <c r="F767" t="s">
        <v>2231</v>
      </c>
      <c r="G767" t="s">
        <v>386</v>
      </c>
      <c r="H767" s="40">
        <v>350</v>
      </c>
      <c r="J767">
        <v>5500</v>
      </c>
      <c r="K767" s="3" t="str">
        <f>VLOOKUP(Table2[[#This Row],[Konto]],Table5[[Konto]:[Konto nimetus]],2,FALSE)</f>
        <v>Administreerimiskulud</v>
      </c>
      <c r="L767">
        <v>55</v>
      </c>
      <c r="M767" t="str">
        <f t="shared" si="25"/>
        <v>55</v>
      </c>
      <c r="N767" s="3" t="str">
        <f>VLOOKUP(Table2[[#This Row],[Tulu/kulu liik2]],Table5[[Tulu/kulu liik]:[Kontode koondnimetus]],4,FALSE)</f>
        <v>Muud tegevuskulud</v>
      </c>
      <c r="O767" s="3" t="str">
        <f>VLOOKUP(Table2[[#This Row],[Tulu/kulu liik2]],Table5[],6,FALSE)</f>
        <v>Majandamiskulud</v>
      </c>
      <c r="P767" s="3" t="str">
        <f>VLOOKUP(Table2[[#This Row],[Tulu/kulu liik2]],Table5[],5,FALSE)</f>
        <v>Põhitegevuse kulu</v>
      </c>
    </row>
    <row r="768" spans="1:16" hidden="1" x14ac:dyDescent="0.25">
      <c r="A768" t="str">
        <f t="shared" si="24"/>
        <v>09</v>
      </c>
      <c r="B768" t="s">
        <v>2226</v>
      </c>
      <c r="C768" s="3" t="str">
        <f>VLOOKUP(Table2[[#This Row],[Tegevusala]],Table4[],2,FALSE)</f>
        <v>Muuga-Laekvere Kool</v>
      </c>
      <c r="D768" s="3" t="str">
        <f>VLOOKUP(Table2[[#This Row],[Tegevusala]],Table4[[Tegevusala kood]:[Tegevusala alanimetus]],4,FALSE)</f>
        <v>Põhihariduse otsekulud</v>
      </c>
      <c r="E768" s="3" t="str">
        <f>VLOOKUP(Table2[[#This Row],[Tegevusala nimetus2]],Table4[[Tegevusala nimetus]:[Tegevusala koondnimetus]],2,FALSE)</f>
        <v>Haridus</v>
      </c>
      <c r="F768" t="s">
        <v>2231</v>
      </c>
      <c r="G768" t="s">
        <v>387</v>
      </c>
      <c r="H768" s="40">
        <v>200</v>
      </c>
      <c r="J768">
        <v>5500</v>
      </c>
      <c r="K768" s="3" t="str">
        <f>VLOOKUP(Table2[[#This Row],[Konto]],Table5[[Konto]:[Konto nimetus]],2,FALSE)</f>
        <v>Administreerimiskulud</v>
      </c>
      <c r="L768">
        <v>55</v>
      </c>
      <c r="M768" t="str">
        <f t="shared" si="25"/>
        <v>55</v>
      </c>
      <c r="N768" s="3" t="str">
        <f>VLOOKUP(Table2[[#This Row],[Tulu/kulu liik2]],Table5[[Tulu/kulu liik]:[Kontode koondnimetus]],4,FALSE)</f>
        <v>Muud tegevuskulud</v>
      </c>
      <c r="O768" s="3" t="str">
        <f>VLOOKUP(Table2[[#This Row],[Tulu/kulu liik2]],Table5[],6,FALSE)</f>
        <v>Majandamiskulud</v>
      </c>
      <c r="P768" s="3" t="str">
        <f>VLOOKUP(Table2[[#This Row],[Tulu/kulu liik2]],Table5[],5,FALSE)</f>
        <v>Põhitegevuse kulu</v>
      </c>
    </row>
    <row r="769" spans="1:16" hidden="1" x14ac:dyDescent="0.25">
      <c r="A769" t="str">
        <f t="shared" si="24"/>
        <v>09</v>
      </c>
      <c r="B769" t="s">
        <v>2226</v>
      </c>
      <c r="C769" s="3" t="str">
        <f>VLOOKUP(Table2[[#This Row],[Tegevusala]],Table4[],2,FALSE)</f>
        <v>Muuga-Laekvere Kool</v>
      </c>
      <c r="D769" s="3" t="str">
        <f>VLOOKUP(Table2[[#This Row],[Tegevusala]],Table4[[Tegevusala kood]:[Tegevusala alanimetus]],4,FALSE)</f>
        <v>Põhihariduse otsekulud</v>
      </c>
      <c r="E769" s="3" t="str">
        <f>VLOOKUP(Table2[[#This Row],[Tegevusala nimetus2]],Table4[[Tegevusala nimetus]:[Tegevusala koondnimetus]],2,FALSE)</f>
        <v>Haridus</v>
      </c>
      <c r="F769" t="s">
        <v>2231</v>
      </c>
      <c r="G769" t="s">
        <v>388</v>
      </c>
      <c r="H769" s="40">
        <v>150</v>
      </c>
      <c r="J769">
        <v>5500</v>
      </c>
      <c r="K769" s="3" t="str">
        <f>VLOOKUP(Table2[[#This Row],[Konto]],Table5[[Konto]:[Konto nimetus]],2,FALSE)</f>
        <v>Administreerimiskulud</v>
      </c>
      <c r="L769">
        <v>55</v>
      </c>
      <c r="M769" t="str">
        <f t="shared" si="25"/>
        <v>55</v>
      </c>
      <c r="N769" s="3" t="str">
        <f>VLOOKUP(Table2[[#This Row],[Tulu/kulu liik2]],Table5[[Tulu/kulu liik]:[Kontode koondnimetus]],4,FALSE)</f>
        <v>Muud tegevuskulud</v>
      </c>
      <c r="O769" s="3" t="str">
        <f>VLOOKUP(Table2[[#This Row],[Tulu/kulu liik2]],Table5[],6,FALSE)</f>
        <v>Majandamiskulud</v>
      </c>
      <c r="P769" s="3" t="str">
        <f>VLOOKUP(Table2[[#This Row],[Tulu/kulu liik2]],Table5[],5,FALSE)</f>
        <v>Põhitegevuse kulu</v>
      </c>
    </row>
    <row r="770" spans="1:16" hidden="1" x14ac:dyDescent="0.25">
      <c r="A770" t="str">
        <f t="shared" si="24"/>
        <v>09</v>
      </c>
      <c r="B770" t="s">
        <v>2226</v>
      </c>
      <c r="C770" s="3" t="str">
        <f>VLOOKUP(Table2[[#This Row],[Tegevusala]],Table4[],2,FALSE)</f>
        <v>Muuga-Laekvere Kool</v>
      </c>
      <c r="D770" s="3" t="str">
        <f>VLOOKUP(Table2[[#This Row],[Tegevusala]],Table4[[Tegevusala kood]:[Tegevusala alanimetus]],4,FALSE)</f>
        <v>Põhihariduse otsekulud</v>
      </c>
      <c r="E770" s="3" t="str">
        <f>VLOOKUP(Table2[[#This Row],[Tegevusala nimetus2]],Table4[[Tegevusala nimetus]:[Tegevusala koondnimetus]],2,FALSE)</f>
        <v>Haridus</v>
      </c>
      <c r="F770" t="s">
        <v>2231</v>
      </c>
      <c r="G770" t="s">
        <v>389</v>
      </c>
      <c r="H770" s="40">
        <v>250</v>
      </c>
      <c r="J770">
        <v>5500</v>
      </c>
      <c r="K770" s="3" t="str">
        <f>VLOOKUP(Table2[[#This Row],[Konto]],Table5[[Konto]:[Konto nimetus]],2,FALSE)</f>
        <v>Administreerimiskulud</v>
      </c>
      <c r="L770">
        <v>55</v>
      </c>
      <c r="M770" t="str">
        <f t="shared" si="25"/>
        <v>55</v>
      </c>
      <c r="N770" s="3" t="str">
        <f>VLOOKUP(Table2[[#This Row],[Tulu/kulu liik2]],Table5[[Tulu/kulu liik]:[Kontode koondnimetus]],4,FALSE)</f>
        <v>Muud tegevuskulud</v>
      </c>
      <c r="O770" s="3" t="str">
        <f>VLOOKUP(Table2[[#This Row],[Tulu/kulu liik2]],Table5[],6,FALSE)</f>
        <v>Majandamiskulud</v>
      </c>
      <c r="P770" s="3" t="str">
        <f>VLOOKUP(Table2[[#This Row],[Tulu/kulu liik2]],Table5[],5,FALSE)</f>
        <v>Põhitegevuse kulu</v>
      </c>
    </row>
    <row r="771" spans="1:16" hidden="1" x14ac:dyDescent="0.25">
      <c r="A771" t="str">
        <f t="shared" si="24"/>
        <v>09</v>
      </c>
      <c r="B771" t="s">
        <v>2226</v>
      </c>
      <c r="C771" s="3" t="str">
        <f>VLOOKUP(Table2[[#This Row],[Tegevusala]],Table4[],2,FALSE)</f>
        <v>Muuga-Laekvere Kool</v>
      </c>
      <c r="D771" s="3" t="str">
        <f>VLOOKUP(Table2[[#This Row],[Tegevusala]],Table4[[Tegevusala kood]:[Tegevusala alanimetus]],4,FALSE)</f>
        <v>Põhihariduse otsekulud</v>
      </c>
      <c r="E771" s="3" t="str">
        <f>VLOOKUP(Table2[[#This Row],[Tegevusala nimetus2]],Table4[[Tegevusala nimetus]:[Tegevusala koondnimetus]],2,FALSE)</f>
        <v>Haridus</v>
      </c>
      <c r="F771" t="s">
        <v>2231</v>
      </c>
      <c r="G771" t="s">
        <v>390</v>
      </c>
      <c r="H771" s="40">
        <v>50</v>
      </c>
      <c r="J771">
        <v>5500</v>
      </c>
      <c r="K771" s="3" t="str">
        <f>VLOOKUP(Table2[[#This Row],[Konto]],Table5[[Konto]:[Konto nimetus]],2,FALSE)</f>
        <v>Administreerimiskulud</v>
      </c>
      <c r="L771">
        <v>55</v>
      </c>
      <c r="M771" t="str">
        <f t="shared" si="25"/>
        <v>55</v>
      </c>
      <c r="N771" s="3" t="str">
        <f>VLOOKUP(Table2[[#This Row],[Tulu/kulu liik2]],Table5[[Tulu/kulu liik]:[Kontode koondnimetus]],4,FALSE)</f>
        <v>Muud tegevuskulud</v>
      </c>
      <c r="O771" s="3" t="str">
        <f>VLOOKUP(Table2[[#This Row],[Tulu/kulu liik2]],Table5[],6,FALSE)</f>
        <v>Majandamiskulud</v>
      </c>
      <c r="P771" s="3" t="str">
        <f>VLOOKUP(Table2[[#This Row],[Tulu/kulu liik2]],Table5[],5,FALSE)</f>
        <v>Põhitegevuse kulu</v>
      </c>
    </row>
    <row r="772" spans="1:16" hidden="1" x14ac:dyDescent="0.25">
      <c r="A772" t="str">
        <f t="shared" si="24"/>
        <v>09</v>
      </c>
      <c r="B772" t="s">
        <v>2226</v>
      </c>
      <c r="C772" s="3" t="str">
        <f>VLOOKUP(Table2[[#This Row],[Tegevusala]],Table4[],2,FALSE)</f>
        <v>Muuga-Laekvere Kool</v>
      </c>
      <c r="D772" s="3" t="str">
        <f>VLOOKUP(Table2[[#This Row],[Tegevusala]],Table4[[Tegevusala kood]:[Tegevusala alanimetus]],4,FALSE)</f>
        <v>Põhihariduse otsekulud</v>
      </c>
      <c r="E772" s="3" t="str">
        <f>VLOOKUP(Table2[[#This Row],[Tegevusala nimetus2]],Table4[[Tegevusala nimetus]:[Tegevusala koondnimetus]],2,FALSE)</f>
        <v>Haridus</v>
      </c>
      <c r="F772" t="s">
        <v>2231</v>
      </c>
      <c r="G772" t="s">
        <v>1850</v>
      </c>
      <c r="H772" s="40">
        <v>150</v>
      </c>
      <c r="J772">
        <v>5500</v>
      </c>
      <c r="K772" s="3" t="str">
        <f>VLOOKUP(Table2[[#This Row],[Konto]],Table5[[Konto]:[Konto nimetus]],2,FALSE)</f>
        <v>Administreerimiskulud</v>
      </c>
      <c r="L772">
        <v>55</v>
      </c>
      <c r="M772" t="str">
        <f t="shared" si="25"/>
        <v>55</v>
      </c>
      <c r="N772" s="3" t="str">
        <f>VLOOKUP(Table2[[#This Row],[Tulu/kulu liik2]],Table5[[Tulu/kulu liik]:[Kontode koondnimetus]],4,FALSE)</f>
        <v>Muud tegevuskulud</v>
      </c>
      <c r="O772" s="3" t="str">
        <f>VLOOKUP(Table2[[#This Row],[Tulu/kulu liik2]],Table5[],6,FALSE)</f>
        <v>Majandamiskulud</v>
      </c>
      <c r="P772" s="3" t="str">
        <f>VLOOKUP(Table2[[#This Row],[Tulu/kulu liik2]],Table5[],5,FALSE)</f>
        <v>Põhitegevuse kulu</v>
      </c>
    </row>
    <row r="773" spans="1:16" hidden="1" x14ac:dyDescent="0.25">
      <c r="A773" t="str">
        <f t="shared" si="24"/>
        <v>09</v>
      </c>
      <c r="B773" t="s">
        <v>2226</v>
      </c>
      <c r="C773" s="3" t="str">
        <f>VLOOKUP(Table2[[#This Row],[Tegevusala]],Table4[],2,FALSE)</f>
        <v>Muuga-Laekvere Kool</v>
      </c>
      <c r="D773" s="3" t="str">
        <f>VLOOKUP(Table2[[#This Row],[Tegevusala]],Table4[[Tegevusala kood]:[Tegevusala alanimetus]],4,FALSE)</f>
        <v>Põhihariduse otsekulud</v>
      </c>
      <c r="E773" s="3" t="str">
        <f>VLOOKUP(Table2[[#This Row],[Tegevusala nimetus2]],Table4[[Tegevusala nimetus]:[Tegevusala koondnimetus]],2,FALSE)</f>
        <v>Haridus</v>
      </c>
      <c r="F773" t="s">
        <v>2231</v>
      </c>
      <c r="G773" t="s">
        <v>1500</v>
      </c>
      <c r="H773" s="40">
        <f>1800-1384.56</f>
        <v>415.44000000000005</v>
      </c>
      <c r="J773">
        <v>5504</v>
      </c>
      <c r="K773" s="3" t="str">
        <f>VLOOKUP(Table2[[#This Row],[Konto]],Table5[[Konto]:[Konto nimetus]],2,FALSE)</f>
        <v>Koolituskulud</v>
      </c>
      <c r="L773">
        <v>55</v>
      </c>
      <c r="M773" t="str">
        <f t="shared" si="25"/>
        <v>55</v>
      </c>
      <c r="N773" s="3" t="str">
        <f>VLOOKUP(Table2[[#This Row],[Tulu/kulu liik2]],Table5[[Tulu/kulu liik]:[Kontode koondnimetus]],4,FALSE)</f>
        <v>Muud tegevuskulud</v>
      </c>
      <c r="O773" s="3" t="str">
        <f>VLOOKUP(Table2[[#This Row],[Tulu/kulu liik2]],Table5[],6,FALSE)</f>
        <v>Majandamiskulud</v>
      </c>
      <c r="P773" s="3" t="str">
        <f>VLOOKUP(Table2[[#This Row],[Tulu/kulu liik2]],Table5[],5,FALSE)</f>
        <v>Põhitegevuse kulu</v>
      </c>
    </row>
    <row r="774" spans="1:16" hidden="1" x14ac:dyDescent="0.25">
      <c r="A774" t="str">
        <f t="shared" si="24"/>
        <v>09</v>
      </c>
      <c r="B774" t="s">
        <v>2226</v>
      </c>
      <c r="C774" s="3" t="str">
        <f>VLOOKUP(Table2[[#This Row],[Tegevusala]],Table4[],2,FALSE)</f>
        <v>Muuga-Laekvere Kool</v>
      </c>
      <c r="D774" s="3" t="str">
        <f>VLOOKUP(Table2[[#This Row],[Tegevusala]],Table4[[Tegevusala kood]:[Tegevusala alanimetus]],4,FALSE)</f>
        <v>Põhihariduse otsekulud</v>
      </c>
      <c r="E774" s="3" t="str">
        <f>VLOOKUP(Table2[[#This Row],[Tegevusala nimetus2]],Table4[[Tegevusala nimetus]:[Tegevusala koondnimetus]],2,FALSE)</f>
        <v>Haridus</v>
      </c>
      <c r="F774" t="s">
        <v>2231</v>
      </c>
      <c r="G774" t="s">
        <v>399</v>
      </c>
      <c r="H774" s="40">
        <v>2600</v>
      </c>
      <c r="J774">
        <v>5513</v>
      </c>
      <c r="K774" s="3" t="str">
        <f>VLOOKUP(Table2[[#This Row],[Konto]],Table5[[Konto]:[Konto nimetus]],2,FALSE)</f>
        <v>Sõidukite ülalpidamise kulud</v>
      </c>
      <c r="L774">
        <v>55</v>
      </c>
      <c r="M774" t="str">
        <f t="shared" si="25"/>
        <v>55</v>
      </c>
      <c r="N774" s="3" t="str">
        <f>VLOOKUP(Table2[[#This Row],[Tulu/kulu liik2]],Table5[[Tulu/kulu liik]:[Kontode koondnimetus]],4,FALSE)</f>
        <v>Muud tegevuskulud</v>
      </c>
      <c r="O774" s="3" t="str">
        <f>VLOOKUP(Table2[[#This Row],[Tulu/kulu liik2]],Table5[],6,FALSE)</f>
        <v>Majandamiskulud</v>
      </c>
      <c r="P774" s="3" t="str">
        <f>VLOOKUP(Table2[[#This Row],[Tulu/kulu liik2]],Table5[],5,FALSE)</f>
        <v>Põhitegevuse kulu</v>
      </c>
    </row>
    <row r="775" spans="1:16" hidden="1" x14ac:dyDescent="0.25">
      <c r="A775" s="33" t="str">
        <f t="shared" si="24"/>
        <v>09</v>
      </c>
      <c r="B775" s="33" t="s">
        <v>2226</v>
      </c>
      <c r="C775" s="34" t="str">
        <f>VLOOKUP(Table2[[#This Row],[Tegevusala]],Table4[],2,FALSE)</f>
        <v>Muuga-Laekvere Kool</v>
      </c>
      <c r="D775" s="34" t="str">
        <f>VLOOKUP(Table2[[#This Row],[Tegevusala]],Table4[[Tegevusala kood]:[Tegevusala alanimetus]],4,FALSE)</f>
        <v>Põhihariduse otsekulud</v>
      </c>
      <c r="E775" s="34" t="str">
        <f>VLOOKUP(Table2[[#This Row],[Tegevusala nimetus2]],Table4[[Tegevusala nimetus]:[Tegevusala koondnimetus]],2,FALSE)</f>
        <v>Haridus</v>
      </c>
      <c r="F775" t="s">
        <v>2231</v>
      </c>
      <c r="G775" s="33" t="s">
        <v>400</v>
      </c>
      <c r="H775" s="47">
        <v>3500</v>
      </c>
      <c r="I775" s="35"/>
      <c r="J775" s="33">
        <v>5513</v>
      </c>
      <c r="K775" s="34" t="str">
        <f>VLOOKUP(Table2[[#This Row],[Konto]],Table5[[Konto]:[Konto nimetus]],2,FALSE)</f>
        <v>Sõidukite ülalpidamise kulud</v>
      </c>
      <c r="L775" s="33">
        <v>55</v>
      </c>
      <c r="M775" s="33" t="str">
        <f t="shared" si="25"/>
        <v>55</v>
      </c>
      <c r="N775" s="34" t="str">
        <f>VLOOKUP(Table2[[#This Row],[Tulu/kulu liik2]],Table5[[Tulu/kulu liik]:[Kontode koondnimetus]],4,FALSE)</f>
        <v>Muud tegevuskulud</v>
      </c>
      <c r="O775" s="34" t="str">
        <f>VLOOKUP(Table2[[#This Row],[Tulu/kulu liik2]],Table5[],6,FALSE)</f>
        <v>Majandamiskulud</v>
      </c>
      <c r="P775" s="34" t="str">
        <f>VLOOKUP(Table2[[#This Row],[Tulu/kulu liik2]],Table5[],5,FALSE)</f>
        <v>Põhitegevuse kulu</v>
      </c>
    </row>
    <row r="776" spans="1:16" hidden="1" x14ac:dyDescent="0.25">
      <c r="A776" t="str">
        <f t="shared" si="24"/>
        <v>09</v>
      </c>
      <c r="B776" t="s">
        <v>2226</v>
      </c>
      <c r="C776" s="3" t="str">
        <f>VLOOKUP(Table2[[#This Row],[Tegevusala]],Table4[],2,FALSE)</f>
        <v>Muuga-Laekvere Kool</v>
      </c>
      <c r="D776" s="3" t="str">
        <f>VLOOKUP(Table2[[#This Row],[Tegevusala]],Table4[[Tegevusala kood]:[Tegevusala alanimetus]],4,FALSE)</f>
        <v>Põhihariduse otsekulud</v>
      </c>
      <c r="E776" s="3" t="str">
        <f>VLOOKUP(Table2[[#This Row],[Tegevusala nimetus2]],Table4[[Tegevusala nimetus]:[Tegevusala koondnimetus]],2,FALSE)</f>
        <v>Haridus</v>
      </c>
      <c r="F776" t="s">
        <v>2231</v>
      </c>
      <c r="G776" t="s">
        <v>405</v>
      </c>
      <c r="H776" s="40">
        <v>3000</v>
      </c>
      <c r="J776">
        <v>5515</v>
      </c>
      <c r="K776" s="3" t="str">
        <f>VLOOKUP(Table2[[#This Row],[Konto]],Table5[[Konto]:[Konto nimetus]],2,FALSE)</f>
        <v>Inventari kulud, v.a infotehnoloogia ja kaitseotstarbelised kulud</v>
      </c>
      <c r="L776">
        <v>55</v>
      </c>
      <c r="M776" t="str">
        <f t="shared" si="25"/>
        <v>55</v>
      </c>
      <c r="N776" s="3" t="str">
        <f>VLOOKUP(Table2[[#This Row],[Tulu/kulu liik2]],Table5[[Tulu/kulu liik]:[Kontode koondnimetus]],4,FALSE)</f>
        <v>Muud tegevuskulud</v>
      </c>
      <c r="O776" s="3" t="str">
        <f>VLOOKUP(Table2[[#This Row],[Tulu/kulu liik2]],Table5[],6,FALSE)</f>
        <v>Majandamiskulud</v>
      </c>
      <c r="P776" s="3" t="str">
        <f>VLOOKUP(Table2[[#This Row],[Tulu/kulu liik2]],Table5[],5,FALSE)</f>
        <v>Põhitegevuse kulu</v>
      </c>
    </row>
    <row r="777" spans="1:16" hidden="1" x14ac:dyDescent="0.25">
      <c r="A777" t="str">
        <f t="shared" si="24"/>
        <v>09</v>
      </c>
      <c r="B777" t="s">
        <v>2226</v>
      </c>
      <c r="C777" s="3" t="str">
        <f>VLOOKUP(Table2[[#This Row],[Tegevusala]],Table4[],2,FALSE)</f>
        <v>Muuga-Laekvere Kool</v>
      </c>
      <c r="D777" s="3" t="str">
        <f>VLOOKUP(Table2[[#This Row],[Tegevusala]],Table4[[Tegevusala kood]:[Tegevusala alanimetus]],4,FALSE)</f>
        <v>Põhihariduse otsekulud</v>
      </c>
      <c r="E777" s="3" t="str">
        <f>VLOOKUP(Table2[[#This Row],[Tegevusala nimetus2]],Table4[[Tegevusala nimetus]:[Tegevusala koondnimetus]],2,FALSE)</f>
        <v>Haridus</v>
      </c>
      <c r="F777" t="s">
        <v>2231</v>
      </c>
      <c r="G777" t="s">
        <v>1852</v>
      </c>
      <c r="H777" s="40">
        <v>500</v>
      </c>
      <c r="J777">
        <v>5515</v>
      </c>
      <c r="K777" s="3" t="str">
        <f>VLOOKUP(Table2[[#This Row],[Konto]],Table5[[Konto]:[Konto nimetus]],2,FALSE)</f>
        <v>Inventari kulud, v.a infotehnoloogia ja kaitseotstarbelised kulud</v>
      </c>
      <c r="L777">
        <v>55</v>
      </c>
      <c r="M777" t="str">
        <f t="shared" si="25"/>
        <v>55</v>
      </c>
      <c r="N777" s="3" t="str">
        <f>VLOOKUP(Table2[[#This Row],[Tulu/kulu liik2]],Table5[[Tulu/kulu liik]:[Kontode koondnimetus]],4,FALSE)</f>
        <v>Muud tegevuskulud</v>
      </c>
      <c r="O777" s="3" t="str">
        <f>VLOOKUP(Table2[[#This Row],[Tulu/kulu liik2]],Table5[],6,FALSE)</f>
        <v>Majandamiskulud</v>
      </c>
      <c r="P777" s="3" t="str">
        <f>VLOOKUP(Table2[[#This Row],[Tulu/kulu liik2]],Table5[],5,FALSE)</f>
        <v>Põhitegevuse kulu</v>
      </c>
    </row>
    <row r="778" spans="1:16" hidden="1" x14ac:dyDescent="0.25">
      <c r="A778" t="str">
        <f t="shared" si="24"/>
        <v>09</v>
      </c>
      <c r="B778" t="s">
        <v>2226</v>
      </c>
      <c r="C778" s="3" t="str">
        <f>VLOOKUP(Table2[[#This Row],[Tegevusala]],Table4[],2,FALSE)</f>
        <v>Muuga-Laekvere Kool</v>
      </c>
      <c r="D778" s="3" t="str">
        <f>VLOOKUP(Table2[[#This Row],[Tegevusala]],Table4[[Tegevusala kood]:[Tegevusala alanimetus]],4,FALSE)</f>
        <v>Põhihariduse otsekulud</v>
      </c>
      <c r="E778" s="3" t="str">
        <f>VLOOKUP(Table2[[#This Row],[Tegevusala nimetus2]],Table4[[Tegevusala nimetus]:[Tegevusala koondnimetus]],2,FALSE)</f>
        <v>Haridus</v>
      </c>
      <c r="F778" t="s">
        <v>2231</v>
      </c>
      <c r="G778" t="s">
        <v>1841</v>
      </c>
      <c r="H778" s="40">
        <v>13965</v>
      </c>
      <c r="I778" s="2" t="s">
        <v>2175</v>
      </c>
      <c r="J778">
        <v>5521</v>
      </c>
      <c r="K778" s="3" t="str">
        <f>VLOOKUP(Table2[[#This Row],[Konto]],Table5[[Konto]:[Konto nimetus]],2,FALSE)</f>
        <v>Toiduained ja toitlustusteenused</v>
      </c>
      <c r="L778">
        <v>55</v>
      </c>
      <c r="M778" t="str">
        <f t="shared" si="25"/>
        <v>55</v>
      </c>
      <c r="N778" s="3" t="str">
        <f>VLOOKUP(Table2[[#This Row],[Tulu/kulu liik2]],Table5[[Tulu/kulu liik]:[Kontode koondnimetus]],4,FALSE)</f>
        <v>Muud tegevuskulud</v>
      </c>
      <c r="O778" s="3" t="str">
        <f>VLOOKUP(Table2[[#This Row],[Tulu/kulu liik2]],Table5[],6,FALSE)</f>
        <v>Majandamiskulud</v>
      </c>
      <c r="P778" s="3" t="str">
        <f>VLOOKUP(Table2[[#This Row],[Tulu/kulu liik2]],Table5[],5,FALSE)</f>
        <v>Põhitegevuse kulu</v>
      </c>
    </row>
    <row r="779" spans="1:16" hidden="1" x14ac:dyDescent="0.25">
      <c r="A779" t="str">
        <f t="shared" si="24"/>
        <v>09</v>
      </c>
      <c r="B779" t="s">
        <v>2226</v>
      </c>
      <c r="C779" s="3" t="str">
        <f>VLOOKUP(Table2[[#This Row],[Tegevusala]],Table4[],2,FALSE)</f>
        <v>Muuga-Laekvere Kool</v>
      </c>
      <c r="D779" s="3" t="str">
        <f>VLOOKUP(Table2[[#This Row],[Tegevusala]],Table4[[Tegevusala kood]:[Tegevusala alanimetus]],4,FALSE)</f>
        <v>Põhihariduse otsekulud</v>
      </c>
      <c r="E779" s="3" t="str">
        <f>VLOOKUP(Table2[[#This Row],[Tegevusala nimetus2]],Table4[[Tegevusala nimetus]:[Tegevusala koondnimetus]],2,FALSE)</f>
        <v>Haridus</v>
      </c>
      <c r="F779" t="s">
        <v>2231</v>
      </c>
      <c r="G779" t="s">
        <v>406</v>
      </c>
      <c r="H779" s="40">
        <v>100</v>
      </c>
      <c r="J779">
        <v>5522</v>
      </c>
      <c r="K779" s="3" t="str">
        <f>VLOOKUP(Table2[[#This Row],[Konto]],Table5[[Konto]:[Konto nimetus]],2,FALSE)</f>
        <v>Meditsiinikulud ja hügieenitarbed</v>
      </c>
      <c r="L779">
        <v>55</v>
      </c>
      <c r="M779" t="str">
        <f t="shared" si="25"/>
        <v>55</v>
      </c>
      <c r="N779" s="3" t="str">
        <f>VLOOKUP(Table2[[#This Row],[Tulu/kulu liik2]],Table5[[Tulu/kulu liik]:[Kontode koondnimetus]],4,FALSE)</f>
        <v>Muud tegevuskulud</v>
      </c>
      <c r="O779" s="3" t="str">
        <f>VLOOKUP(Table2[[#This Row],[Tulu/kulu liik2]],Table5[],6,FALSE)</f>
        <v>Majandamiskulud</v>
      </c>
      <c r="P779" s="3" t="str">
        <f>VLOOKUP(Table2[[#This Row],[Tulu/kulu liik2]],Table5[],5,FALSE)</f>
        <v>Põhitegevuse kulu</v>
      </c>
    </row>
    <row r="780" spans="1:16" hidden="1" x14ac:dyDescent="0.25">
      <c r="A780" t="str">
        <f t="shared" si="24"/>
        <v>09</v>
      </c>
      <c r="B780" t="s">
        <v>2226</v>
      </c>
      <c r="C780" s="3" t="str">
        <f>VLOOKUP(Table2[[#This Row],[Tegevusala]],Table4[],2,FALSE)</f>
        <v>Muuga-Laekvere Kool</v>
      </c>
      <c r="D780" s="3" t="str">
        <f>VLOOKUP(Table2[[#This Row],[Tegevusala]],Table4[[Tegevusala kood]:[Tegevusala alanimetus]],4,FALSE)</f>
        <v>Põhihariduse otsekulud</v>
      </c>
      <c r="E780" s="3" t="str">
        <f>VLOOKUP(Table2[[#This Row],[Tegevusala nimetus2]],Table4[[Tegevusala nimetus]:[Tegevusala koondnimetus]],2,FALSE)</f>
        <v>Haridus</v>
      </c>
      <c r="F780" t="s">
        <v>2231</v>
      </c>
      <c r="G780" t="s">
        <v>407</v>
      </c>
      <c r="H780" s="40">
        <v>600</v>
      </c>
      <c r="J780">
        <v>5522</v>
      </c>
      <c r="K780" s="3" t="str">
        <f>VLOOKUP(Table2[[#This Row],[Konto]],Table5[[Konto]:[Konto nimetus]],2,FALSE)</f>
        <v>Meditsiinikulud ja hügieenitarbed</v>
      </c>
      <c r="L780">
        <v>55</v>
      </c>
      <c r="M780" t="str">
        <f t="shared" si="25"/>
        <v>55</v>
      </c>
      <c r="N780" s="3" t="str">
        <f>VLOOKUP(Table2[[#This Row],[Tulu/kulu liik2]],Table5[[Tulu/kulu liik]:[Kontode koondnimetus]],4,FALSE)</f>
        <v>Muud tegevuskulud</v>
      </c>
      <c r="O780" s="3" t="str">
        <f>VLOOKUP(Table2[[#This Row],[Tulu/kulu liik2]],Table5[],6,FALSE)</f>
        <v>Majandamiskulud</v>
      </c>
      <c r="P780" s="3" t="str">
        <f>VLOOKUP(Table2[[#This Row],[Tulu/kulu liik2]],Table5[],5,FALSE)</f>
        <v>Põhitegevuse kulu</v>
      </c>
    </row>
    <row r="781" spans="1:16" hidden="1" x14ac:dyDescent="0.25">
      <c r="A781" t="str">
        <f t="shared" si="24"/>
        <v>09</v>
      </c>
      <c r="B781" t="s">
        <v>2226</v>
      </c>
      <c r="C781" s="3" t="str">
        <f>VLOOKUP(Table2[[#This Row],[Tegevusala]],Table4[],2,FALSE)</f>
        <v>Muuga-Laekvere Kool</v>
      </c>
      <c r="D781" s="3" t="str">
        <f>VLOOKUP(Table2[[#This Row],[Tegevusala]],Table4[[Tegevusala kood]:[Tegevusala alanimetus]],4,FALSE)</f>
        <v>Põhihariduse otsekulud</v>
      </c>
      <c r="E781" s="3" t="str">
        <f>VLOOKUP(Table2[[#This Row],[Tegevusala nimetus2]],Table4[[Tegevusala nimetus]:[Tegevusala koondnimetus]],2,FALSE)</f>
        <v>Haridus</v>
      </c>
      <c r="F781" t="s">
        <v>2231</v>
      </c>
      <c r="G781" t="s">
        <v>408</v>
      </c>
      <c r="H781" s="40">
        <v>50</v>
      </c>
      <c r="J781">
        <v>5522</v>
      </c>
      <c r="K781" s="3" t="str">
        <f>VLOOKUP(Table2[[#This Row],[Konto]],Table5[[Konto]:[Konto nimetus]],2,FALSE)</f>
        <v>Meditsiinikulud ja hügieenitarbed</v>
      </c>
      <c r="L781">
        <v>55</v>
      </c>
      <c r="M781" t="str">
        <f t="shared" si="25"/>
        <v>55</v>
      </c>
      <c r="N781" s="3" t="str">
        <f>VLOOKUP(Table2[[#This Row],[Tulu/kulu liik2]],Table5[[Tulu/kulu liik]:[Kontode koondnimetus]],4,FALSE)</f>
        <v>Muud tegevuskulud</v>
      </c>
      <c r="O781" s="3" t="str">
        <f>VLOOKUP(Table2[[#This Row],[Tulu/kulu liik2]],Table5[],6,FALSE)</f>
        <v>Majandamiskulud</v>
      </c>
      <c r="P781" s="3" t="str">
        <f>VLOOKUP(Table2[[#This Row],[Tulu/kulu liik2]],Table5[],5,FALSE)</f>
        <v>Põhitegevuse kulu</v>
      </c>
    </row>
    <row r="782" spans="1:16" hidden="1" x14ac:dyDescent="0.25">
      <c r="A782" t="str">
        <f t="shared" si="24"/>
        <v>09</v>
      </c>
      <c r="B782" t="s">
        <v>2226</v>
      </c>
      <c r="C782" s="3" t="str">
        <f>VLOOKUP(Table2[[#This Row],[Tegevusala]],Table4[],2,FALSE)</f>
        <v>Muuga-Laekvere Kool</v>
      </c>
      <c r="D782" s="3" t="str">
        <f>VLOOKUP(Table2[[#This Row],[Tegevusala]],Table4[[Tegevusala kood]:[Tegevusala alanimetus]],4,FALSE)</f>
        <v>Põhihariduse otsekulud</v>
      </c>
      <c r="E782" s="3" t="str">
        <f>VLOOKUP(Table2[[#This Row],[Tegevusala nimetus2]],Table4[[Tegevusala nimetus]:[Tegevusala koondnimetus]],2,FALSE)</f>
        <v>Haridus</v>
      </c>
      <c r="F782" t="s">
        <v>2231</v>
      </c>
      <c r="G782" t="s">
        <v>409</v>
      </c>
      <c r="H782" s="40">
        <v>300</v>
      </c>
      <c r="J782">
        <v>5522</v>
      </c>
      <c r="K782" s="3" t="str">
        <f>VLOOKUP(Table2[[#This Row],[Konto]],Table5[[Konto]:[Konto nimetus]],2,FALSE)</f>
        <v>Meditsiinikulud ja hügieenitarbed</v>
      </c>
      <c r="L782">
        <v>55</v>
      </c>
      <c r="M782" t="str">
        <f t="shared" si="25"/>
        <v>55</v>
      </c>
      <c r="N782" s="3" t="str">
        <f>VLOOKUP(Table2[[#This Row],[Tulu/kulu liik2]],Table5[[Tulu/kulu liik]:[Kontode koondnimetus]],4,FALSE)</f>
        <v>Muud tegevuskulud</v>
      </c>
      <c r="O782" s="3" t="str">
        <f>VLOOKUP(Table2[[#This Row],[Tulu/kulu liik2]],Table5[],6,FALSE)</f>
        <v>Majandamiskulud</v>
      </c>
      <c r="P782" s="3" t="str">
        <f>VLOOKUP(Table2[[#This Row],[Tulu/kulu liik2]],Table5[],5,FALSE)</f>
        <v>Põhitegevuse kulu</v>
      </c>
    </row>
    <row r="783" spans="1:16" hidden="1" x14ac:dyDescent="0.25">
      <c r="A783" t="str">
        <f t="shared" si="24"/>
        <v>09</v>
      </c>
      <c r="B783" t="s">
        <v>2226</v>
      </c>
      <c r="C783" s="3" t="str">
        <f>VLOOKUP(Table2[[#This Row],[Tegevusala]],Table4[],2,FALSE)</f>
        <v>Muuga-Laekvere Kool</v>
      </c>
      <c r="D783" s="3" t="str">
        <f>VLOOKUP(Table2[[#This Row],[Tegevusala]],Table4[[Tegevusala kood]:[Tegevusala alanimetus]],4,FALSE)</f>
        <v>Põhihariduse otsekulud</v>
      </c>
      <c r="E783" s="3" t="str">
        <f>VLOOKUP(Table2[[#This Row],[Tegevusala nimetus2]],Table4[[Tegevusala nimetus]:[Tegevusala koondnimetus]],2,FALSE)</f>
        <v>Haridus</v>
      </c>
      <c r="F783" t="s">
        <v>2231</v>
      </c>
      <c r="G783" t="s">
        <v>410</v>
      </c>
      <c r="H783" s="40">
        <f>7100-4311.42</f>
        <v>2788.58</v>
      </c>
      <c r="J783">
        <v>5524</v>
      </c>
      <c r="K783" s="3" t="str">
        <f>VLOOKUP(Table2[[#This Row],[Konto]],Table5[[Konto]:[Konto nimetus]],2,FALSE)</f>
        <v>Õppevahendid</v>
      </c>
      <c r="L783">
        <v>55</v>
      </c>
      <c r="M783" t="str">
        <f t="shared" si="25"/>
        <v>55</v>
      </c>
      <c r="N783" s="3" t="str">
        <f>VLOOKUP(Table2[[#This Row],[Tulu/kulu liik2]],Table5[[Tulu/kulu liik]:[Kontode koondnimetus]],4,FALSE)</f>
        <v>Muud tegevuskulud</v>
      </c>
      <c r="O783" s="3" t="str">
        <f>VLOOKUP(Table2[[#This Row],[Tulu/kulu liik2]],Table5[],6,FALSE)</f>
        <v>Majandamiskulud</v>
      </c>
      <c r="P783" s="3" t="str">
        <f>VLOOKUP(Table2[[#This Row],[Tulu/kulu liik2]],Table5[],5,FALSE)</f>
        <v>Põhitegevuse kulu</v>
      </c>
    </row>
    <row r="784" spans="1:16" hidden="1" x14ac:dyDescent="0.25">
      <c r="A784" t="str">
        <f t="shared" si="24"/>
        <v>09</v>
      </c>
      <c r="B784" t="s">
        <v>2226</v>
      </c>
      <c r="C784" s="3" t="str">
        <f>VLOOKUP(Table2[[#This Row],[Tegevusala]],Table4[],2,FALSE)</f>
        <v>Muuga-Laekvere Kool</v>
      </c>
      <c r="D784" s="3" t="str">
        <f>VLOOKUP(Table2[[#This Row],[Tegevusala]],Table4[[Tegevusala kood]:[Tegevusala alanimetus]],4,FALSE)</f>
        <v>Põhihariduse otsekulud</v>
      </c>
      <c r="E784" s="3" t="str">
        <f>VLOOKUP(Table2[[#This Row],[Tegevusala nimetus2]],Table4[[Tegevusala nimetus]:[Tegevusala koondnimetus]],2,FALSE)</f>
        <v>Haridus</v>
      </c>
      <c r="F784" t="s">
        <v>2231</v>
      </c>
      <c r="G784" t="s">
        <v>411</v>
      </c>
      <c r="H784" s="40">
        <v>1400</v>
      </c>
      <c r="J784">
        <v>5524</v>
      </c>
      <c r="K784" s="3" t="str">
        <f>VLOOKUP(Table2[[#This Row],[Konto]],Table5[[Konto]:[Konto nimetus]],2,FALSE)</f>
        <v>Õppevahendid</v>
      </c>
      <c r="L784">
        <v>55</v>
      </c>
      <c r="M784" t="str">
        <f t="shared" si="25"/>
        <v>55</v>
      </c>
      <c r="N784" s="3" t="str">
        <f>VLOOKUP(Table2[[#This Row],[Tulu/kulu liik2]],Table5[[Tulu/kulu liik]:[Kontode koondnimetus]],4,FALSE)</f>
        <v>Muud tegevuskulud</v>
      </c>
      <c r="O784" s="3" t="str">
        <f>VLOOKUP(Table2[[#This Row],[Tulu/kulu liik2]],Table5[],6,FALSE)</f>
        <v>Majandamiskulud</v>
      </c>
      <c r="P784" s="3" t="str">
        <f>VLOOKUP(Table2[[#This Row],[Tulu/kulu liik2]],Table5[],5,FALSE)</f>
        <v>Põhitegevuse kulu</v>
      </c>
    </row>
    <row r="785" spans="1:16" hidden="1" x14ac:dyDescent="0.25">
      <c r="A785" t="str">
        <f t="shared" si="24"/>
        <v>09</v>
      </c>
      <c r="B785" t="s">
        <v>2226</v>
      </c>
      <c r="C785" s="3" t="str">
        <f>VLOOKUP(Table2[[#This Row],[Tegevusala]],Table4[],2,FALSE)</f>
        <v>Muuga-Laekvere Kool</v>
      </c>
      <c r="D785" s="3" t="str">
        <f>VLOOKUP(Table2[[#This Row],[Tegevusala]],Table4[[Tegevusala kood]:[Tegevusala alanimetus]],4,FALSE)</f>
        <v>Põhihariduse otsekulud</v>
      </c>
      <c r="E785" s="3" t="str">
        <f>VLOOKUP(Table2[[#This Row],[Tegevusala nimetus2]],Table4[[Tegevusala nimetus]:[Tegevusala koondnimetus]],2,FALSE)</f>
        <v>Haridus</v>
      </c>
      <c r="F785" t="s">
        <v>2231</v>
      </c>
      <c r="G785" t="s">
        <v>412</v>
      </c>
      <c r="H785" s="40">
        <v>0</v>
      </c>
      <c r="J785">
        <v>5524</v>
      </c>
      <c r="K785" s="3" t="str">
        <f>VLOOKUP(Table2[[#This Row],[Konto]],Table5[[Konto]:[Konto nimetus]],2,FALSE)</f>
        <v>Õppevahendid</v>
      </c>
      <c r="L785">
        <v>55</v>
      </c>
      <c r="M785" t="str">
        <f t="shared" si="25"/>
        <v>55</v>
      </c>
      <c r="N785" s="3" t="str">
        <f>VLOOKUP(Table2[[#This Row],[Tulu/kulu liik2]],Table5[[Tulu/kulu liik]:[Kontode koondnimetus]],4,FALSE)</f>
        <v>Muud tegevuskulud</v>
      </c>
      <c r="O785" s="3" t="str">
        <f>VLOOKUP(Table2[[#This Row],[Tulu/kulu liik2]],Table5[],6,FALSE)</f>
        <v>Majandamiskulud</v>
      </c>
      <c r="P785" s="3" t="str">
        <f>VLOOKUP(Table2[[#This Row],[Tulu/kulu liik2]],Table5[],5,FALSE)</f>
        <v>Põhitegevuse kulu</v>
      </c>
    </row>
    <row r="786" spans="1:16" hidden="1" x14ac:dyDescent="0.25">
      <c r="A786" t="str">
        <f t="shared" si="24"/>
        <v>09</v>
      </c>
      <c r="B786" t="s">
        <v>2226</v>
      </c>
      <c r="C786" s="3" t="str">
        <f>VLOOKUP(Table2[[#This Row],[Tegevusala]],Table4[],2,FALSE)</f>
        <v>Muuga-Laekvere Kool</v>
      </c>
      <c r="D786" s="3" t="str">
        <f>VLOOKUP(Table2[[#This Row],[Tegevusala]],Table4[[Tegevusala kood]:[Tegevusala alanimetus]],4,FALSE)</f>
        <v>Põhihariduse otsekulud</v>
      </c>
      <c r="E786" s="3" t="str">
        <f>VLOOKUP(Table2[[#This Row],[Tegevusala nimetus2]],Table4[[Tegevusala nimetus]:[Tegevusala koondnimetus]],2,FALSE)</f>
        <v>Haridus</v>
      </c>
      <c r="F786" t="s">
        <v>2231</v>
      </c>
      <c r="G786" t="s">
        <v>413</v>
      </c>
      <c r="H786" s="40">
        <v>600</v>
      </c>
      <c r="J786">
        <v>5525</v>
      </c>
      <c r="K786" s="3" t="str">
        <f>VLOOKUP(Table2[[#This Row],[Konto]],Table5[[Konto]:[Konto nimetus]],2,FALSE)</f>
        <v>Kommunikatsiooni-, kultuuri- ja vaba aja sisustamise kulud</v>
      </c>
      <c r="L786">
        <v>55</v>
      </c>
      <c r="M786" t="str">
        <f t="shared" si="25"/>
        <v>55</v>
      </c>
      <c r="N786" s="3" t="str">
        <f>VLOOKUP(Table2[[#This Row],[Tulu/kulu liik2]],Table5[[Tulu/kulu liik]:[Kontode koondnimetus]],4,FALSE)</f>
        <v>Muud tegevuskulud</v>
      </c>
      <c r="O786" s="3" t="str">
        <f>VLOOKUP(Table2[[#This Row],[Tulu/kulu liik2]],Table5[],6,FALSE)</f>
        <v>Majandamiskulud</v>
      </c>
      <c r="P786" s="3" t="str">
        <f>VLOOKUP(Table2[[#This Row],[Tulu/kulu liik2]],Table5[],5,FALSE)</f>
        <v>Põhitegevuse kulu</v>
      </c>
    </row>
    <row r="787" spans="1:16" hidden="1" x14ac:dyDescent="0.25">
      <c r="A787" t="str">
        <f t="shared" si="24"/>
        <v>09</v>
      </c>
      <c r="B787" t="s">
        <v>2226</v>
      </c>
      <c r="C787" s="3" t="str">
        <f>VLOOKUP(Table2[[#This Row],[Tegevusala]],Table4[],2,FALSE)</f>
        <v>Muuga-Laekvere Kool</v>
      </c>
      <c r="D787" s="3" t="str">
        <f>VLOOKUP(Table2[[#This Row],[Tegevusala]],Table4[[Tegevusala kood]:[Tegevusala alanimetus]],4,FALSE)</f>
        <v>Põhihariduse otsekulud</v>
      </c>
      <c r="E787" s="3" t="str">
        <f>VLOOKUP(Table2[[#This Row],[Tegevusala nimetus2]],Table4[[Tegevusala nimetus]:[Tegevusala koondnimetus]],2,FALSE)</f>
        <v>Haridus</v>
      </c>
      <c r="F787" t="s">
        <v>2231</v>
      </c>
      <c r="G787" t="s">
        <v>414</v>
      </c>
      <c r="H787" s="40">
        <v>4000</v>
      </c>
      <c r="J787">
        <v>5524</v>
      </c>
      <c r="K787" s="3" t="str">
        <f>VLOOKUP(Table2[[#This Row],[Konto]],Table5[[Konto]:[Konto nimetus]],2,FALSE)</f>
        <v>Õppevahendid</v>
      </c>
      <c r="L787">
        <v>55</v>
      </c>
      <c r="M787" t="str">
        <f t="shared" si="25"/>
        <v>55</v>
      </c>
      <c r="N787" s="3" t="str">
        <f>VLOOKUP(Table2[[#This Row],[Tulu/kulu liik2]],Table5[[Tulu/kulu liik]:[Kontode koondnimetus]],4,FALSE)</f>
        <v>Muud tegevuskulud</v>
      </c>
      <c r="O787" s="3" t="str">
        <f>VLOOKUP(Table2[[#This Row],[Tulu/kulu liik2]],Table5[],6,FALSE)</f>
        <v>Majandamiskulud</v>
      </c>
      <c r="P787" s="3" t="str">
        <f>VLOOKUP(Table2[[#This Row],[Tulu/kulu liik2]],Table5[],5,FALSE)</f>
        <v>Põhitegevuse kulu</v>
      </c>
    </row>
    <row r="788" spans="1:16" hidden="1" x14ac:dyDescent="0.25">
      <c r="A788" s="33" t="str">
        <f t="shared" si="24"/>
        <v>09</v>
      </c>
      <c r="B788" s="33" t="s">
        <v>2226</v>
      </c>
      <c r="C788" s="34" t="str">
        <f>VLOOKUP(Table2[[#This Row],[Tegevusala]],Table4[],2,FALSE)</f>
        <v>Muuga-Laekvere Kool</v>
      </c>
      <c r="D788" s="34" t="str">
        <f>VLOOKUP(Table2[[#This Row],[Tegevusala]],Table4[[Tegevusala kood]:[Tegevusala alanimetus]],4,FALSE)</f>
        <v>Põhihariduse otsekulud</v>
      </c>
      <c r="E788" s="34" t="str">
        <f>VLOOKUP(Table2[[#This Row],[Tegevusala nimetus2]],Table4[[Tegevusala nimetus]:[Tegevusala koondnimetus]],2,FALSE)</f>
        <v>Haridus</v>
      </c>
      <c r="F788" t="s">
        <v>2231</v>
      </c>
      <c r="G788" s="33" t="s">
        <v>1871</v>
      </c>
      <c r="H788" s="47">
        <v>900</v>
      </c>
      <c r="I788" s="35"/>
      <c r="J788" s="33">
        <v>5524</v>
      </c>
      <c r="K788" s="34" t="str">
        <f>VLOOKUP(Table2[[#This Row],[Konto]],Table5[[Konto]:[Konto nimetus]],2,FALSE)</f>
        <v>Õppevahendid</v>
      </c>
      <c r="L788" s="33">
        <v>55</v>
      </c>
      <c r="M788" s="33" t="str">
        <f t="shared" si="25"/>
        <v>55</v>
      </c>
      <c r="N788" s="34" t="str">
        <f>VLOOKUP(Table2[[#This Row],[Tulu/kulu liik2]],Table5[[Tulu/kulu liik]:[Kontode koondnimetus]],4,FALSE)</f>
        <v>Muud tegevuskulud</v>
      </c>
      <c r="O788" s="34" t="str">
        <f>VLOOKUP(Table2[[#This Row],[Tulu/kulu liik2]],Table5[],6,FALSE)</f>
        <v>Majandamiskulud</v>
      </c>
      <c r="P788" s="34" t="str">
        <f>VLOOKUP(Table2[[#This Row],[Tulu/kulu liik2]],Table5[],5,FALSE)</f>
        <v>Põhitegevuse kulu</v>
      </c>
    </row>
    <row r="789" spans="1:16" hidden="1" x14ac:dyDescent="0.25">
      <c r="A789" t="str">
        <f t="shared" si="24"/>
        <v>09</v>
      </c>
      <c r="B789" t="s">
        <v>2226</v>
      </c>
      <c r="C789" s="3" t="str">
        <f>VLOOKUP(Table2[[#This Row],[Tegevusala]],Table4[],2,FALSE)</f>
        <v>Muuga-Laekvere Kool</v>
      </c>
      <c r="D789" s="3" t="str">
        <f>VLOOKUP(Table2[[#This Row],[Tegevusala]],Table4[[Tegevusala kood]:[Tegevusala alanimetus]],4,FALSE)</f>
        <v>Põhihariduse otsekulud</v>
      </c>
      <c r="E789" s="3" t="str">
        <f>VLOOKUP(Table2[[#This Row],[Tegevusala nimetus2]],Table4[[Tegevusala nimetus]:[Tegevusala koondnimetus]],2,FALSE)</f>
        <v>Haridus</v>
      </c>
      <c r="F789" t="s">
        <v>2231</v>
      </c>
      <c r="G789" t="s">
        <v>415</v>
      </c>
      <c r="H789" s="40">
        <v>150</v>
      </c>
      <c r="J789">
        <v>5525</v>
      </c>
      <c r="K789" s="3" t="str">
        <f>VLOOKUP(Table2[[#This Row],[Konto]],Table5[[Konto]:[Konto nimetus]],2,FALSE)</f>
        <v>Kommunikatsiooni-, kultuuri- ja vaba aja sisustamise kulud</v>
      </c>
      <c r="L789">
        <v>55</v>
      </c>
      <c r="M789" t="str">
        <f t="shared" si="25"/>
        <v>55</v>
      </c>
      <c r="N789" s="3" t="str">
        <f>VLOOKUP(Table2[[#This Row],[Tulu/kulu liik2]],Table5[[Tulu/kulu liik]:[Kontode koondnimetus]],4,FALSE)</f>
        <v>Muud tegevuskulud</v>
      </c>
      <c r="O789" s="3" t="str">
        <f>VLOOKUP(Table2[[#This Row],[Tulu/kulu liik2]],Table5[],6,FALSE)</f>
        <v>Majandamiskulud</v>
      </c>
      <c r="P789" s="3" t="str">
        <f>VLOOKUP(Table2[[#This Row],[Tulu/kulu liik2]],Table5[],5,FALSE)</f>
        <v>Põhitegevuse kulu</v>
      </c>
    </row>
    <row r="790" spans="1:16" hidden="1" x14ac:dyDescent="0.25">
      <c r="A790" t="str">
        <f t="shared" si="24"/>
        <v>09</v>
      </c>
      <c r="B790" t="s">
        <v>2226</v>
      </c>
      <c r="C790" s="3" t="str">
        <f>VLOOKUP(Table2[[#This Row],[Tegevusala]],Table4[],2,FALSE)</f>
        <v>Muuga-Laekvere Kool</v>
      </c>
      <c r="D790" s="3" t="str">
        <f>VLOOKUP(Table2[[#This Row],[Tegevusala]],Table4[[Tegevusala kood]:[Tegevusala alanimetus]],4,FALSE)</f>
        <v>Põhihariduse otsekulud</v>
      </c>
      <c r="E790" s="3" t="str">
        <f>VLOOKUP(Table2[[#This Row],[Tegevusala nimetus2]],Table4[[Tegevusala nimetus]:[Tegevusala koondnimetus]],2,FALSE)</f>
        <v>Haridus</v>
      </c>
      <c r="F790" t="s">
        <v>2231</v>
      </c>
      <c r="G790" t="s">
        <v>416</v>
      </c>
      <c r="H790" s="40">
        <v>100</v>
      </c>
      <c r="J790">
        <v>5525</v>
      </c>
      <c r="K790" s="3" t="str">
        <f>VLOOKUP(Table2[[#This Row],[Konto]],Table5[[Konto]:[Konto nimetus]],2,FALSE)</f>
        <v>Kommunikatsiooni-, kultuuri- ja vaba aja sisustamise kulud</v>
      </c>
      <c r="L790">
        <v>55</v>
      </c>
      <c r="M790" t="str">
        <f t="shared" si="25"/>
        <v>55</v>
      </c>
      <c r="N790" s="3" t="str">
        <f>VLOOKUP(Table2[[#This Row],[Tulu/kulu liik2]],Table5[[Tulu/kulu liik]:[Kontode koondnimetus]],4,FALSE)</f>
        <v>Muud tegevuskulud</v>
      </c>
      <c r="O790" s="3" t="str">
        <f>VLOOKUP(Table2[[#This Row],[Tulu/kulu liik2]],Table5[],6,FALSE)</f>
        <v>Majandamiskulud</v>
      </c>
      <c r="P790" s="3" t="str">
        <f>VLOOKUP(Table2[[#This Row],[Tulu/kulu liik2]],Table5[],5,FALSE)</f>
        <v>Põhitegevuse kulu</v>
      </c>
    </row>
    <row r="791" spans="1:16" hidden="1" x14ac:dyDescent="0.25">
      <c r="A791" t="str">
        <f t="shared" si="24"/>
        <v>09</v>
      </c>
      <c r="B791" t="s">
        <v>2226</v>
      </c>
      <c r="C791" s="3" t="str">
        <f>VLOOKUP(Table2[[#This Row],[Tegevusala]],Table4[],2,FALSE)</f>
        <v>Muuga-Laekvere Kool</v>
      </c>
      <c r="D791" s="3" t="str">
        <f>VLOOKUP(Table2[[#This Row],[Tegevusala]],Table4[[Tegevusala kood]:[Tegevusala alanimetus]],4,FALSE)</f>
        <v>Põhihariduse otsekulud</v>
      </c>
      <c r="E791" s="3" t="str">
        <f>VLOOKUP(Table2[[#This Row],[Tegevusala nimetus2]],Table4[[Tegevusala nimetus]:[Tegevusala koondnimetus]],2,FALSE)</f>
        <v>Haridus</v>
      </c>
      <c r="F791" t="s">
        <v>2231</v>
      </c>
      <c r="G791" t="s">
        <v>417</v>
      </c>
      <c r="H791" s="40">
        <v>3000</v>
      </c>
      <c r="J791">
        <v>5525</v>
      </c>
      <c r="K791" s="3" t="str">
        <f>VLOOKUP(Table2[[#This Row],[Konto]],Table5[[Konto]:[Konto nimetus]],2,FALSE)</f>
        <v>Kommunikatsiooni-, kultuuri- ja vaba aja sisustamise kulud</v>
      </c>
      <c r="L791">
        <v>55</v>
      </c>
      <c r="M791" t="str">
        <f t="shared" si="25"/>
        <v>55</v>
      </c>
      <c r="N791" s="3" t="str">
        <f>VLOOKUP(Table2[[#This Row],[Tulu/kulu liik2]],Table5[[Tulu/kulu liik]:[Kontode koondnimetus]],4,FALSE)</f>
        <v>Muud tegevuskulud</v>
      </c>
      <c r="O791" s="3" t="str">
        <f>VLOOKUP(Table2[[#This Row],[Tulu/kulu liik2]],Table5[],6,FALSE)</f>
        <v>Majandamiskulud</v>
      </c>
      <c r="P791" s="3" t="str">
        <f>VLOOKUP(Table2[[#This Row],[Tulu/kulu liik2]],Table5[],5,FALSE)</f>
        <v>Põhitegevuse kulu</v>
      </c>
    </row>
    <row r="792" spans="1:16" hidden="1" x14ac:dyDescent="0.25">
      <c r="A792" t="str">
        <f t="shared" si="24"/>
        <v>09</v>
      </c>
      <c r="B792" t="s">
        <v>2226</v>
      </c>
      <c r="C792" s="3" t="str">
        <f>VLOOKUP(Table2[[#This Row],[Tegevusala]],Table4[],2,FALSE)</f>
        <v>Muuga-Laekvere Kool</v>
      </c>
      <c r="D792" s="3" t="str">
        <f>VLOOKUP(Table2[[#This Row],[Tegevusala]],Table4[[Tegevusala kood]:[Tegevusala alanimetus]],4,FALSE)</f>
        <v>Põhihariduse otsekulud</v>
      </c>
      <c r="E792" s="3" t="str">
        <f>VLOOKUP(Table2[[#This Row],[Tegevusala nimetus2]],Table4[[Tegevusala nimetus]:[Tegevusala koondnimetus]],2,FALSE)</f>
        <v>Haridus</v>
      </c>
      <c r="F792" t="s">
        <v>2231</v>
      </c>
      <c r="G792" t="s">
        <v>1872</v>
      </c>
      <c r="H792" s="40">
        <v>2000</v>
      </c>
      <c r="J792">
        <v>5525</v>
      </c>
      <c r="K792" s="3" t="str">
        <f>VLOOKUP(Table2[[#This Row],[Konto]],Table5[[Konto]:[Konto nimetus]],2,FALSE)</f>
        <v>Kommunikatsiooni-, kultuuri- ja vaba aja sisustamise kulud</v>
      </c>
      <c r="L792">
        <v>55</v>
      </c>
      <c r="M792" t="str">
        <f t="shared" si="25"/>
        <v>55</v>
      </c>
      <c r="N792" s="3" t="str">
        <f>VLOOKUP(Table2[[#This Row],[Tulu/kulu liik2]],Table5[[Tulu/kulu liik]:[Kontode koondnimetus]],4,FALSE)</f>
        <v>Muud tegevuskulud</v>
      </c>
      <c r="O792" s="3" t="str">
        <f>VLOOKUP(Table2[[#This Row],[Tulu/kulu liik2]],Table5[],6,FALSE)</f>
        <v>Majandamiskulud</v>
      </c>
      <c r="P792" s="3" t="str">
        <f>VLOOKUP(Table2[[#This Row],[Tulu/kulu liik2]],Table5[],5,FALSE)</f>
        <v>Põhitegevuse kulu</v>
      </c>
    </row>
    <row r="793" spans="1:16" hidden="1" x14ac:dyDescent="0.25">
      <c r="A793" t="str">
        <f t="shared" si="24"/>
        <v>09</v>
      </c>
      <c r="B793" t="s">
        <v>2226</v>
      </c>
      <c r="C793" s="3" t="str">
        <f>VLOOKUP(Table2[[#This Row],[Tegevusala]],Table4[],2,FALSE)</f>
        <v>Muuga-Laekvere Kool</v>
      </c>
      <c r="D793" s="3" t="str">
        <f>VLOOKUP(Table2[[#This Row],[Tegevusala]],Table4[[Tegevusala kood]:[Tegevusala alanimetus]],4,FALSE)</f>
        <v>Põhihariduse otsekulud</v>
      </c>
      <c r="E793" s="3" t="str">
        <f>VLOOKUP(Table2[[#This Row],[Tegevusala nimetus2]],Table4[[Tegevusala nimetus]:[Tegevusala koondnimetus]],2,FALSE)</f>
        <v>Haridus</v>
      </c>
      <c r="F793" t="s">
        <v>2231</v>
      </c>
      <c r="G793" t="s">
        <v>401</v>
      </c>
      <c r="H793" s="40">
        <v>1000</v>
      </c>
      <c r="J793">
        <v>5514</v>
      </c>
      <c r="K793" s="3" t="str">
        <f>VLOOKUP(Table2[[#This Row],[Konto]],Table5[[Konto]:[Konto nimetus]],2,FALSE)</f>
        <v>Info- ja kommunikatsioonitehnoliigised kulud</v>
      </c>
      <c r="L793">
        <v>55</v>
      </c>
      <c r="M793" t="str">
        <f t="shared" si="25"/>
        <v>55</v>
      </c>
      <c r="N793" s="3" t="str">
        <f>VLOOKUP(Table2[[#This Row],[Tulu/kulu liik2]],Table5[[Tulu/kulu liik]:[Kontode koondnimetus]],4,FALSE)</f>
        <v>Muud tegevuskulud</v>
      </c>
      <c r="O793" s="3" t="str">
        <f>VLOOKUP(Table2[[#This Row],[Tulu/kulu liik2]],Table5[],6,FALSE)</f>
        <v>Majandamiskulud</v>
      </c>
      <c r="P793" s="3" t="str">
        <f>VLOOKUP(Table2[[#This Row],[Tulu/kulu liik2]],Table5[],5,FALSE)</f>
        <v>Põhitegevuse kulu</v>
      </c>
    </row>
    <row r="794" spans="1:16" hidden="1" x14ac:dyDescent="0.25">
      <c r="A794" t="str">
        <f t="shared" si="24"/>
        <v>09</v>
      </c>
      <c r="B794" t="s">
        <v>2226</v>
      </c>
      <c r="C794" s="3" t="str">
        <f>VLOOKUP(Table2[[#This Row],[Tegevusala]],Table4[],2,FALSE)</f>
        <v>Muuga-Laekvere Kool</v>
      </c>
      <c r="D794" s="3" t="str">
        <f>VLOOKUP(Table2[[#This Row],[Tegevusala]],Table4[[Tegevusala kood]:[Tegevusala alanimetus]],4,FALSE)</f>
        <v>Põhihariduse otsekulud</v>
      </c>
      <c r="E794" s="3" t="str">
        <f>VLOOKUP(Table2[[#This Row],[Tegevusala nimetus2]],Table4[[Tegevusala nimetus]:[Tegevusala koondnimetus]],2,FALSE)</f>
        <v>Haridus</v>
      </c>
      <c r="F794" t="s">
        <v>2231</v>
      </c>
      <c r="G794" t="s">
        <v>402</v>
      </c>
      <c r="H794" s="40">
        <v>500</v>
      </c>
      <c r="J794">
        <v>5514</v>
      </c>
      <c r="K794" s="3" t="str">
        <f>VLOOKUP(Table2[[#This Row],[Konto]],Table5[[Konto]:[Konto nimetus]],2,FALSE)</f>
        <v>Info- ja kommunikatsioonitehnoliigised kulud</v>
      </c>
      <c r="L794">
        <v>55</v>
      </c>
      <c r="M794" t="str">
        <f t="shared" si="25"/>
        <v>55</v>
      </c>
      <c r="N794" s="3" t="str">
        <f>VLOOKUP(Table2[[#This Row],[Tulu/kulu liik2]],Table5[[Tulu/kulu liik]:[Kontode koondnimetus]],4,FALSE)</f>
        <v>Muud tegevuskulud</v>
      </c>
      <c r="O794" s="3" t="str">
        <f>VLOOKUP(Table2[[#This Row],[Tulu/kulu liik2]],Table5[],6,FALSE)</f>
        <v>Majandamiskulud</v>
      </c>
      <c r="P794" s="3" t="str">
        <f>VLOOKUP(Table2[[#This Row],[Tulu/kulu liik2]],Table5[],5,FALSE)</f>
        <v>Põhitegevuse kulu</v>
      </c>
    </row>
    <row r="795" spans="1:16" hidden="1" x14ac:dyDescent="0.25">
      <c r="A795" t="str">
        <f t="shared" si="24"/>
        <v>09</v>
      </c>
      <c r="B795" t="s">
        <v>2226</v>
      </c>
      <c r="C795" s="3" t="str">
        <f>VLOOKUP(Table2[[#This Row],[Tegevusala]],Table4[],2,FALSE)</f>
        <v>Muuga-Laekvere Kool</v>
      </c>
      <c r="D795" s="3" t="str">
        <f>VLOOKUP(Table2[[#This Row],[Tegevusala]],Table4[[Tegevusala kood]:[Tegevusala alanimetus]],4,FALSE)</f>
        <v>Põhihariduse otsekulud</v>
      </c>
      <c r="E795" s="3" t="str">
        <f>VLOOKUP(Table2[[#This Row],[Tegevusala nimetus2]],Table4[[Tegevusala nimetus]:[Tegevusala koondnimetus]],2,FALSE)</f>
        <v>Haridus</v>
      </c>
      <c r="F795" t="s">
        <v>2231</v>
      </c>
      <c r="G795" t="s">
        <v>403</v>
      </c>
      <c r="H795" s="40">
        <v>600</v>
      </c>
      <c r="J795">
        <v>5514</v>
      </c>
      <c r="K795" s="3" t="str">
        <f>VLOOKUP(Table2[[#This Row],[Konto]],Table5[[Konto]:[Konto nimetus]],2,FALSE)</f>
        <v>Info- ja kommunikatsioonitehnoliigised kulud</v>
      </c>
      <c r="L795">
        <v>55</v>
      </c>
      <c r="M795" t="str">
        <f t="shared" si="25"/>
        <v>55</v>
      </c>
      <c r="N795" s="3" t="str">
        <f>VLOOKUP(Table2[[#This Row],[Tulu/kulu liik2]],Table5[[Tulu/kulu liik]:[Kontode koondnimetus]],4,FALSE)</f>
        <v>Muud tegevuskulud</v>
      </c>
      <c r="O795" s="3" t="str">
        <f>VLOOKUP(Table2[[#This Row],[Tulu/kulu liik2]],Table5[],6,FALSE)</f>
        <v>Majandamiskulud</v>
      </c>
      <c r="P795" s="3" t="str">
        <f>VLOOKUP(Table2[[#This Row],[Tulu/kulu liik2]],Table5[],5,FALSE)</f>
        <v>Põhitegevuse kulu</v>
      </c>
    </row>
    <row r="796" spans="1:16" hidden="1" x14ac:dyDescent="0.25">
      <c r="A796" t="str">
        <f t="shared" si="24"/>
        <v>09</v>
      </c>
      <c r="B796" t="s">
        <v>2226</v>
      </c>
      <c r="C796" s="3" t="str">
        <f>VLOOKUP(Table2[[#This Row],[Tegevusala]],Table4[],2,FALSE)</f>
        <v>Muuga-Laekvere Kool</v>
      </c>
      <c r="D796" s="3" t="str">
        <f>VLOOKUP(Table2[[#This Row],[Tegevusala]],Table4[[Tegevusala kood]:[Tegevusala alanimetus]],4,FALSE)</f>
        <v>Põhihariduse otsekulud</v>
      </c>
      <c r="E796" s="3" t="str">
        <f>VLOOKUP(Table2[[#This Row],[Tegevusala nimetus2]],Table4[[Tegevusala nimetus]:[Tegevusala koondnimetus]],2,FALSE)</f>
        <v>Haridus</v>
      </c>
      <c r="F796" t="s">
        <v>2231</v>
      </c>
      <c r="G796" t="s">
        <v>199</v>
      </c>
      <c r="H796" s="40">
        <v>300</v>
      </c>
      <c r="J796">
        <v>5514</v>
      </c>
      <c r="K796" s="3" t="str">
        <f>VLOOKUP(Table2[[#This Row],[Konto]],Table5[[Konto]:[Konto nimetus]],2,FALSE)</f>
        <v>Info- ja kommunikatsioonitehnoliigised kulud</v>
      </c>
      <c r="L796">
        <v>55</v>
      </c>
      <c r="M796" t="str">
        <f t="shared" si="25"/>
        <v>55</v>
      </c>
      <c r="N796" s="3" t="str">
        <f>VLOOKUP(Table2[[#This Row],[Tulu/kulu liik2]],Table5[[Tulu/kulu liik]:[Kontode koondnimetus]],4,FALSE)</f>
        <v>Muud tegevuskulud</v>
      </c>
      <c r="O796" s="3" t="str">
        <f>VLOOKUP(Table2[[#This Row],[Tulu/kulu liik2]],Table5[],6,FALSE)</f>
        <v>Majandamiskulud</v>
      </c>
      <c r="P796" s="3" t="str">
        <f>VLOOKUP(Table2[[#This Row],[Tulu/kulu liik2]],Table5[],5,FALSE)</f>
        <v>Põhitegevuse kulu</v>
      </c>
    </row>
    <row r="797" spans="1:16" hidden="1" x14ac:dyDescent="0.25">
      <c r="A797" t="str">
        <f t="shared" si="24"/>
        <v>09</v>
      </c>
      <c r="B797" t="s">
        <v>2226</v>
      </c>
      <c r="C797" s="3" t="str">
        <f>VLOOKUP(Table2[[#This Row],[Tegevusala]],Table4[],2,FALSE)</f>
        <v>Muuga-Laekvere Kool</v>
      </c>
      <c r="D797" s="3" t="str">
        <f>VLOOKUP(Table2[[#This Row],[Tegevusala]],Table4[[Tegevusala kood]:[Tegevusala alanimetus]],4,FALSE)</f>
        <v>Põhihariduse otsekulud</v>
      </c>
      <c r="E797" s="3" t="str">
        <f>VLOOKUP(Table2[[#This Row],[Tegevusala nimetus2]],Table4[[Tegevusala nimetus]:[Tegevusala koondnimetus]],2,FALSE)</f>
        <v>Haridus</v>
      </c>
      <c r="F797" t="s">
        <v>822</v>
      </c>
      <c r="G797" t="s">
        <v>2037</v>
      </c>
      <c r="H797" s="40">
        <v>290000</v>
      </c>
      <c r="J797">
        <v>1551</v>
      </c>
      <c r="K797" s="3" t="str">
        <f>VLOOKUP(Table2[[#This Row],[Konto]],Table5[[Konto]:[Konto nimetus]],2,FALSE)</f>
        <v>Rajatiste ja hoonete soetamine ja renoveerimine</v>
      </c>
      <c r="L797">
        <v>15</v>
      </c>
      <c r="M797" t="str">
        <f t="shared" si="25"/>
        <v>15</v>
      </c>
      <c r="N797" s="3" t="str">
        <f>VLOOKUP(Table2[[#This Row],[Tulu/kulu liik2]],Table5[[Tulu/kulu liik]:[Kontode koondnimetus]],4,FALSE)</f>
        <v>Põhivara soetus (-)</v>
      </c>
      <c r="O797" s="34" t="str">
        <f>VLOOKUP(Table2[[#This Row],[Tulu/kulu liik2]],Table5[],6,FALSE)</f>
        <v>Põhivara soetus (-)</v>
      </c>
      <c r="P797" s="3" t="str">
        <f>VLOOKUP(Table2[[#This Row],[Tulu/kulu liik2]],Table5[],5,FALSE)</f>
        <v>Investeerimistegevus</v>
      </c>
    </row>
    <row r="798" spans="1:16" hidden="1" x14ac:dyDescent="0.25">
      <c r="A798" t="str">
        <f t="shared" si="24"/>
        <v>09</v>
      </c>
      <c r="B798" t="s">
        <v>2226</v>
      </c>
      <c r="C798" s="3" t="str">
        <f>VLOOKUP(Table2[[#This Row],[Tegevusala]],Table4[],2,FALSE)</f>
        <v>Muuga-Laekvere Kool</v>
      </c>
      <c r="D798" s="3" t="str">
        <f>VLOOKUP(Table2[[#This Row],[Tegevusala]],Table4[[Tegevusala kood]:[Tegevusala alanimetus]],4,FALSE)</f>
        <v>Põhihariduse otsekulud</v>
      </c>
      <c r="E798" s="3" t="str">
        <f>VLOOKUP(Table2[[#This Row],[Tegevusala nimetus2]],Table4[[Tegevusala nimetus]:[Tegevusala koondnimetus]],2,FALSE)</f>
        <v>Haridus</v>
      </c>
      <c r="F798" t="s">
        <v>2231</v>
      </c>
      <c r="G798" t="s">
        <v>2171</v>
      </c>
      <c r="H798" s="40">
        <v>1384.56</v>
      </c>
      <c r="I798" s="2" t="s">
        <v>2175</v>
      </c>
      <c r="J798">
        <v>5504</v>
      </c>
      <c r="K798" s="3" t="str">
        <f>VLOOKUP(Table2[[#This Row],[Konto]],Table5[[Konto]:[Konto nimetus]],2,FALSE)</f>
        <v>Koolituskulud</v>
      </c>
      <c r="L798">
        <v>55</v>
      </c>
      <c r="M798" t="str">
        <f t="shared" si="25"/>
        <v>55</v>
      </c>
      <c r="N798" s="3" t="str">
        <f>VLOOKUP(Table2[[#This Row],[Tulu/kulu liik2]],Table5[[Tulu/kulu liik]:[Kontode koondnimetus]],4,FALSE)</f>
        <v>Muud tegevuskulud</v>
      </c>
      <c r="O798" s="34" t="str">
        <f>VLOOKUP(Table2[[#This Row],[Tulu/kulu liik2]],Table5[],6,FALSE)</f>
        <v>Majandamiskulud</v>
      </c>
      <c r="P798" s="3" t="str">
        <f>VLOOKUP(Table2[[#This Row],[Tulu/kulu liik2]],Table5[],5,FALSE)</f>
        <v>Põhitegevuse kulu</v>
      </c>
    </row>
    <row r="799" spans="1:16" hidden="1" x14ac:dyDescent="0.25">
      <c r="A799" t="str">
        <f t="shared" si="24"/>
        <v>09</v>
      </c>
      <c r="B799" s="33" t="s">
        <v>2226</v>
      </c>
      <c r="C799" s="3" t="str">
        <f>VLOOKUP(Table2[[#This Row],[Tegevusala]],Table4[],2,FALSE)</f>
        <v>Muuga-Laekvere Kool</v>
      </c>
      <c r="D799" s="3" t="str">
        <f>VLOOKUP(Table2[[#This Row],[Tegevusala]],Table4[[Tegevusala kood]:[Tegevusala alanimetus]],4,FALSE)</f>
        <v>Põhihariduse otsekulud</v>
      </c>
      <c r="E799" s="3" t="str">
        <f>VLOOKUP(Table2[[#This Row],[Tegevusala nimetus2]],Table4[[Tegevusala nimetus]:[Tegevusala koondnimetus]],2,FALSE)</f>
        <v>Haridus</v>
      </c>
      <c r="F799" t="s">
        <v>2231</v>
      </c>
      <c r="G799" t="s">
        <v>2172</v>
      </c>
      <c r="H799" s="40">
        <v>4311.42</v>
      </c>
      <c r="I799" s="2" t="s">
        <v>2175</v>
      </c>
      <c r="J799">
        <v>5524</v>
      </c>
      <c r="K799" s="3" t="str">
        <f>VLOOKUP(Table2[[#This Row],[Konto]],Table5[[Konto]:[Konto nimetus]],2,FALSE)</f>
        <v>Õppevahendid</v>
      </c>
      <c r="L799">
        <v>55</v>
      </c>
      <c r="M799" t="str">
        <f t="shared" si="25"/>
        <v>55</v>
      </c>
      <c r="N799" s="3" t="str">
        <f>VLOOKUP(Table2[[#This Row],[Tulu/kulu liik2]],Table5[[Tulu/kulu liik]:[Kontode koondnimetus]],4,FALSE)</f>
        <v>Muud tegevuskulud</v>
      </c>
      <c r="O799" s="34" t="str">
        <f>VLOOKUP(Table2[[#This Row],[Tulu/kulu liik2]],Table5[],6,FALSE)</f>
        <v>Majandamiskulud</v>
      </c>
      <c r="P799" s="3" t="str">
        <f>VLOOKUP(Table2[[#This Row],[Tulu/kulu liik2]],Table5[],5,FALSE)</f>
        <v>Põhitegevuse kulu</v>
      </c>
    </row>
    <row r="800" spans="1:16" hidden="1" x14ac:dyDescent="0.25">
      <c r="A800" t="str">
        <f t="shared" si="24"/>
        <v>09</v>
      </c>
      <c r="B800" t="s">
        <v>2226</v>
      </c>
      <c r="C800" s="3" t="str">
        <f>VLOOKUP(Table2[[#This Row],[Tegevusala]],Table4[],2,FALSE)</f>
        <v>Muuga-Laekvere Kool</v>
      </c>
      <c r="D800" s="3" t="str">
        <f>VLOOKUP(Table2[[#This Row],[Tegevusala]],Table4[[Tegevusala kood]:[Tegevusala alanimetus]],4,FALSE)</f>
        <v>Põhihariduse otsekulud</v>
      </c>
      <c r="E800" s="3" t="str">
        <f>VLOOKUP(Table2[[#This Row],[Tegevusala nimetus2]],Table4[[Tegevusala nimetus]:[Tegevusala koondnimetus]],2,FALSE)</f>
        <v>Haridus</v>
      </c>
      <c r="F800" t="s">
        <v>2230</v>
      </c>
      <c r="G800" t="s">
        <v>177</v>
      </c>
      <c r="H800" s="40">
        <v>27000</v>
      </c>
      <c r="J800">
        <v>5511</v>
      </c>
      <c r="K800" s="3" t="str">
        <f>VLOOKUP(Table2[[#This Row],[Konto]],Table5[[Konto]:[Konto nimetus]],2,FALSE)</f>
        <v>Kinnistute, hoonete ja ruumide majandamiskulud</v>
      </c>
      <c r="L800">
        <v>55</v>
      </c>
      <c r="M800" t="str">
        <f t="shared" si="25"/>
        <v>55</v>
      </c>
      <c r="N800" s="3" t="str">
        <f>VLOOKUP(Table2[[#This Row],[Tulu/kulu liik2]],Table5[[Tulu/kulu liik]:[Kontode koondnimetus]],4,FALSE)</f>
        <v>Muud tegevuskulud</v>
      </c>
      <c r="O800" s="3" t="str">
        <f>VLOOKUP(Table2[[#This Row],[Tulu/kulu liik2]],Table5[],6,FALSE)</f>
        <v>Majandamiskulud</v>
      </c>
      <c r="P800" s="3" t="str">
        <f>VLOOKUP(Table2[[#This Row],[Tulu/kulu liik2]],Table5[],5,FALSE)</f>
        <v>Põhitegevuse kulu</v>
      </c>
    </row>
    <row r="801" spans="1:16" hidden="1" x14ac:dyDescent="0.25">
      <c r="A801" t="str">
        <f t="shared" si="24"/>
        <v>09</v>
      </c>
      <c r="B801" t="s">
        <v>2226</v>
      </c>
      <c r="C801" s="3" t="str">
        <f>VLOOKUP(Table2[[#This Row],[Tegevusala]],Table4[],2,FALSE)</f>
        <v>Muuga-Laekvere Kool</v>
      </c>
      <c r="D801" s="3" t="str">
        <f>VLOOKUP(Table2[[#This Row],[Tegevusala]],Table4[[Tegevusala kood]:[Tegevusala alanimetus]],4,FALSE)</f>
        <v>Põhihariduse otsekulud</v>
      </c>
      <c r="E801" s="3" t="str">
        <f>VLOOKUP(Table2[[#This Row],[Tegevusala nimetus2]],Table4[[Tegevusala nimetus]:[Tegevusala koondnimetus]],2,FALSE)</f>
        <v>Haridus</v>
      </c>
      <c r="F801" t="s">
        <v>2230</v>
      </c>
      <c r="G801" t="s">
        <v>178</v>
      </c>
      <c r="H801" s="40">
        <v>5300</v>
      </c>
      <c r="J801">
        <v>5511</v>
      </c>
      <c r="K801" s="3" t="str">
        <f>VLOOKUP(Table2[[#This Row],[Konto]],Table5[[Konto]:[Konto nimetus]],2,FALSE)</f>
        <v>Kinnistute, hoonete ja ruumide majandamiskulud</v>
      </c>
      <c r="L801">
        <v>55</v>
      </c>
      <c r="M801" t="str">
        <f t="shared" si="25"/>
        <v>55</v>
      </c>
      <c r="N801" s="3" t="str">
        <f>VLOOKUP(Table2[[#This Row],[Tulu/kulu liik2]],Table5[[Tulu/kulu liik]:[Kontode koondnimetus]],4,FALSE)</f>
        <v>Muud tegevuskulud</v>
      </c>
      <c r="O801" s="3" t="str">
        <f>VLOOKUP(Table2[[#This Row],[Tulu/kulu liik2]],Table5[],6,FALSE)</f>
        <v>Majandamiskulud</v>
      </c>
      <c r="P801" s="3" t="str">
        <f>VLOOKUP(Table2[[#This Row],[Tulu/kulu liik2]],Table5[],5,FALSE)</f>
        <v>Põhitegevuse kulu</v>
      </c>
    </row>
    <row r="802" spans="1:16" hidden="1" x14ac:dyDescent="0.25">
      <c r="A802" t="str">
        <f t="shared" si="24"/>
        <v>09</v>
      </c>
      <c r="B802" t="s">
        <v>2226</v>
      </c>
      <c r="C802" s="3" t="str">
        <f>VLOOKUP(Table2[[#This Row],[Tegevusala]],Table4[],2,FALSE)</f>
        <v>Muuga-Laekvere Kool</v>
      </c>
      <c r="D802" s="3" t="str">
        <f>VLOOKUP(Table2[[#This Row],[Tegevusala]],Table4[[Tegevusala kood]:[Tegevusala alanimetus]],4,FALSE)</f>
        <v>Põhihariduse otsekulud</v>
      </c>
      <c r="E802" s="3" t="str">
        <f>VLOOKUP(Table2[[#This Row],[Tegevusala nimetus2]],Table4[[Tegevusala nimetus]:[Tegevusala koondnimetus]],2,FALSE)</f>
        <v>Haridus</v>
      </c>
      <c r="F802" t="s">
        <v>2230</v>
      </c>
      <c r="G802" t="s">
        <v>392</v>
      </c>
      <c r="H802" s="40">
        <v>400</v>
      </c>
      <c r="J802">
        <v>5511</v>
      </c>
      <c r="K802" s="3" t="str">
        <f>VLOOKUP(Table2[[#This Row],[Konto]],Table5[[Konto]:[Konto nimetus]],2,FALSE)</f>
        <v>Kinnistute, hoonete ja ruumide majandamiskulud</v>
      </c>
      <c r="L802">
        <v>55</v>
      </c>
      <c r="M802" t="str">
        <f t="shared" si="25"/>
        <v>55</v>
      </c>
      <c r="N802" s="3" t="str">
        <f>VLOOKUP(Table2[[#This Row],[Tulu/kulu liik2]],Table5[[Tulu/kulu liik]:[Kontode koondnimetus]],4,FALSE)</f>
        <v>Muud tegevuskulud</v>
      </c>
      <c r="O802" s="3" t="str">
        <f>VLOOKUP(Table2[[#This Row],[Tulu/kulu liik2]],Table5[],6,FALSE)</f>
        <v>Majandamiskulud</v>
      </c>
      <c r="P802" s="3" t="str">
        <f>VLOOKUP(Table2[[#This Row],[Tulu/kulu liik2]],Table5[],5,FALSE)</f>
        <v>Põhitegevuse kulu</v>
      </c>
    </row>
    <row r="803" spans="1:16" hidden="1" x14ac:dyDescent="0.25">
      <c r="A803" t="str">
        <f t="shared" si="24"/>
        <v>09</v>
      </c>
      <c r="B803" t="s">
        <v>2226</v>
      </c>
      <c r="C803" s="3" t="str">
        <f>VLOOKUP(Table2[[#This Row],[Tegevusala]],Table4[],2,FALSE)</f>
        <v>Muuga-Laekvere Kool</v>
      </c>
      <c r="D803" s="3" t="str">
        <f>VLOOKUP(Table2[[#This Row],[Tegevusala]],Table4[[Tegevusala kood]:[Tegevusala alanimetus]],4,FALSE)</f>
        <v>Põhihariduse otsekulud</v>
      </c>
      <c r="E803" s="3" t="str">
        <f>VLOOKUP(Table2[[#This Row],[Tegevusala nimetus2]],Table4[[Tegevusala nimetus]:[Tegevusala koondnimetus]],2,FALSE)</f>
        <v>Haridus</v>
      </c>
      <c r="F803" t="s">
        <v>2230</v>
      </c>
      <c r="G803" t="s">
        <v>393</v>
      </c>
      <c r="H803" s="40">
        <v>2000</v>
      </c>
      <c r="J803">
        <v>5511</v>
      </c>
      <c r="K803" s="3" t="str">
        <f>VLOOKUP(Table2[[#This Row],[Konto]],Table5[[Konto]:[Konto nimetus]],2,FALSE)</f>
        <v>Kinnistute, hoonete ja ruumide majandamiskulud</v>
      </c>
      <c r="L803">
        <v>55</v>
      </c>
      <c r="M803" t="str">
        <f t="shared" si="25"/>
        <v>55</v>
      </c>
      <c r="N803" s="3" t="str">
        <f>VLOOKUP(Table2[[#This Row],[Tulu/kulu liik2]],Table5[[Tulu/kulu liik]:[Kontode koondnimetus]],4,FALSE)</f>
        <v>Muud tegevuskulud</v>
      </c>
      <c r="O803" s="3" t="str">
        <f>VLOOKUP(Table2[[#This Row],[Tulu/kulu liik2]],Table5[],6,FALSE)</f>
        <v>Majandamiskulud</v>
      </c>
      <c r="P803" s="3" t="str">
        <f>VLOOKUP(Table2[[#This Row],[Tulu/kulu liik2]],Table5[],5,FALSE)</f>
        <v>Põhitegevuse kulu</v>
      </c>
    </row>
    <row r="804" spans="1:16" hidden="1" x14ac:dyDescent="0.25">
      <c r="A804" t="str">
        <f t="shared" si="24"/>
        <v>09</v>
      </c>
      <c r="B804" t="s">
        <v>2226</v>
      </c>
      <c r="C804" s="3" t="str">
        <f>VLOOKUP(Table2[[#This Row],[Tegevusala]],Table4[],2,FALSE)</f>
        <v>Muuga-Laekvere Kool</v>
      </c>
      <c r="D804" s="3" t="str">
        <f>VLOOKUP(Table2[[#This Row],[Tegevusala]],Table4[[Tegevusala kood]:[Tegevusala alanimetus]],4,FALSE)</f>
        <v>Põhihariduse otsekulud</v>
      </c>
      <c r="E804" s="3" t="str">
        <f>VLOOKUP(Table2[[#This Row],[Tegevusala nimetus2]],Table4[[Tegevusala nimetus]:[Tegevusala koondnimetus]],2,FALSE)</f>
        <v>Haridus</v>
      </c>
      <c r="F804" t="s">
        <v>2230</v>
      </c>
      <c r="G804" t="s">
        <v>180</v>
      </c>
      <c r="H804" s="40">
        <v>500</v>
      </c>
      <c r="J804">
        <v>5511</v>
      </c>
      <c r="K804" s="3" t="str">
        <f>VLOOKUP(Table2[[#This Row],[Konto]],Table5[[Konto]:[Konto nimetus]],2,FALSE)</f>
        <v>Kinnistute, hoonete ja ruumide majandamiskulud</v>
      </c>
      <c r="L804">
        <v>55</v>
      </c>
      <c r="M804" t="str">
        <f t="shared" si="25"/>
        <v>55</v>
      </c>
      <c r="N804" s="3" t="str">
        <f>VLOOKUP(Table2[[#This Row],[Tulu/kulu liik2]],Table5[[Tulu/kulu liik]:[Kontode koondnimetus]],4,FALSE)</f>
        <v>Muud tegevuskulud</v>
      </c>
      <c r="O804" s="3" t="str">
        <f>VLOOKUP(Table2[[#This Row],[Tulu/kulu liik2]],Table5[],6,FALSE)</f>
        <v>Majandamiskulud</v>
      </c>
      <c r="P804" s="3" t="str">
        <f>VLOOKUP(Table2[[#This Row],[Tulu/kulu liik2]],Table5[],5,FALSE)</f>
        <v>Põhitegevuse kulu</v>
      </c>
    </row>
    <row r="805" spans="1:16" hidden="1" x14ac:dyDescent="0.25">
      <c r="A805" t="str">
        <f t="shared" si="24"/>
        <v>09</v>
      </c>
      <c r="B805" t="s">
        <v>2226</v>
      </c>
      <c r="C805" s="3" t="str">
        <f>VLOOKUP(Table2[[#This Row],[Tegevusala]],Table4[],2,FALSE)</f>
        <v>Muuga-Laekvere Kool</v>
      </c>
      <c r="D805" s="3" t="str">
        <f>VLOOKUP(Table2[[#This Row],[Tegevusala]],Table4[[Tegevusala kood]:[Tegevusala alanimetus]],4,FALSE)</f>
        <v>Põhihariduse otsekulud</v>
      </c>
      <c r="E805" s="3" t="str">
        <f>VLOOKUP(Table2[[#This Row],[Tegevusala nimetus2]],Table4[[Tegevusala nimetus]:[Tegevusala koondnimetus]],2,FALSE)</f>
        <v>Haridus</v>
      </c>
      <c r="F805" t="s">
        <v>2230</v>
      </c>
      <c r="G805" t="s">
        <v>394</v>
      </c>
      <c r="H805" s="40">
        <v>0</v>
      </c>
      <c r="J805">
        <v>5511</v>
      </c>
      <c r="K805" s="3" t="str">
        <f>VLOOKUP(Table2[[#This Row],[Konto]],Table5[[Konto]:[Konto nimetus]],2,FALSE)</f>
        <v>Kinnistute, hoonete ja ruumide majandamiskulud</v>
      </c>
      <c r="L805">
        <v>55</v>
      </c>
      <c r="M805" t="str">
        <f t="shared" si="25"/>
        <v>55</v>
      </c>
      <c r="N805" s="3" t="str">
        <f>VLOOKUP(Table2[[#This Row],[Tulu/kulu liik2]],Table5[[Tulu/kulu liik]:[Kontode koondnimetus]],4,FALSE)</f>
        <v>Muud tegevuskulud</v>
      </c>
      <c r="O805" s="3" t="str">
        <f>VLOOKUP(Table2[[#This Row],[Tulu/kulu liik2]],Table5[],6,FALSE)</f>
        <v>Majandamiskulud</v>
      </c>
      <c r="P805" s="3" t="str">
        <f>VLOOKUP(Table2[[#This Row],[Tulu/kulu liik2]],Table5[],5,FALSE)</f>
        <v>Põhitegevuse kulu</v>
      </c>
    </row>
    <row r="806" spans="1:16" hidden="1" x14ac:dyDescent="0.25">
      <c r="A806" t="str">
        <f t="shared" si="24"/>
        <v>09</v>
      </c>
      <c r="B806" t="s">
        <v>2226</v>
      </c>
      <c r="C806" s="3" t="str">
        <f>VLOOKUP(Table2[[#This Row],[Tegevusala]],Table4[],2,FALSE)</f>
        <v>Muuga-Laekvere Kool</v>
      </c>
      <c r="D806" s="3" t="str">
        <f>VLOOKUP(Table2[[#This Row],[Tegevusala]],Table4[[Tegevusala kood]:[Tegevusala alanimetus]],4,FALSE)</f>
        <v>Põhihariduse otsekulud</v>
      </c>
      <c r="E806" s="3" t="str">
        <f>VLOOKUP(Table2[[#This Row],[Tegevusala nimetus2]],Table4[[Tegevusala nimetus]:[Tegevusala koondnimetus]],2,FALSE)</f>
        <v>Haridus</v>
      </c>
      <c r="F806" t="s">
        <v>2230</v>
      </c>
      <c r="G806" t="s">
        <v>395</v>
      </c>
      <c r="H806" s="40">
        <v>1500</v>
      </c>
      <c r="J806">
        <v>5511</v>
      </c>
      <c r="K806" s="3" t="str">
        <f>VLOOKUP(Table2[[#This Row],[Konto]],Table5[[Konto]:[Konto nimetus]],2,FALSE)</f>
        <v>Kinnistute, hoonete ja ruumide majandamiskulud</v>
      </c>
      <c r="L806">
        <v>55</v>
      </c>
      <c r="M806" t="str">
        <f t="shared" si="25"/>
        <v>55</v>
      </c>
      <c r="N806" s="3" t="str">
        <f>VLOOKUP(Table2[[#This Row],[Tulu/kulu liik2]],Table5[[Tulu/kulu liik]:[Kontode koondnimetus]],4,FALSE)</f>
        <v>Muud tegevuskulud</v>
      </c>
      <c r="O806" s="3" t="str">
        <f>VLOOKUP(Table2[[#This Row],[Tulu/kulu liik2]],Table5[],6,FALSE)</f>
        <v>Majandamiskulud</v>
      </c>
      <c r="P806" s="3" t="str">
        <f>VLOOKUP(Table2[[#This Row],[Tulu/kulu liik2]],Table5[],5,FALSE)</f>
        <v>Põhitegevuse kulu</v>
      </c>
    </row>
    <row r="807" spans="1:16" hidden="1" x14ac:dyDescent="0.25">
      <c r="A807" t="str">
        <f t="shared" si="24"/>
        <v>09</v>
      </c>
      <c r="B807" t="s">
        <v>2226</v>
      </c>
      <c r="C807" s="3" t="str">
        <f>VLOOKUP(Table2[[#This Row],[Tegevusala]],Table4[],2,FALSE)</f>
        <v>Muuga-Laekvere Kool</v>
      </c>
      <c r="D807" s="3" t="str">
        <f>VLOOKUP(Table2[[#This Row],[Tegevusala]],Table4[[Tegevusala kood]:[Tegevusala alanimetus]],4,FALSE)</f>
        <v>Põhihariduse otsekulud</v>
      </c>
      <c r="E807" s="3" t="str">
        <f>VLOOKUP(Table2[[#This Row],[Tegevusala nimetus2]],Table4[[Tegevusala nimetus]:[Tegevusala koondnimetus]],2,FALSE)</f>
        <v>Haridus</v>
      </c>
      <c r="F807" t="s">
        <v>2230</v>
      </c>
      <c r="G807" t="s">
        <v>396</v>
      </c>
      <c r="H807" s="40">
        <v>500</v>
      </c>
      <c r="J807">
        <v>5511</v>
      </c>
      <c r="K807" s="3" t="str">
        <f>VLOOKUP(Table2[[#This Row],[Konto]],Table5[[Konto]:[Konto nimetus]],2,FALSE)</f>
        <v>Kinnistute, hoonete ja ruumide majandamiskulud</v>
      </c>
      <c r="L807">
        <v>55</v>
      </c>
      <c r="M807" t="str">
        <f t="shared" si="25"/>
        <v>55</v>
      </c>
      <c r="N807" s="3" t="str">
        <f>VLOOKUP(Table2[[#This Row],[Tulu/kulu liik2]],Table5[[Tulu/kulu liik]:[Kontode koondnimetus]],4,FALSE)</f>
        <v>Muud tegevuskulud</v>
      </c>
      <c r="O807" s="3" t="str">
        <f>VLOOKUP(Table2[[#This Row],[Tulu/kulu liik2]],Table5[],6,FALSE)</f>
        <v>Majandamiskulud</v>
      </c>
      <c r="P807" s="3" t="str">
        <f>VLOOKUP(Table2[[#This Row],[Tulu/kulu liik2]],Table5[],5,FALSE)</f>
        <v>Põhitegevuse kulu</v>
      </c>
    </row>
    <row r="808" spans="1:16" hidden="1" x14ac:dyDescent="0.25">
      <c r="A808" t="str">
        <f t="shared" si="24"/>
        <v>09</v>
      </c>
      <c r="B808" t="s">
        <v>2226</v>
      </c>
      <c r="C808" s="3" t="str">
        <f>VLOOKUP(Table2[[#This Row],[Tegevusala]],Table4[],2,FALSE)</f>
        <v>Muuga-Laekvere Kool</v>
      </c>
      <c r="D808" s="3" t="str">
        <f>VLOOKUP(Table2[[#This Row],[Tegevusala]],Table4[[Tegevusala kood]:[Tegevusala alanimetus]],4,FALSE)</f>
        <v>Põhihariduse otsekulud</v>
      </c>
      <c r="E808" s="3" t="str">
        <f>VLOOKUP(Table2[[#This Row],[Tegevusala nimetus2]],Table4[[Tegevusala nimetus]:[Tegevusala koondnimetus]],2,FALSE)</f>
        <v>Haridus</v>
      </c>
      <c r="F808" t="s">
        <v>2230</v>
      </c>
      <c r="G808" t="s">
        <v>397</v>
      </c>
      <c r="H808" s="40">
        <v>900</v>
      </c>
      <c r="J808">
        <v>5511</v>
      </c>
      <c r="K808" s="3" t="str">
        <f>VLOOKUP(Table2[[#This Row],[Konto]],Table5[[Konto]:[Konto nimetus]],2,FALSE)</f>
        <v>Kinnistute, hoonete ja ruumide majandamiskulud</v>
      </c>
      <c r="L808">
        <v>55</v>
      </c>
      <c r="M808" t="str">
        <f t="shared" si="25"/>
        <v>55</v>
      </c>
      <c r="N808" s="3" t="str">
        <f>VLOOKUP(Table2[[#This Row],[Tulu/kulu liik2]],Table5[[Tulu/kulu liik]:[Kontode koondnimetus]],4,FALSE)</f>
        <v>Muud tegevuskulud</v>
      </c>
      <c r="O808" s="3" t="str">
        <f>VLOOKUP(Table2[[#This Row],[Tulu/kulu liik2]],Table5[],6,FALSE)</f>
        <v>Majandamiskulud</v>
      </c>
      <c r="P808" s="3" t="str">
        <f>VLOOKUP(Table2[[#This Row],[Tulu/kulu liik2]],Table5[],5,FALSE)</f>
        <v>Põhitegevuse kulu</v>
      </c>
    </row>
    <row r="809" spans="1:16" hidden="1" x14ac:dyDescent="0.25">
      <c r="A809" t="str">
        <f t="shared" si="24"/>
        <v>09</v>
      </c>
      <c r="B809" t="s">
        <v>2226</v>
      </c>
      <c r="C809" s="3" t="str">
        <f>VLOOKUP(Table2[[#This Row],[Tegevusala]],Table4[],2,FALSE)</f>
        <v>Muuga-Laekvere Kool</v>
      </c>
      <c r="D809" s="3" t="str">
        <f>VLOOKUP(Table2[[#This Row],[Tegevusala]],Table4[[Tegevusala kood]:[Tegevusala alanimetus]],4,FALSE)</f>
        <v>Põhihariduse otsekulud</v>
      </c>
      <c r="E809" s="3" t="str">
        <f>VLOOKUP(Table2[[#This Row],[Tegevusala nimetus2]],Table4[[Tegevusala nimetus]:[Tegevusala koondnimetus]],2,FALSE)</f>
        <v>Haridus</v>
      </c>
      <c r="F809" t="s">
        <v>2230</v>
      </c>
      <c r="G809" t="s">
        <v>1851</v>
      </c>
      <c r="H809" s="40">
        <v>700</v>
      </c>
      <c r="J809">
        <v>5511</v>
      </c>
      <c r="K809" s="3" t="str">
        <f>VLOOKUP(Table2[[#This Row],[Konto]],Table5[[Konto]:[Konto nimetus]],2,FALSE)</f>
        <v>Kinnistute, hoonete ja ruumide majandamiskulud</v>
      </c>
      <c r="L809">
        <v>55</v>
      </c>
      <c r="M809" t="str">
        <f t="shared" si="25"/>
        <v>55</v>
      </c>
      <c r="N809" s="3" t="str">
        <f>VLOOKUP(Table2[[#This Row],[Tulu/kulu liik2]],Table5[[Tulu/kulu liik]:[Kontode koondnimetus]],4,FALSE)</f>
        <v>Muud tegevuskulud</v>
      </c>
      <c r="O809" s="3" t="str">
        <f>VLOOKUP(Table2[[#This Row],[Tulu/kulu liik2]],Table5[],6,FALSE)</f>
        <v>Majandamiskulud</v>
      </c>
      <c r="P809" s="3" t="str">
        <f>VLOOKUP(Table2[[#This Row],[Tulu/kulu liik2]],Table5[],5,FALSE)</f>
        <v>Põhitegevuse kulu</v>
      </c>
    </row>
    <row r="810" spans="1:16" hidden="1" x14ac:dyDescent="0.25">
      <c r="A810" t="str">
        <f t="shared" si="24"/>
        <v>09</v>
      </c>
      <c r="B810" t="s">
        <v>2226</v>
      </c>
      <c r="C810" s="3" t="str">
        <f>VLOOKUP(Table2[[#This Row],[Tegevusala]],Table4[],2,FALSE)</f>
        <v>Muuga-Laekvere Kool</v>
      </c>
      <c r="D810" s="3" t="str">
        <f>VLOOKUP(Table2[[#This Row],[Tegevusala]],Table4[[Tegevusala kood]:[Tegevusala alanimetus]],4,FALSE)</f>
        <v>Põhihariduse otsekulud</v>
      </c>
      <c r="E810" s="3" t="str">
        <f>VLOOKUP(Table2[[#This Row],[Tegevusala nimetus2]],Table4[[Tegevusala nimetus]:[Tegevusala koondnimetus]],2,FALSE)</f>
        <v>Haridus</v>
      </c>
      <c r="F810" t="s">
        <v>2230</v>
      </c>
      <c r="G810" t="s">
        <v>418</v>
      </c>
      <c r="H810" s="40">
        <v>150</v>
      </c>
      <c r="J810">
        <v>5511</v>
      </c>
      <c r="K810" s="3" t="str">
        <f>VLOOKUP(Table2[[#This Row],[Konto]],Table5[[Konto]:[Konto nimetus]],2,FALSE)</f>
        <v>Kinnistute, hoonete ja ruumide majandamiskulud</v>
      </c>
      <c r="L810">
        <v>55</v>
      </c>
      <c r="M810" t="str">
        <f t="shared" si="25"/>
        <v>55</v>
      </c>
      <c r="N810" s="3" t="str">
        <f>VLOOKUP(Table2[[#This Row],[Tulu/kulu liik2]],Table5[[Tulu/kulu liik]:[Kontode koondnimetus]],4,FALSE)</f>
        <v>Muud tegevuskulud</v>
      </c>
      <c r="O810" s="3" t="str">
        <f>VLOOKUP(Table2[[#This Row],[Tulu/kulu liik2]],Table5[],6,FALSE)</f>
        <v>Majandamiskulud</v>
      </c>
      <c r="P810" s="3" t="str">
        <f>VLOOKUP(Table2[[#This Row],[Tulu/kulu liik2]],Table5[],5,FALSE)</f>
        <v>Põhitegevuse kulu</v>
      </c>
    </row>
    <row r="811" spans="1:16" hidden="1" x14ac:dyDescent="0.25">
      <c r="A811" t="str">
        <f t="shared" si="24"/>
        <v>09</v>
      </c>
      <c r="B811" t="s">
        <v>2226</v>
      </c>
      <c r="C811" s="3" t="str">
        <f>VLOOKUP(Table2[[#This Row],[Tegevusala]],Table4[],2,FALSE)</f>
        <v>Muuga-Laekvere Kool</v>
      </c>
      <c r="D811" s="3" t="str">
        <f>VLOOKUP(Table2[[#This Row],[Tegevusala]],Table4[[Tegevusala kood]:[Tegevusala alanimetus]],4,FALSE)</f>
        <v>Põhihariduse otsekulud</v>
      </c>
      <c r="E811" s="3" t="str">
        <f>VLOOKUP(Table2[[#This Row],[Tegevusala nimetus2]],Table4[[Tegevusala nimetus]:[Tegevusala koondnimetus]],2,FALSE)</f>
        <v>Haridus</v>
      </c>
      <c r="F811" t="s">
        <v>2230</v>
      </c>
      <c r="G811" t="s">
        <v>1849</v>
      </c>
      <c r="H811" s="40">
        <v>400</v>
      </c>
      <c r="J811">
        <v>5500</v>
      </c>
      <c r="K811" s="3" t="str">
        <f>VLOOKUP(Table2[[#This Row],[Konto]],Table5[[Konto]:[Konto nimetus]],2,FALSE)</f>
        <v>Administreerimiskulud</v>
      </c>
      <c r="L811">
        <v>55</v>
      </c>
      <c r="M811" t="str">
        <f t="shared" si="25"/>
        <v>55</v>
      </c>
      <c r="N811" s="3" t="str">
        <f>VLOOKUP(Table2[[#This Row],[Tulu/kulu liik2]],Table5[[Tulu/kulu liik]:[Kontode koondnimetus]],4,FALSE)</f>
        <v>Muud tegevuskulud</v>
      </c>
      <c r="O811" s="3" t="str">
        <f>VLOOKUP(Table2[[#This Row],[Tulu/kulu liik2]],Table5[],6,FALSE)</f>
        <v>Majandamiskulud</v>
      </c>
      <c r="P811" s="3" t="str">
        <f>VLOOKUP(Table2[[#This Row],[Tulu/kulu liik2]],Table5[],5,FALSE)</f>
        <v>Põhitegevuse kulu</v>
      </c>
    </row>
    <row r="812" spans="1:16" hidden="1" x14ac:dyDescent="0.25">
      <c r="A812" t="str">
        <f t="shared" si="24"/>
        <v>09</v>
      </c>
      <c r="B812" t="s">
        <v>2226</v>
      </c>
      <c r="C812" s="3" t="str">
        <f>VLOOKUP(Table2[[#This Row],[Tegevusala]],Table4[],2,FALSE)</f>
        <v>Muuga-Laekvere Kool</v>
      </c>
      <c r="D812" s="3" t="str">
        <f>VLOOKUP(Table2[[#This Row],[Tegevusala]],Table4[[Tegevusala kood]:[Tegevusala alanimetus]],4,FALSE)</f>
        <v>Põhihariduse otsekulud</v>
      </c>
      <c r="E812" s="3" t="str">
        <f>VLOOKUP(Table2[[#This Row],[Tegevusala nimetus2]],Table4[[Tegevusala nimetus]:[Tegevusala koondnimetus]],2,FALSE)</f>
        <v>Haridus</v>
      </c>
      <c r="F812" t="s">
        <v>2230</v>
      </c>
      <c r="G812" t="s">
        <v>383</v>
      </c>
      <c r="H812" s="40">
        <v>250</v>
      </c>
      <c r="J812">
        <v>5500</v>
      </c>
      <c r="K812" s="3" t="str">
        <f>VLOOKUP(Table2[[#This Row],[Konto]],Table5[[Konto]:[Konto nimetus]],2,FALSE)</f>
        <v>Administreerimiskulud</v>
      </c>
      <c r="L812">
        <v>55</v>
      </c>
      <c r="M812" t="str">
        <f t="shared" si="25"/>
        <v>55</v>
      </c>
      <c r="N812" s="3" t="str">
        <f>VLOOKUP(Table2[[#This Row],[Tulu/kulu liik2]],Table5[[Tulu/kulu liik]:[Kontode koondnimetus]],4,FALSE)</f>
        <v>Muud tegevuskulud</v>
      </c>
      <c r="O812" s="3" t="str">
        <f>VLOOKUP(Table2[[#This Row],[Tulu/kulu liik2]],Table5[],6,FALSE)</f>
        <v>Majandamiskulud</v>
      </c>
      <c r="P812" s="3" t="str">
        <f>VLOOKUP(Table2[[#This Row],[Tulu/kulu liik2]],Table5[],5,FALSE)</f>
        <v>Põhitegevuse kulu</v>
      </c>
    </row>
    <row r="813" spans="1:16" hidden="1" x14ac:dyDescent="0.25">
      <c r="A813" t="str">
        <f t="shared" si="24"/>
        <v>09</v>
      </c>
      <c r="B813" t="s">
        <v>2226</v>
      </c>
      <c r="C813" s="3" t="str">
        <f>VLOOKUP(Table2[[#This Row],[Tegevusala]],Table4[],2,FALSE)</f>
        <v>Muuga-Laekvere Kool</v>
      </c>
      <c r="D813" s="3" t="str">
        <f>VLOOKUP(Table2[[#This Row],[Tegevusala]],Table4[[Tegevusala kood]:[Tegevusala alanimetus]],4,FALSE)</f>
        <v>Põhihariduse otsekulud</v>
      </c>
      <c r="E813" s="3" t="str">
        <f>VLOOKUP(Table2[[#This Row],[Tegevusala nimetus2]],Table4[[Tegevusala nimetus]:[Tegevusala koondnimetus]],2,FALSE)</f>
        <v>Haridus</v>
      </c>
      <c r="F813" t="s">
        <v>2230</v>
      </c>
      <c r="G813" t="s">
        <v>384</v>
      </c>
      <c r="H813" s="40">
        <v>170</v>
      </c>
      <c r="J813">
        <v>5500</v>
      </c>
      <c r="K813" s="3" t="str">
        <f>VLOOKUP(Table2[[#This Row],[Konto]],Table5[[Konto]:[Konto nimetus]],2,FALSE)</f>
        <v>Administreerimiskulud</v>
      </c>
      <c r="L813">
        <v>55</v>
      </c>
      <c r="M813" t="str">
        <f t="shared" si="25"/>
        <v>55</v>
      </c>
      <c r="N813" s="3" t="str">
        <f>VLOOKUP(Table2[[#This Row],[Tulu/kulu liik2]],Table5[[Tulu/kulu liik]:[Kontode koondnimetus]],4,FALSE)</f>
        <v>Muud tegevuskulud</v>
      </c>
      <c r="O813" s="3" t="str">
        <f>VLOOKUP(Table2[[#This Row],[Tulu/kulu liik2]],Table5[],6,FALSE)</f>
        <v>Majandamiskulud</v>
      </c>
      <c r="P813" s="3" t="str">
        <f>VLOOKUP(Table2[[#This Row],[Tulu/kulu liik2]],Table5[],5,FALSE)</f>
        <v>Põhitegevuse kulu</v>
      </c>
    </row>
    <row r="814" spans="1:16" hidden="1" x14ac:dyDescent="0.25">
      <c r="A814" t="str">
        <f t="shared" si="24"/>
        <v>09</v>
      </c>
      <c r="B814" t="s">
        <v>2226</v>
      </c>
      <c r="C814" s="3" t="str">
        <f>VLOOKUP(Table2[[#This Row],[Tegevusala]],Table4[],2,FALSE)</f>
        <v>Muuga-Laekvere Kool</v>
      </c>
      <c r="D814" s="3" t="str">
        <f>VLOOKUP(Table2[[#This Row],[Tegevusala]],Table4[[Tegevusala kood]:[Tegevusala alanimetus]],4,FALSE)</f>
        <v>Põhihariduse otsekulud</v>
      </c>
      <c r="E814" s="3" t="str">
        <f>VLOOKUP(Table2[[#This Row],[Tegevusala nimetus2]],Table4[[Tegevusala nimetus]:[Tegevusala koondnimetus]],2,FALSE)</f>
        <v>Haridus</v>
      </c>
      <c r="F814" t="s">
        <v>2230</v>
      </c>
      <c r="G814" t="s">
        <v>385</v>
      </c>
      <c r="H814" s="40">
        <v>50</v>
      </c>
      <c r="J814">
        <v>5500</v>
      </c>
      <c r="K814" s="3" t="str">
        <f>VLOOKUP(Table2[[#This Row],[Konto]],Table5[[Konto]:[Konto nimetus]],2,FALSE)</f>
        <v>Administreerimiskulud</v>
      </c>
      <c r="L814">
        <v>55</v>
      </c>
      <c r="M814" t="str">
        <f t="shared" si="25"/>
        <v>55</v>
      </c>
      <c r="N814" s="3" t="str">
        <f>VLOOKUP(Table2[[#This Row],[Tulu/kulu liik2]],Table5[[Tulu/kulu liik]:[Kontode koondnimetus]],4,FALSE)</f>
        <v>Muud tegevuskulud</v>
      </c>
      <c r="O814" s="3" t="str">
        <f>VLOOKUP(Table2[[#This Row],[Tulu/kulu liik2]],Table5[],6,FALSE)</f>
        <v>Majandamiskulud</v>
      </c>
      <c r="P814" s="3" t="str">
        <f>VLOOKUP(Table2[[#This Row],[Tulu/kulu liik2]],Table5[],5,FALSE)</f>
        <v>Põhitegevuse kulu</v>
      </c>
    </row>
    <row r="815" spans="1:16" hidden="1" x14ac:dyDescent="0.25">
      <c r="A815" t="str">
        <f t="shared" si="24"/>
        <v>09</v>
      </c>
      <c r="B815" t="s">
        <v>2226</v>
      </c>
      <c r="C815" s="3" t="str">
        <f>VLOOKUP(Table2[[#This Row],[Tegevusala]],Table4[],2,FALSE)</f>
        <v>Muuga-Laekvere Kool</v>
      </c>
      <c r="D815" s="3" t="str">
        <f>VLOOKUP(Table2[[#This Row],[Tegevusala]],Table4[[Tegevusala kood]:[Tegevusala alanimetus]],4,FALSE)</f>
        <v>Põhihariduse otsekulud</v>
      </c>
      <c r="E815" s="3" t="str">
        <f>VLOOKUP(Table2[[#This Row],[Tegevusala nimetus2]],Table4[[Tegevusala nimetus]:[Tegevusala koondnimetus]],2,FALSE)</f>
        <v>Haridus</v>
      </c>
      <c r="F815" t="s">
        <v>2230</v>
      </c>
      <c r="G815" t="s">
        <v>386</v>
      </c>
      <c r="H815" s="40">
        <v>300</v>
      </c>
      <c r="J815">
        <v>5500</v>
      </c>
      <c r="K815" s="3" t="str">
        <f>VLOOKUP(Table2[[#This Row],[Konto]],Table5[[Konto]:[Konto nimetus]],2,FALSE)</f>
        <v>Administreerimiskulud</v>
      </c>
      <c r="L815">
        <v>55</v>
      </c>
      <c r="M815" t="str">
        <f t="shared" si="25"/>
        <v>55</v>
      </c>
      <c r="N815" s="3" t="str">
        <f>VLOOKUP(Table2[[#This Row],[Tulu/kulu liik2]],Table5[[Tulu/kulu liik]:[Kontode koondnimetus]],4,FALSE)</f>
        <v>Muud tegevuskulud</v>
      </c>
      <c r="O815" s="3" t="str">
        <f>VLOOKUP(Table2[[#This Row],[Tulu/kulu liik2]],Table5[],6,FALSE)</f>
        <v>Majandamiskulud</v>
      </c>
      <c r="P815" s="3" t="str">
        <f>VLOOKUP(Table2[[#This Row],[Tulu/kulu liik2]],Table5[],5,FALSE)</f>
        <v>Põhitegevuse kulu</v>
      </c>
    </row>
    <row r="816" spans="1:16" hidden="1" x14ac:dyDescent="0.25">
      <c r="A816" t="str">
        <f t="shared" si="24"/>
        <v>09</v>
      </c>
      <c r="B816" t="s">
        <v>2226</v>
      </c>
      <c r="C816" s="3" t="str">
        <f>VLOOKUP(Table2[[#This Row],[Tegevusala]],Table4[],2,FALSE)</f>
        <v>Muuga-Laekvere Kool</v>
      </c>
      <c r="D816" s="3" t="str">
        <f>VLOOKUP(Table2[[#This Row],[Tegevusala]],Table4[[Tegevusala kood]:[Tegevusala alanimetus]],4,FALSE)</f>
        <v>Põhihariduse otsekulud</v>
      </c>
      <c r="E816" s="3" t="str">
        <f>VLOOKUP(Table2[[#This Row],[Tegevusala nimetus2]],Table4[[Tegevusala nimetus]:[Tegevusala koondnimetus]],2,FALSE)</f>
        <v>Haridus</v>
      </c>
      <c r="F816" t="s">
        <v>2230</v>
      </c>
      <c r="G816" t="s">
        <v>387</v>
      </c>
      <c r="H816" s="40">
        <v>0</v>
      </c>
      <c r="J816">
        <v>5500</v>
      </c>
      <c r="K816" s="3" t="str">
        <f>VLOOKUP(Table2[[#This Row],[Konto]],Table5[[Konto]:[Konto nimetus]],2,FALSE)</f>
        <v>Administreerimiskulud</v>
      </c>
      <c r="L816">
        <v>55</v>
      </c>
      <c r="M816" t="str">
        <f t="shared" si="25"/>
        <v>55</v>
      </c>
      <c r="N816" s="3" t="str">
        <f>VLOOKUP(Table2[[#This Row],[Tulu/kulu liik2]],Table5[[Tulu/kulu liik]:[Kontode koondnimetus]],4,FALSE)</f>
        <v>Muud tegevuskulud</v>
      </c>
      <c r="O816" s="3" t="str">
        <f>VLOOKUP(Table2[[#This Row],[Tulu/kulu liik2]],Table5[],6,FALSE)</f>
        <v>Majandamiskulud</v>
      </c>
      <c r="P816" s="3" t="str">
        <f>VLOOKUP(Table2[[#This Row],[Tulu/kulu liik2]],Table5[],5,FALSE)</f>
        <v>Põhitegevuse kulu</v>
      </c>
    </row>
    <row r="817" spans="1:16" hidden="1" x14ac:dyDescent="0.25">
      <c r="A817" t="str">
        <f t="shared" si="24"/>
        <v>09</v>
      </c>
      <c r="B817" t="s">
        <v>2226</v>
      </c>
      <c r="C817" s="3" t="str">
        <f>VLOOKUP(Table2[[#This Row],[Tegevusala]],Table4[],2,FALSE)</f>
        <v>Muuga-Laekvere Kool</v>
      </c>
      <c r="D817" s="3" t="str">
        <f>VLOOKUP(Table2[[#This Row],[Tegevusala]],Table4[[Tegevusala kood]:[Tegevusala alanimetus]],4,FALSE)</f>
        <v>Põhihariduse otsekulud</v>
      </c>
      <c r="E817" s="3" t="str">
        <f>VLOOKUP(Table2[[#This Row],[Tegevusala nimetus2]],Table4[[Tegevusala nimetus]:[Tegevusala koondnimetus]],2,FALSE)</f>
        <v>Haridus</v>
      </c>
      <c r="F817" t="s">
        <v>2230</v>
      </c>
      <c r="G817" t="s">
        <v>388</v>
      </c>
      <c r="H817" s="40">
        <v>150</v>
      </c>
      <c r="J817">
        <v>5500</v>
      </c>
      <c r="K817" s="3" t="str">
        <f>VLOOKUP(Table2[[#This Row],[Konto]],Table5[[Konto]:[Konto nimetus]],2,FALSE)</f>
        <v>Administreerimiskulud</v>
      </c>
      <c r="L817">
        <v>55</v>
      </c>
      <c r="M817" t="str">
        <f t="shared" si="25"/>
        <v>55</v>
      </c>
      <c r="N817" s="3" t="str">
        <f>VLOOKUP(Table2[[#This Row],[Tulu/kulu liik2]],Table5[[Tulu/kulu liik]:[Kontode koondnimetus]],4,FALSE)</f>
        <v>Muud tegevuskulud</v>
      </c>
      <c r="O817" s="3" t="str">
        <f>VLOOKUP(Table2[[#This Row],[Tulu/kulu liik2]],Table5[],6,FALSE)</f>
        <v>Majandamiskulud</v>
      </c>
      <c r="P817" s="3" t="str">
        <f>VLOOKUP(Table2[[#This Row],[Tulu/kulu liik2]],Table5[],5,FALSE)</f>
        <v>Põhitegevuse kulu</v>
      </c>
    </row>
    <row r="818" spans="1:16" hidden="1" x14ac:dyDescent="0.25">
      <c r="A818" t="str">
        <f t="shared" si="24"/>
        <v>09</v>
      </c>
      <c r="B818" t="s">
        <v>2226</v>
      </c>
      <c r="C818" s="3" t="str">
        <f>VLOOKUP(Table2[[#This Row],[Tegevusala]],Table4[],2,FALSE)</f>
        <v>Muuga-Laekvere Kool</v>
      </c>
      <c r="D818" s="3" t="str">
        <f>VLOOKUP(Table2[[#This Row],[Tegevusala]],Table4[[Tegevusala kood]:[Tegevusala alanimetus]],4,FALSE)</f>
        <v>Põhihariduse otsekulud</v>
      </c>
      <c r="E818" s="3" t="str">
        <f>VLOOKUP(Table2[[#This Row],[Tegevusala nimetus2]],Table4[[Tegevusala nimetus]:[Tegevusala koondnimetus]],2,FALSE)</f>
        <v>Haridus</v>
      </c>
      <c r="F818" t="s">
        <v>2230</v>
      </c>
      <c r="G818" t="s">
        <v>389</v>
      </c>
      <c r="H818" s="40">
        <v>150</v>
      </c>
      <c r="J818">
        <v>5500</v>
      </c>
      <c r="K818" s="3" t="str">
        <f>VLOOKUP(Table2[[#This Row],[Konto]],Table5[[Konto]:[Konto nimetus]],2,FALSE)</f>
        <v>Administreerimiskulud</v>
      </c>
      <c r="L818">
        <v>55</v>
      </c>
      <c r="M818" t="str">
        <f t="shared" si="25"/>
        <v>55</v>
      </c>
      <c r="N818" s="3" t="str">
        <f>VLOOKUP(Table2[[#This Row],[Tulu/kulu liik2]],Table5[[Tulu/kulu liik]:[Kontode koondnimetus]],4,FALSE)</f>
        <v>Muud tegevuskulud</v>
      </c>
      <c r="O818" s="3" t="str">
        <f>VLOOKUP(Table2[[#This Row],[Tulu/kulu liik2]],Table5[],6,FALSE)</f>
        <v>Majandamiskulud</v>
      </c>
      <c r="P818" s="3" t="str">
        <f>VLOOKUP(Table2[[#This Row],[Tulu/kulu liik2]],Table5[],5,FALSE)</f>
        <v>Põhitegevuse kulu</v>
      </c>
    </row>
    <row r="819" spans="1:16" hidden="1" x14ac:dyDescent="0.25">
      <c r="A819" t="str">
        <f t="shared" si="24"/>
        <v>09</v>
      </c>
      <c r="B819" t="s">
        <v>2226</v>
      </c>
      <c r="C819" s="3" t="str">
        <f>VLOOKUP(Table2[[#This Row],[Tegevusala]],Table4[],2,FALSE)</f>
        <v>Muuga-Laekvere Kool</v>
      </c>
      <c r="D819" s="3" t="str">
        <f>VLOOKUP(Table2[[#This Row],[Tegevusala]],Table4[[Tegevusala kood]:[Tegevusala alanimetus]],4,FALSE)</f>
        <v>Põhihariduse otsekulud</v>
      </c>
      <c r="E819" s="3" t="str">
        <f>VLOOKUP(Table2[[#This Row],[Tegevusala nimetus2]],Table4[[Tegevusala nimetus]:[Tegevusala koondnimetus]],2,FALSE)</f>
        <v>Haridus</v>
      </c>
      <c r="F819" t="s">
        <v>2230</v>
      </c>
      <c r="G819" t="s">
        <v>390</v>
      </c>
      <c r="H819" s="40">
        <v>50</v>
      </c>
      <c r="J819">
        <v>5500</v>
      </c>
      <c r="K819" s="3" t="str">
        <f>VLOOKUP(Table2[[#This Row],[Konto]],Table5[[Konto]:[Konto nimetus]],2,FALSE)</f>
        <v>Administreerimiskulud</v>
      </c>
      <c r="L819">
        <v>55</v>
      </c>
      <c r="M819" t="str">
        <f t="shared" si="25"/>
        <v>55</v>
      </c>
      <c r="N819" s="3" t="str">
        <f>VLOOKUP(Table2[[#This Row],[Tulu/kulu liik2]],Table5[[Tulu/kulu liik]:[Kontode koondnimetus]],4,FALSE)</f>
        <v>Muud tegevuskulud</v>
      </c>
      <c r="O819" s="3" t="str">
        <f>VLOOKUP(Table2[[#This Row],[Tulu/kulu liik2]],Table5[],6,FALSE)</f>
        <v>Majandamiskulud</v>
      </c>
      <c r="P819" s="3" t="str">
        <f>VLOOKUP(Table2[[#This Row],[Tulu/kulu liik2]],Table5[],5,FALSE)</f>
        <v>Põhitegevuse kulu</v>
      </c>
    </row>
    <row r="820" spans="1:16" hidden="1" x14ac:dyDescent="0.25">
      <c r="A820" t="str">
        <f t="shared" si="24"/>
        <v>09</v>
      </c>
      <c r="B820" t="s">
        <v>2226</v>
      </c>
      <c r="C820" s="3" t="str">
        <f>VLOOKUP(Table2[[#This Row],[Tegevusala]],Table4[],2,FALSE)</f>
        <v>Muuga-Laekvere Kool</v>
      </c>
      <c r="D820" s="3" t="str">
        <f>VLOOKUP(Table2[[#This Row],[Tegevusala]],Table4[[Tegevusala kood]:[Tegevusala alanimetus]],4,FALSE)</f>
        <v>Põhihariduse otsekulud</v>
      </c>
      <c r="E820" s="3" t="str">
        <f>VLOOKUP(Table2[[#This Row],[Tegevusala nimetus2]],Table4[[Tegevusala nimetus]:[Tegevusala koondnimetus]],2,FALSE)</f>
        <v>Haridus</v>
      </c>
      <c r="F820" t="s">
        <v>2230</v>
      </c>
      <c r="G820" t="s">
        <v>1850</v>
      </c>
      <c r="H820" s="40">
        <v>150</v>
      </c>
      <c r="J820">
        <v>5500</v>
      </c>
      <c r="K820" s="3" t="str">
        <f>VLOOKUP(Table2[[#This Row],[Konto]],Table5[[Konto]:[Konto nimetus]],2,FALSE)</f>
        <v>Administreerimiskulud</v>
      </c>
      <c r="L820">
        <v>55</v>
      </c>
      <c r="M820" t="str">
        <f t="shared" si="25"/>
        <v>55</v>
      </c>
      <c r="N820" s="3" t="str">
        <f>VLOOKUP(Table2[[#This Row],[Tulu/kulu liik2]],Table5[[Tulu/kulu liik]:[Kontode koondnimetus]],4,FALSE)</f>
        <v>Muud tegevuskulud</v>
      </c>
      <c r="O820" s="3" t="str">
        <f>VLOOKUP(Table2[[#This Row],[Tulu/kulu liik2]],Table5[],6,FALSE)</f>
        <v>Majandamiskulud</v>
      </c>
      <c r="P820" s="3" t="str">
        <f>VLOOKUP(Table2[[#This Row],[Tulu/kulu liik2]],Table5[],5,FALSE)</f>
        <v>Põhitegevuse kulu</v>
      </c>
    </row>
    <row r="821" spans="1:16" hidden="1" x14ac:dyDescent="0.25">
      <c r="A821" t="str">
        <f t="shared" si="24"/>
        <v>09</v>
      </c>
      <c r="B821" t="s">
        <v>2226</v>
      </c>
      <c r="C821" s="3" t="str">
        <f>VLOOKUP(Table2[[#This Row],[Tegevusala]],Table4[],2,FALSE)</f>
        <v>Muuga-Laekvere Kool</v>
      </c>
      <c r="D821" s="3" t="str">
        <f>VLOOKUP(Table2[[#This Row],[Tegevusala]],Table4[[Tegevusala kood]:[Tegevusala alanimetus]],4,FALSE)</f>
        <v>Põhihariduse otsekulud</v>
      </c>
      <c r="E821" s="3" t="str">
        <f>VLOOKUP(Table2[[#This Row],[Tegevusala nimetus2]],Table4[[Tegevusala nimetus]:[Tegevusala koondnimetus]],2,FALSE)</f>
        <v>Haridus</v>
      </c>
      <c r="F821" t="s">
        <v>2230</v>
      </c>
      <c r="G821" t="s">
        <v>1500</v>
      </c>
      <c r="H821" s="40">
        <f>800-615.36</f>
        <v>184.64</v>
      </c>
      <c r="J821">
        <v>5504</v>
      </c>
      <c r="K821" s="3" t="str">
        <f>VLOOKUP(Table2[[#This Row],[Konto]],Table5[[Konto]:[Konto nimetus]],2,FALSE)</f>
        <v>Koolituskulud</v>
      </c>
      <c r="L821">
        <v>55</v>
      </c>
      <c r="M821" t="str">
        <f t="shared" si="25"/>
        <v>55</v>
      </c>
      <c r="N821" s="3" t="str">
        <f>VLOOKUP(Table2[[#This Row],[Tulu/kulu liik2]],Table5[[Tulu/kulu liik]:[Kontode koondnimetus]],4,FALSE)</f>
        <v>Muud tegevuskulud</v>
      </c>
      <c r="O821" s="3" t="str">
        <f>VLOOKUP(Table2[[#This Row],[Tulu/kulu liik2]],Table5[],6,FALSE)</f>
        <v>Majandamiskulud</v>
      </c>
      <c r="P821" s="3" t="str">
        <f>VLOOKUP(Table2[[#This Row],[Tulu/kulu liik2]],Table5[],5,FALSE)</f>
        <v>Põhitegevuse kulu</v>
      </c>
    </row>
    <row r="822" spans="1:16" hidden="1" x14ac:dyDescent="0.25">
      <c r="A822" t="str">
        <f t="shared" si="24"/>
        <v>09</v>
      </c>
      <c r="B822" t="s">
        <v>2226</v>
      </c>
      <c r="C822" s="3" t="str">
        <f>VLOOKUP(Table2[[#This Row],[Tegevusala]],Table4[],2,FALSE)</f>
        <v>Muuga-Laekvere Kool</v>
      </c>
      <c r="D822" s="3" t="str">
        <f>VLOOKUP(Table2[[#This Row],[Tegevusala]],Table4[[Tegevusala kood]:[Tegevusala alanimetus]],4,FALSE)</f>
        <v>Põhihariduse otsekulud</v>
      </c>
      <c r="E822" s="3" t="str">
        <f>VLOOKUP(Table2[[#This Row],[Tegevusala nimetus2]],Table4[[Tegevusala nimetus]:[Tegevusala koondnimetus]],2,FALSE)</f>
        <v>Haridus</v>
      </c>
      <c r="F822" t="s">
        <v>2230</v>
      </c>
      <c r="G822" t="s">
        <v>399</v>
      </c>
      <c r="H822" s="40">
        <v>600</v>
      </c>
      <c r="J822">
        <v>5513</v>
      </c>
      <c r="K822" s="3" t="str">
        <f>VLOOKUP(Table2[[#This Row],[Konto]],Table5[[Konto]:[Konto nimetus]],2,FALSE)</f>
        <v>Sõidukite ülalpidamise kulud</v>
      </c>
      <c r="L822">
        <v>55</v>
      </c>
      <c r="M822" t="str">
        <f t="shared" si="25"/>
        <v>55</v>
      </c>
      <c r="N822" s="3" t="str">
        <f>VLOOKUP(Table2[[#This Row],[Tulu/kulu liik2]],Table5[[Tulu/kulu liik]:[Kontode koondnimetus]],4,FALSE)</f>
        <v>Muud tegevuskulud</v>
      </c>
      <c r="O822" s="3" t="str">
        <f>VLOOKUP(Table2[[#This Row],[Tulu/kulu liik2]],Table5[],6,FALSE)</f>
        <v>Majandamiskulud</v>
      </c>
      <c r="P822" s="3" t="str">
        <f>VLOOKUP(Table2[[#This Row],[Tulu/kulu liik2]],Table5[],5,FALSE)</f>
        <v>Põhitegevuse kulu</v>
      </c>
    </row>
    <row r="823" spans="1:16" hidden="1" x14ac:dyDescent="0.25">
      <c r="A823" s="33" t="str">
        <f t="shared" si="24"/>
        <v>09</v>
      </c>
      <c r="B823" s="33" t="s">
        <v>2226</v>
      </c>
      <c r="C823" s="34" t="str">
        <f>VLOOKUP(Table2[[#This Row],[Tegevusala]],Table4[],2,FALSE)</f>
        <v>Muuga-Laekvere Kool</v>
      </c>
      <c r="D823" s="34" t="str">
        <f>VLOOKUP(Table2[[#This Row],[Tegevusala]],Table4[[Tegevusala kood]:[Tegevusala alanimetus]],4,FALSE)</f>
        <v>Põhihariduse otsekulud</v>
      </c>
      <c r="E823" s="34" t="str">
        <f>VLOOKUP(Table2[[#This Row],[Tegevusala nimetus2]],Table4[[Tegevusala nimetus]:[Tegevusala koondnimetus]],2,FALSE)</f>
        <v>Haridus</v>
      </c>
      <c r="F823" t="s">
        <v>2230</v>
      </c>
      <c r="G823" s="33" t="s">
        <v>400</v>
      </c>
      <c r="H823" s="47">
        <v>3500</v>
      </c>
      <c r="I823" s="35"/>
      <c r="J823" s="33">
        <v>5513</v>
      </c>
      <c r="K823" s="34" t="str">
        <f>VLOOKUP(Table2[[#This Row],[Konto]],Table5[[Konto]:[Konto nimetus]],2,FALSE)</f>
        <v>Sõidukite ülalpidamise kulud</v>
      </c>
      <c r="L823" s="33">
        <v>55</v>
      </c>
      <c r="M823" s="33" t="str">
        <f t="shared" si="25"/>
        <v>55</v>
      </c>
      <c r="N823" s="34" t="str">
        <f>VLOOKUP(Table2[[#This Row],[Tulu/kulu liik2]],Table5[[Tulu/kulu liik]:[Kontode koondnimetus]],4,FALSE)</f>
        <v>Muud tegevuskulud</v>
      </c>
      <c r="O823" s="34" t="str">
        <f>VLOOKUP(Table2[[#This Row],[Tulu/kulu liik2]],Table5[],6,FALSE)</f>
        <v>Majandamiskulud</v>
      </c>
      <c r="P823" s="34" t="str">
        <f>VLOOKUP(Table2[[#This Row],[Tulu/kulu liik2]],Table5[],5,FALSE)</f>
        <v>Põhitegevuse kulu</v>
      </c>
    </row>
    <row r="824" spans="1:16" hidden="1" x14ac:dyDescent="0.25">
      <c r="A824" t="str">
        <f t="shared" si="24"/>
        <v>09</v>
      </c>
      <c r="B824" t="s">
        <v>2226</v>
      </c>
      <c r="C824" s="3" t="str">
        <f>VLOOKUP(Table2[[#This Row],[Tegevusala]],Table4[],2,FALSE)</f>
        <v>Muuga-Laekvere Kool</v>
      </c>
      <c r="D824" s="3" t="str">
        <f>VLOOKUP(Table2[[#This Row],[Tegevusala]],Table4[[Tegevusala kood]:[Tegevusala alanimetus]],4,FALSE)</f>
        <v>Põhihariduse otsekulud</v>
      </c>
      <c r="E824" s="3" t="str">
        <f>VLOOKUP(Table2[[#This Row],[Tegevusala nimetus2]],Table4[[Tegevusala nimetus]:[Tegevusala koondnimetus]],2,FALSE)</f>
        <v>Haridus</v>
      </c>
      <c r="F824" t="s">
        <v>2230</v>
      </c>
      <c r="G824" t="s">
        <v>405</v>
      </c>
      <c r="H824" s="40">
        <v>500</v>
      </c>
      <c r="J824">
        <v>5515</v>
      </c>
      <c r="K824" s="3" t="str">
        <f>VLOOKUP(Table2[[#This Row],[Konto]],Table5[[Konto]:[Konto nimetus]],2,FALSE)</f>
        <v>Inventari kulud, v.a infotehnoloogia ja kaitseotstarbelised kulud</v>
      </c>
      <c r="L824">
        <v>55</v>
      </c>
      <c r="M824" t="str">
        <f t="shared" si="25"/>
        <v>55</v>
      </c>
      <c r="N824" s="3" t="str">
        <f>VLOOKUP(Table2[[#This Row],[Tulu/kulu liik2]],Table5[[Tulu/kulu liik]:[Kontode koondnimetus]],4,FALSE)</f>
        <v>Muud tegevuskulud</v>
      </c>
      <c r="O824" s="3" t="str">
        <f>VLOOKUP(Table2[[#This Row],[Tulu/kulu liik2]],Table5[],6,FALSE)</f>
        <v>Majandamiskulud</v>
      </c>
      <c r="P824" s="3" t="str">
        <f>VLOOKUP(Table2[[#This Row],[Tulu/kulu liik2]],Table5[],5,FALSE)</f>
        <v>Põhitegevuse kulu</v>
      </c>
    </row>
    <row r="825" spans="1:16" hidden="1" x14ac:dyDescent="0.25">
      <c r="A825" t="str">
        <f t="shared" si="24"/>
        <v>09</v>
      </c>
      <c r="B825" t="s">
        <v>2226</v>
      </c>
      <c r="C825" s="3" t="str">
        <f>VLOOKUP(Table2[[#This Row],[Tegevusala]],Table4[],2,FALSE)</f>
        <v>Muuga-Laekvere Kool</v>
      </c>
      <c r="D825" s="3" t="str">
        <f>VLOOKUP(Table2[[#This Row],[Tegevusala]],Table4[[Tegevusala kood]:[Tegevusala alanimetus]],4,FALSE)</f>
        <v>Põhihariduse otsekulud</v>
      </c>
      <c r="E825" s="3" t="str">
        <f>VLOOKUP(Table2[[#This Row],[Tegevusala nimetus2]],Table4[[Tegevusala nimetus]:[Tegevusala koondnimetus]],2,FALSE)</f>
        <v>Haridus</v>
      </c>
      <c r="F825" t="s">
        <v>2230</v>
      </c>
      <c r="G825" t="s">
        <v>1852</v>
      </c>
      <c r="H825" s="40">
        <v>700</v>
      </c>
      <c r="J825">
        <v>5515</v>
      </c>
      <c r="K825" s="3" t="str">
        <f>VLOOKUP(Table2[[#This Row],[Konto]],Table5[[Konto]:[Konto nimetus]],2,FALSE)</f>
        <v>Inventari kulud, v.a infotehnoloogia ja kaitseotstarbelised kulud</v>
      </c>
      <c r="L825">
        <v>55</v>
      </c>
      <c r="M825" t="str">
        <f t="shared" si="25"/>
        <v>55</v>
      </c>
      <c r="N825" s="3" t="str">
        <f>VLOOKUP(Table2[[#This Row],[Tulu/kulu liik2]],Table5[[Tulu/kulu liik]:[Kontode koondnimetus]],4,FALSE)</f>
        <v>Muud tegevuskulud</v>
      </c>
      <c r="O825" s="3" t="str">
        <f>VLOOKUP(Table2[[#This Row],[Tulu/kulu liik2]],Table5[],6,FALSE)</f>
        <v>Majandamiskulud</v>
      </c>
      <c r="P825" s="3" t="str">
        <f>VLOOKUP(Table2[[#This Row],[Tulu/kulu liik2]],Table5[],5,FALSE)</f>
        <v>Põhitegevuse kulu</v>
      </c>
    </row>
    <row r="826" spans="1:16" hidden="1" x14ac:dyDescent="0.25">
      <c r="A826" t="str">
        <f t="shared" si="24"/>
        <v>09</v>
      </c>
      <c r="B826" t="s">
        <v>2226</v>
      </c>
      <c r="C826" s="3" t="str">
        <f>VLOOKUP(Table2[[#This Row],[Tegevusala]],Table4[],2,FALSE)</f>
        <v>Muuga-Laekvere Kool</v>
      </c>
      <c r="D826" s="3" t="str">
        <f>VLOOKUP(Table2[[#This Row],[Tegevusala]],Table4[[Tegevusala kood]:[Tegevusala alanimetus]],4,FALSE)</f>
        <v>Põhihariduse otsekulud</v>
      </c>
      <c r="E826" s="3" t="str">
        <f>VLOOKUP(Table2[[#This Row],[Tegevusala nimetus2]],Table4[[Tegevusala nimetus]:[Tegevusala koondnimetus]],2,FALSE)</f>
        <v>Haridus</v>
      </c>
      <c r="F826" t="s">
        <v>2230</v>
      </c>
      <c r="G826" t="s">
        <v>404</v>
      </c>
      <c r="H826" s="40">
        <v>300</v>
      </c>
      <c r="J826">
        <v>5515</v>
      </c>
      <c r="K826" s="3" t="str">
        <f>VLOOKUP(Table2[[#This Row],[Konto]],Table5[[Konto]:[Konto nimetus]],2,FALSE)</f>
        <v>Inventari kulud, v.a infotehnoloogia ja kaitseotstarbelised kulud</v>
      </c>
      <c r="L826">
        <v>55</v>
      </c>
      <c r="M826" t="str">
        <f t="shared" si="25"/>
        <v>55</v>
      </c>
      <c r="N826" s="3" t="str">
        <f>VLOOKUP(Table2[[#This Row],[Tulu/kulu liik2]],Table5[[Tulu/kulu liik]:[Kontode koondnimetus]],4,FALSE)</f>
        <v>Muud tegevuskulud</v>
      </c>
      <c r="O826" s="3" t="str">
        <f>VLOOKUP(Table2[[#This Row],[Tulu/kulu liik2]],Table5[],6,FALSE)</f>
        <v>Majandamiskulud</v>
      </c>
      <c r="P826" s="3" t="str">
        <f>VLOOKUP(Table2[[#This Row],[Tulu/kulu liik2]],Table5[],5,FALSE)</f>
        <v>Põhitegevuse kulu</v>
      </c>
    </row>
    <row r="827" spans="1:16" hidden="1" x14ac:dyDescent="0.25">
      <c r="A827" t="str">
        <f t="shared" si="24"/>
        <v>09</v>
      </c>
      <c r="B827" t="s">
        <v>2226</v>
      </c>
      <c r="C827" s="3" t="str">
        <f>VLOOKUP(Table2[[#This Row],[Tegevusala]],Table4[],2,FALSE)</f>
        <v>Muuga-Laekvere Kool</v>
      </c>
      <c r="D827" s="3" t="str">
        <f>VLOOKUP(Table2[[#This Row],[Tegevusala]],Table4[[Tegevusala kood]:[Tegevusala alanimetus]],4,FALSE)</f>
        <v>Põhihariduse otsekulud</v>
      </c>
      <c r="E827" s="3" t="str">
        <f>VLOOKUP(Table2[[#This Row],[Tegevusala nimetus2]],Table4[[Tegevusala nimetus]:[Tegevusala koondnimetus]],2,FALSE)</f>
        <v>Haridus</v>
      </c>
      <c r="F827" t="s">
        <v>2230</v>
      </c>
      <c r="G827" t="s">
        <v>1118</v>
      </c>
      <c r="H827" s="40">
        <v>5985</v>
      </c>
      <c r="I827" s="2" t="s">
        <v>2175</v>
      </c>
      <c r="J827">
        <v>5521</v>
      </c>
      <c r="K827" s="3" t="str">
        <f>VLOOKUP(Table2[[#This Row],[Konto]],Table5[[Konto]:[Konto nimetus]],2,FALSE)</f>
        <v>Toiduained ja toitlustusteenused</v>
      </c>
      <c r="L827">
        <v>55</v>
      </c>
      <c r="M827" t="str">
        <f t="shared" si="25"/>
        <v>55</v>
      </c>
      <c r="N827" s="3" t="str">
        <f>VLOOKUP(Table2[[#This Row],[Tulu/kulu liik2]],Table5[[Tulu/kulu liik]:[Kontode koondnimetus]],4,FALSE)</f>
        <v>Muud tegevuskulud</v>
      </c>
      <c r="O827" s="3" t="str">
        <f>VLOOKUP(Table2[[#This Row],[Tulu/kulu liik2]],Table5[],6,FALSE)</f>
        <v>Majandamiskulud</v>
      </c>
      <c r="P827" s="3" t="str">
        <f>VLOOKUP(Table2[[#This Row],[Tulu/kulu liik2]],Table5[],5,FALSE)</f>
        <v>Põhitegevuse kulu</v>
      </c>
    </row>
    <row r="828" spans="1:16" hidden="1" x14ac:dyDescent="0.25">
      <c r="A828" t="str">
        <f t="shared" si="24"/>
        <v>09</v>
      </c>
      <c r="B828" t="s">
        <v>2226</v>
      </c>
      <c r="C828" s="3" t="str">
        <f>VLOOKUP(Table2[[#This Row],[Tegevusala]],Table4[],2,FALSE)</f>
        <v>Muuga-Laekvere Kool</v>
      </c>
      <c r="D828" s="3" t="str">
        <f>VLOOKUP(Table2[[#This Row],[Tegevusala]],Table4[[Tegevusala kood]:[Tegevusala alanimetus]],4,FALSE)</f>
        <v>Põhihariduse otsekulud</v>
      </c>
      <c r="E828" s="3" t="str">
        <f>VLOOKUP(Table2[[#This Row],[Tegevusala nimetus2]],Table4[[Tegevusala nimetus]:[Tegevusala koondnimetus]],2,FALSE)</f>
        <v>Haridus</v>
      </c>
      <c r="F828" t="s">
        <v>2230</v>
      </c>
      <c r="G828" t="s">
        <v>406</v>
      </c>
      <c r="H828" s="40">
        <v>100</v>
      </c>
      <c r="J828">
        <v>5522</v>
      </c>
      <c r="K828" s="3" t="str">
        <f>VLOOKUP(Table2[[#This Row],[Konto]],Table5[[Konto]:[Konto nimetus]],2,FALSE)</f>
        <v>Meditsiinikulud ja hügieenitarbed</v>
      </c>
      <c r="L828">
        <v>55</v>
      </c>
      <c r="M828" t="str">
        <f t="shared" si="25"/>
        <v>55</v>
      </c>
      <c r="N828" s="3" t="str">
        <f>VLOOKUP(Table2[[#This Row],[Tulu/kulu liik2]],Table5[[Tulu/kulu liik]:[Kontode koondnimetus]],4,FALSE)</f>
        <v>Muud tegevuskulud</v>
      </c>
      <c r="O828" s="3" t="str">
        <f>VLOOKUP(Table2[[#This Row],[Tulu/kulu liik2]],Table5[],6,FALSE)</f>
        <v>Majandamiskulud</v>
      </c>
      <c r="P828" s="3" t="str">
        <f>VLOOKUP(Table2[[#This Row],[Tulu/kulu liik2]],Table5[],5,FALSE)</f>
        <v>Põhitegevuse kulu</v>
      </c>
    </row>
    <row r="829" spans="1:16" hidden="1" x14ac:dyDescent="0.25">
      <c r="A829" t="str">
        <f t="shared" si="24"/>
        <v>09</v>
      </c>
      <c r="B829" t="s">
        <v>2226</v>
      </c>
      <c r="C829" s="3" t="str">
        <f>VLOOKUP(Table2[[#This Row],[Tegevusala]],Table4[],2,FALSE)</f>
        <v>Muuga-Laekvere Kool</v>
      </c>
      <c r="D829" s="3" t="str">
        <f>VLOOKUP(Table2[[#This Row],[Tegevusala]],Table4[[Tegevusala kood]:[Tegevusala alanimetus]],4,FALSE)</f>
        <v>Põhihariduse otsekulud</v>
      </c>
      <c r="E829" s="3" t="str">
        <f>VLOOKUP(Table2[[#This Row],[Tegevusala nimetus2]],Table4[[Tegevusala nimetus]:[Tegevusala koondnimetus]],2,FALSE)</f>
        <v>Haridus</v>
      </c>
      <c r="F829" t="s">
        <v>2230</v>
      </c>
      <c r="G829" t="s">
        <v>407</v>
      </c>
      <c r="H829" s="40">
        <v>600</v>
      </c>
      <c r="J829">
        <v>5522</v>
      </c>
      <c r="K829" s="3" t="str">
        <f>VLOOKUP(Table2[[#This Row],[Konto]],Table5[[Konto]:[Konto nimetus]],2,FALSE)</f>
        <v>Meditsiinikulud ja hügieenitarbed</v>
      </c>
      <c r="L829">
        <v>55</v>
      </c>
      <c r="M829" t="str">
        <f t="shared" si="25"/>
        <v>55</v>
      </c>
      <c r="N829" s="3" t="str">
        <f>VLOOKUP(Table2[[#This Row],[Tulu/kulu liik2]],Table5[[Tulu/kulu liik]:[Kontode koondnimetus]],4,FALSE)</f>
        <v>Muud tegevuskulud</v>
      </c>
      <c r="O829" s="3" t="str">
        <f>VLOOKUP(Table2[[#This Row],[Tulu/kulu liik2]],Table5[],6,FALSE)</f>
        <v>Majandamiskulud</v>
      </c>
      <c r="P829" s="3" t="str">
        <f>VLOOKUP(Table2[[#This Row],[Tulu/kulu liik2]],Table5[],5,FALSE)</f>
        <v>Põhitegevuse kulu</v>
      </c>
    </row>
    <row r="830" spans="1:16" hidden="1" x14ac:dyDescent="0.25">
      <c r="A830" t="str">
        <f t="shared" ref="A830:A893" si="26">LEFT(B830,2)</f>
        <v>09</v>
      </c>
      <c r="B830" t="s">
        <v>2226</v>
      </c>
      <c r="C830" s="3" t="str">
        <f>VLOOKUP(Table2[[#This Row],[Tegevusala]],Table4[],2,FALSE)</f>
        <v>Muuga-Laekvere Kool</v>
      </c>
      <c r="D830" s="3" t="str">
        <f>VLOOKUP(Table2[[#This Row],[Tegevusala]],Table4[[Tegevusala kood]:[Tegevusala alanimetus]],4,FALSE)</f>
        <v>Põhihariduse otsekulud</v>
      </c>
      <c r="E830" s="3" t="str">
        <f>VLOOKUP(Table2[[#This Row],[Tegevusala nimetus2]],Table4[[Tegevusala nimetus]:[Tegevusala koondnimetus]],2,FALSE)</f>
        <v>Haridus</v>
      </c>
      <c r="F830" t="s">
        <v>2230</v>
      </c>
      <c r="G830" t="s">
        <v>408</v>
      </c>
      <c r="H830" s="40">
        <v>50</v>
      </c>
      <c r="J830">
        <v>5522</v>
      </c>
      <c r="K830" s="3" t="str">
        <f>VLOOKUP(Table2[[#This Row],[Konto]],Table5[[Konto]:[Konto nimetus]],2,FALSE)</f>
        <v>Meditsiinikulud ja hügieenitarbed</v>
      </c>
      <c r="L830">
        <v>55</v>
      </c>
      <c r="M830" t="str">
        <f t="shared" ref="M830:M893" si="27">LEFT(J830,2)</f>
        <v>55</v>
      </c>
      <c r="N830" s="3" t="str">
        <f>VLOOKUP(Table2[[#This Row],[Tulu/kulu liik2]],Table5[[Tulu/kulu liik]:[Kontode koondnimetus]],4,FALSE)</f>
        <v>Muud tegevuskulud</v>
      </c>
      <c r="O830" s="3" t="str">
        <f>VLOOKUP(Table2[[#This Row],[Tulu/kulu liik2]],Table5[],6,FALSE)</f>
        <v>Majandamiskulud</v>
      </c>
      <c r="P830" s="3" t="str">
        <f>VLOOKUP(Table2[[#This Row],[Tulu/kulu liik2]],Table5[],5,FALSE)</f>
        <v>Põhitegevuse kulu</v>
      </c>
    </row>
    <row r="831" spans="1:16" hidden="1" x14ac:dyDescent="0.25">
      <c r="A831" t="str">
        <f t="shared" si="26"/>
        <v>09</v>
      </c>
      <c r="B831" t="s">
        <v>2226</v>
      </c>
      <c r="C831" s="3" t="str">
        <f>VLOOKUP(Table2[[#This Row],[Tegevusala]],Table4[],2,FALSE)</f>
        <v>Muuga-Laekvere Kool</v>
      </c>
      <c r="D831" s="3" t="str">
        <f>VLOOKUP(Table2[[#This Row],[Tegevusala]],Table4[[Tegevusala kood]:[Tegevusala alanimetus]],4,FALSE)</f>
        <v>Põhihariduse otsekulud</v>
      </c>
      <c r="E831" s="3" t="str">
        <f>VLOOKUP(Table2[[#This Row],[Tegevusala nimetus2]],Table4[[Tegevusala nimetus]:[Tegevusala koondnimetus]],2,FALSE)</f>
        <v>Haridus</v>
      </c>
      <c r="F831" t="s">
        <v>2230</v>
      </c>
      <c r="G831" t="s">
        <v>409</v>
      </c>
      <c r="H831" s="40">
        <v>300</v>
      </c>
      <c r="J831">
        <v>5522</v>
      </c>
      <c r="K831" s="3" t="str">
        <f>VLOOKUP(Table2[[#This Row],[Konto]],Table5[[Konto]:[Konto nimetus]],2,FALSE)</f>
        <v>Meditsiinikulud ja hügieenitarbed</v>
      </c>
      <c r="L831">
        <v>55</v>
      </c>
      <c r="M831" t="str">
        <f t="shared" si="27"/>
        <v>55</v>
      </c>
      <c r="N831" s="3" t="str">
        <f>VLOOKUP(Table2[[#This Row],[Tulu/kulu liik2]],Table5[[Tulu/kulu liik]:[Kontode koondnimetus]],4,FALSE)</f>
        <v>Muud tegevuskulud</v>
      </c>
      <c r="O831" s="3" t="str">
        <f>VLOOKUP(Table2[[#This Row],[Tulu/kulu liik2]],Table5[],6,FALSE)</f>
        <v>Majandamiskulud</v>
      </c>
      <c r="P831" s="3" t="str">
        <f>VLOOKUP(Table2[[#This Row],[Tulu/kulu liik2]],Table5[],5,FALSE)</f>
        <v>Põhitegevuse kulu</v>
      </c>
    </row>
    <row r="832" spans="1:16" hidden="1" x14ac:dyDescent="0.25">
      <c r="A832" t="str">
        <f t="shared" si="26"/>
        <v>09</v>
      </c>
      <c r="B832" t="s">
        <v>2226</v>
      </c>
      <c r="C832" s="3" t="str">
        <f>VLOOKUP(Table2[[#This Row],[Tegevusala]],Table4[],2,FALSE)</f>
        <v>Muuga-Laekvere Kool</v>
      </c>
      <c r="D832" s="3" t="str">
        <f>VLOOKUP(Table2[[#This Row],[Tegevusala]],Table4[[Tegevusala kood]:[Tegevusala alanimetus]],4,FALSE)</f>
        <v>Põhihariduse otsekulud</v>
      </c>
      <c r="E832" s="3" t="str">
        <f>VLOOKUP(Table2[[#This Row],[Tegevusala nimetus2]],Table4[[Tegevusala nimetus]:[Tegevusala koondnimetus]],2,FALSE)</f>
        <v>Haridus</v>
      </c>
      <c r="F832" t="s">
        <v>2230</v>
      </c>
      <c r="G832" t="s">
        <v>410</v>
      </c>
      <c r="H832" s="40">
        <f>2500-2186.58</f>
        <v>313.42000000000007</v>
      </c>
      <c r="J832">
        <v>5524</v>
      </c>
      <c r="K832" s="3" t="str">
        <f>VLOOKUP(Table2[[#This Row],[Konto]],Table5[[Konto]:[Konto nimetus]],2,FALSE)</f>
        <v>Õppevahendid</v>
      </c>
      <c r="L832">
        <v>55</v>
      </c>
      <c r="M832" t="str">
        <f t="shared" si="27"/>
        <v>55</v>
      </c>
      <c r="N832" s="3" t="str">
        <f>VLOOKUP(Table2[[#This Row],[Tulu/kulu liik2]],Table5[[Tulu/kulu liik]:[Kontode koondnimetus]],4,FALSE)</f>
        <v>Muud tegevuskulud</v>
      </c>
      <c r="O832" s="3" t="str">
        <f>VLOOKUP(Table2[[#This Row],[Tulu/kulu liik2]],Table5[],6,FALSE)</f>
        <v>Majandamiskulud</v>
      </c>
      <c r="P832" s="3" t="str">
        <f>VLOOKUP(Table2[[#This Row],[Tulu/kulu liik2]],Table5[],5,FALSE)</f>
        <v>Põhitegevuse kulu</v>
      </c>
    </row>
    <row r="833" spans="1:16" hidden="1" x14ac:dyDescent="0.25">
      <c r="A833" t="str">
        <f t="shared" si="26"/>
        <v>09</v>
      </c>
      <c r="B833" t="s">
        <v>2226</v>
      </c>
      <c r="C833" s="3" t="str">
        <f>VLOOKUP(Table2[[#This Row],[Tegevusala]],Table4[],2,FALSE)</f>
        <v>Muuga-Laekvere Kool</v>
      </c>
      <c r="D833" s="3" t="str">
        <f>VLOOKUP(Table2[[#This Row],[Tegevusala]],Table4[[Tegevusala kood]:[Tegevusala alanimetus]],4,FALSE)</f>
        <v>Põhihariduse otsekulud</v>
      </c>
      <c r="E833" s="3" t="str">
        <f>VLOOKUP(Table2[[#This Row],[Tegevusala nimetus2]],Table4[[Tegevusala nimetus]:[Tegevusala koondnimetus]],2,FALSE)</f>
        <v>Haridus</v>
      </c>
      <c r="F833" t="s">
        <v>2230</v>
      </c>
      <c r="G833" t="s">
        <v>411</v>
      </c>
      <c r="H833" s="40">
        <v>500</v>
      </c>
      <c r="J833">
        <v>5524</v>
      </c>
      <c r="K833" s="3" t="str">
        <f>VLOOKUP(Table2[[#This Row],[Konto]],Table5[[Konto]:[Konto nimetus]],2,FALSE)</f>
        <v>Õppevahendid</v>
      </c>
      <c r="L833">
        <v>55</v>
      </c>
      <c r="M833" t="str">
        <f t="shared" si="27"/>
        <v>55</v>
      </c>
      <c r="N833" s="3" t="str">
        <f>VLOOKUP(Table2[[#This Row],[Tulu/kulu liik2]],Table5[[Tulu/kulu liik]:[Kontode koondnimetus]],4,FALSE)</f>
        <v>Muud tegevuskulud</v>
      </c>
      <c r="O833" s="3" t="str">
        <f>VLOOKUP(Table2[[#This Row],[Tulu/kulu liik2]],Table5[],6,FALSE)</f>
        <v>Majandamiskulud</v>
      </c>
      <c r="P833" s="3" t="str">
        <f>VLOOKUP(Table2[[#This Row],[Tulu/kulu liik2]],Table5[],5,FALSE)</f>
        <v>Põhitegevuse kulu</v>
      </c>
    </row>
    <row r="834" spans="1:16" hidden="1" x14ac:dyDescent="0.25">
      <c r="A834" t="str">
        <f t="shared" si="26"/>
        <v>09</v>
      </c>
      <c r="B834" t="s">
        <v>2226</v>
      </c>
      <c r="C834" s="3" t="str">
        <f>VLOOKUP(Table2[[#This Row],[Tegevusala]],Table4[],2,FALSE)</f>
        <v>Muuga-Laekvere Kool</v>
      </c>
      <c r="D834" s="3" t="str">
        <f>VLOOKUP(Table2[[#This Row],[Tegevusala]],Table4[[Tegevusala kood]:[Tegevusala alanimetus]],4,FALSE)</f>
        <v>Põhihariduse otsekulud</v>
      </c>
      <c r="E834" s="3" t="str">
        <f>VLOOKUP(Table2[[#This Row],[Tegevusala nimetus2]],Table4[[Tegevusala nimetus]:[Tegevusala koondnimetus]],2,FALSE)</f>
        <v>Haridus</v>
      </c>
      <c r="F834" t="s">
        <v>2230</v>
      </c>
      <c r="G834" t="s">
        <v>413</v>
      </c>
      <c r="H834" s="40">
        <v>500</v>
      </c>
      <c r="J834">
        <v>5525</v>
      </c>
      <c r="K834" s="3" t="str">
        <f>VLOOKUP(Table2[[#This Row],[Konto]],Table5[[Konto]:[Konto nimetus]],2,FALSE)</f>
        <v>Kommunikatsiooni-, kultuuri- ja vaba aja sisustamise kulud</v>
      </c>
      <c r="L834">
        <v>55</v>
      </c>
      <c r="M834" t="str">
        <f t="shared" si="27"/>
        <v>55</v>
      </c>
      <c r="N834" s="3" t="str">
        <f>VLOOKUP(Table2[[#This Row],[Tulu/kulu liik2]],Table5[[Tulu/kulu liik]:[Kontode koondnimetus]],4,FALSE)</f>
        <v>Muud tegevuskulud</v>
      </c>
      <c r="O834" s="3" t="str">
        <f>VLOOKUP(Table2[[#This Row],[Tulu/kulu liik2]],Table5[],6,FALSE)</f>
        <v>Majandamiskulud</v>
      </c>
      <c r="P834" s="3" t="str">
        <f>VLOOKUP(Table2[[#This Row],[Tulu/kulu liik2]],Table5[],5,FALSE)</f>
        <v>Põhitegevuse kulu</v>
      </c>
    </row>
    <row r="835" spans="1:16" hidden="1" x14ac:dyDescent="0.25">
      <c r="A835" t="str">
        <f t="shared" si="26"/>
        <v>09</v>
      </c>
      <c r="B835" t="s">
        <v>2226</v>
      </c>
      <c r="C835" s="3" t="str">
        <f>VLOOKUP(Table2[[#This Row],[Tegevusala]],Table4[],2,FALSE)</f>
        <v>Muuga-Laekvere Kool</v>
      </c>
      <c r="D835" s="3" t="str">
        <f>VLOOKUP(Table2[[#This Row],[Tegevusala]],Table4[[Tegevusala kood]:[Tegevusala alanimetus]],4,FALSE)</f>
        <v>Põhihariduse otsekulud</v>
      </c>
      <c r="E835" s="3" t="str">
        <f>VLOOKUP(Table2[[#This Row],[Tegevusala nimetus2]],Table4[[Tegevusala nimetus]:[Tegevusala koondnimetus]],2,FALSE)</f>
        <v>Haridus</v>
      </c>
      <c r="F835" t="s">
        <v>2230</v>
      </c>
      <c r="G835" t="s">
        <v>414</v>
      </c>
      <c r="H835" s="40">
        <v>2800</v>
      </c>
      <c r="J835">
        <v>5524</v>
      </c>
      <c r="K835" s="3" t="str">
        <f>VLOOKUP(Table2[[#This Row],[Konto]],Table5[[Konto]:[Konto nimetus]],2,FALSE)</f>
        <v>Õppevahendid</v>
      </c>
      <c r="L835">
        <v>55</v>
      </c>
      <c r="M835" t="str">
        <f t="shared" si="27"/>
        <v>55</v>
      </c>
      <c r="N835" s="3" t="str">
        <f>VLOOKUP(Table2[[#This Row],[Tulu/kulu liik2]],Table5[[Tulu/kulu liik]:[Kontode koondnimetus]],4,FALSE)</f>
        <v>Muud tegevuskulud</v>
      </c>
      <c r="O835" s="3" t="str">
        <f>VLOOKUP(Table2[[#This Row],[Tulu/kulu liik2]],Table5[],6,FALSE)</f>
        <v>Majandamiskulud</v>
      </c>
      <c r="P835" s="3" t="str">
        <f>VLOOKUP(Table2[[#This Row],[Tulu/kulu liik2]],Table5[],5,FALSE)</f>
        <v>Põhitegevuse kulu</v>
      </c>
    </row>
    <row r="836" spans="1:16" hidden="1" x14ac:dyDescent="0.25">
      <c r="A836" s="33" t="str">
        <f t="shared" si="26"/>
        <v>09</v>
      </c>
      <c r="B836" s="33" t="s">
        <v>2226</v>
      </c>
      <c r="C836" s="34" t="str">
        <f>VLOOKUP(Table2[[#This Row],[Tegevusala]],Table4[],2,FALSE)</f>
        <v>Muuga-Laekvere Kool</v>
      </c>
      <c r="D836" s="34" t="str">
        <f>VLOOKUP(Table2[[#This Row],[Tegevusala]],Table4[[Tegevusala kood]:[Tegevusala alanimetus]],4,FALSE)</f>
        <v>Põhihariduse otsekulud</v>
      </c>
      <c r="E836" s="34" t="str">
        <f>VLOOKUP(Table2[[#This Row],[Tegevusala nimetus2]],Table4[[Tegevusala nimetus]:[Tegevusala koondnimetus]],2,FALSE)</f>
        <v>Haridus</v>
      </c>
      <c r="F836" t="s">
        <v>2230</v>
      </c>
      <c r="G836" s="33" t="s">
        <v>1871</v>
      </c>
      <c r="H836" s="47">
        <v>800</v>
      </c>
      <c r="I836" s="35"/>
      <c r="J836" s="33">
        <v>5524</v>
      </c>
      <c r="K836" s="34" t="str">
        <f>VLOOKUP(Table2[[#This Row],[Konto]],Table5[[Konto]:[Konto nimetus]],2,FALSE)</f>
        <v>Õppevahendid</v>
      </c>
      <c r="L836" s="33">
        <v>55</v>
      </c>
      <c r="M836" s="33" t="str">
        <f t="shared" si="27"/>
        <v>55</v>
      </c>
      <c r="N836" s="34" t="str">
        <f>VLOOKUP(Table2[[#This Row],[Tulu/kulu liik2]],Table5[[Tulu/kulu liik]:[Kontode koondnimetus]],4,FALSE)</f>
        <v>Muud tegevuskulud</v>
      </c>
      <c r="O836" s="34" t="str">
        <f>VLOOKUP(Table2[[#This Row],[Tulu/kulu liik2]],Table5[],6,FALSE)</f>
        <v>Majandamiskulud</v>
      </c>
      <c r="P836" s="34" t="str">
        <f>VLOOKUP(Table2[[#This Row],[Tulu/kulu liik2]],Table5[],5,FALSE)</f>
        <v>Põhitegevuse kulu</v>
      </c>
    </row>
    <row r="837" spans="1:16" hidden="1" x14ac:dyDescent="0.25">
      <c r="A837" t="str">
        <f t="shared" si="26"/>
        <v>09</v>
      </c>
      <c r="B837" t="s">
        <v>2226</v>
      </c>
      <c r="C837" s="3" t="str">
        <f>VLOOKUP(Table2[[#This Row],[Tegevusala]],Table4[],2,FALSE)</f>
        <v>Muuga-Laekvere Kool</v>
      </c>
      <c r="D837" s="3" t="str">
        <f>VLOOKUP(Table2[[#This Row],[Tegevusala]],Table4[[Tegevusala kood]:[Tegevusala alanimetus]],4,FALSE)</f>
        <v>Põhihariduse otsekulud</v>
      </c>
      <c r="E837" s="3" t="str">
        <f>VLOOKUP(Table2[[#This Row],[Tegevusala nimetus2]],Table4[[Tegevusala nimetus]:[Tegevusala koondnimetus]],2,FALSE)</f>
        <v>Haridus</v>
      </c>
      <c r="F837" t="s">
        <v>2230</v>
      </c>
      <c r="G837" t="s">
        <v>415</v>
      </c>
      <c r="H837" s="40">
        <v>450</v>
      </c>
      <c r="J837">
        <v>5525</v>
      </c>
      <c r="K837" s="3" t="str">
        <f>VLOOKUP(Table2[[#This Row],[Konto]],Table5[[Konto]:[Konto nimetus]],2,FALSE)</f>
        <v>Kommunikatsiooni-, kultuuri- ja vaba aja sisustamise kulud</v>
      </c>
      <c r="L837">
        <v>55</v>
      </c>
      <c r="M837" t="str">
        <f t="shared" si="27"/>
        <v>55</v>
      </c>
      <c r="N837" s="3" t="str">
        <f>VLOOKUP(Table2[[#This Row],[Tulu/kulu liik2]],Table5[[Tulu/kulu liik]:[Kontode koondnimetus]],4,FALSE)</f>
        <v>Muud tegevuskulud</v>
      </c>
      <c r="O837" s="3" t="str">
        <f>VLOOKUP(Table2[[#This Row],[Tulu/kulu liik2]],Table5[],6,FALSE)</f>
        <v>Majandamiskulud</v>
      </c>
      <c r="P837" s="3" t="str">
        <f>VLOOKUP(Table2[[#This Row],[Tulu/kulu liik2]],Table5[],5,FALSE)</f>
        <v>Põhitegevuse kulu</v>
      </c>
    </row>
    <row r="838" spans="1:16" hidden="1" x14ac:dyDescent="0.25">
      <c r="A838" t="str">
        <f t="shared" si="26"/>
        <v>09</v>
      </c>
      <c r="B838" t="s">
        <v>2226</v>
      </c>
      <c r="C838" s="3" t="str">
        <f>VLOOKUP(Table2[[#This Row],[Tegevusala]],Table4[],2,FALSE)</f>
        <v>Muuga-Laekvere Kool</v>
      </c>
      <c r="D838" s="3" t="str">
        <f>VLOOKUP(Table2[[#This Row],[Tegevusala]],Table4[[Tegevusala kood]:[Tegevusala alanimetus]],4,FALSE)</f>
        <v>Põhihariduse otsekulud</v>
      </c>
      <c r="E838" s="3" t="str">
        <f>VLOOKUP(Table2[[#This Row],[Tegevusala nimetus2]],Table4[[Tegevusala nimetus]:[Tegevusala koondnimetus]],2,FALSE)</f>
        <v>Haridus</v>
      </c>
      <c r="F838" t="s">
        <v>2230</v>
      </c>
      <c r="G838" t="s">
        <v>416</v>
      </c>
      <c r="H838" s="40">
        <v>300</v>
      </c>
      <c r="J838">
        <v>5525</v>
      </c>
      <c r="K838" s="3" t="str">
        <f>VLOOKUP(Table2[[#This Row],[Konto]],Table5[[Konto]:[Konto nimetus]],2,FALSE)</f>
        <v>Kommunikatsiooni-, kultuuri- ja vaba aja sisustamise kulud</v>
      </c>
      <c r="L838">
        <v>55</v>
      </c>
      <c r="M838" t="str">
        <f t="shared" si="27"/>
        <v>55</v>
      </c>
      <c r="N838" s="3" t="str">
        <f>VLOOKUP(Table2[[#This Row],[Tulu/kulu liik2]],Table5[[Tulu/kulu liik]:[Kontode koondnimetus]],4,FALSE)</f>
        <v>Muud tegevuskulud</v>
      </c>
      <c r="O838" s="3" t="str">
        <f>VLOOKUP(Table2[[#This Row],[Tulu/kulu liik2]],Table5[],6,FALSE)</f>
        <v>Majandamiskulud</v>
      </c>
      <c r="P838" s="3" t="str">
        <f>VLOOKUP(Table2[[#This Row],[Tulu/kulu liik2]],Table5[],5,FALSE)</f>
        <v>Põhitegevuse kulu</v>
      </c>
    </row>
    <row r="839" spans="1:16" hidden="1" x14ac:dyDescent="0.25">
      <c r="A839" t="str">
        <f t="shared" si="26"/>
        <v>09</v>
      </c>
      <c r="B839" t="s">
        <v>2226</v>
      </c>
      <c r="C839" s="3" t="str">
        <f>VLOOKUP(Table2[[#This Row],[Tegevusala]],Table4[],2,FALSE)</f>
        <v>Muuga-Laekvere Kool</v>
      </c>
      <c r="D839" s="3" t="str">
        <f>VLOOKUP(Table2[[#This Row],[Tegevusala]],Table4[[Tegevusala kood]:[Tegevusala alanimetus]],4,FALSE)</f>
        <v>Põhihariduse otsekulud</v>
      </c>
      <c r="E839" s="3" t="str">
        <f>VLOOKUP(Table2[[#This Row],[Tegevusala nimetus2]],Table4[[Tegevusala nimetus]:[Tegevusala koondnimetus]],2,FALSE)</f>
        <v>Haridus</v>
      </c>
      <c r="F839" t="s">
        <v>2230</v>
      </c>
      <c r="G839" t="s">
        <v>1885</v>
      </c>
      <c r="H839" s="40">
        <v>750</v>
      </c>
      <c r="J839">
        <v>5525</v>
      </c>
      <c r="K839" s="3" t="str">
        <f>VLOOKUP(Table2[[#This Row],[Konto]],Table5[[Konto]:[Konto nimetus]],2,FALSE)</f>
        <v>Kommunikatsiooni-, kultuuri- ja vaba aja sisustamise kulud</v>
      </c>
      <c r="L839">
        <v>55</v>
      </c>
      <c r="M839" t="str">
        <f t="shared" si="27"/>
        <v>55</v>
      </c>
      <c r="N839" s="3" t="str">
        <f>VLOOKUP(Table2[[#This Row],[Tulu/kulu liik2]],Table5[[Tulu/kulu liik]:[Kontode koondnimetus]],4,FALSE)</f>
        <v>Muud tegevuskulud</v>
      </c>
      <c r="O839" s="3" t="str">
        <f>VLOOKUP(Table2[[#This Row],[Tulu/kulu liik2]],Table5[],6,FALSE)</f>
        <v>Majandamiskulud</v>
      </c>
      <c r="P839" s="3" t="str">
        <f>VLOOKUP(Table2[[#This Row],[Tulu/kulu liik2]],Table5[],5,FALSE)</f>
        <v>Põhitegevuse kulu</v>
      </c>
    </row>
    <row r="840" spans="1:16" hidden="1" x14ac:dyDescent="0.25">
      <c r="A840" t="str">
        <f t="shared" si="26"/>
        <v>09</v>
      </c>
      <c r="B840" t="s">
        <v>2226</v>
      </c>
      <c r="C840" s="3" t="str">
        <f>VLOOKUP(Table2[[#This Row],[Tegevusala]],Table4[],2,FALSE)</f>
        <v>Muuga-Laekvere Kool</v>
      </c>
      <c r="D840" s="3" t="str">
        <f>VLOOKUP(Table2[[#This Row],[Tegevusala]],Table4[[Tegevusala kood]:[Tegevusala alanimetus]],4,FALSE)</f>
        <v>Põhihariduse otsekulud</v>
      </c>
      <c r="E840" s="3" t="str">
        <f>VLOOKUP(Table2[[#This Row],[Tegevusala nimetus2]],Table4[[Tegevusala nimetus]:[Tegevusala koondnimetus]],2,FALSE)</f>
        <v>Haridus</v>
      </c>
      <c r="F840" t="s">
        <v>2230</v>
      </c>
      <c r="G840" t="s">
        <v>401</v>
      </c>
      <c r="H840" s="40">
        <v>1000</v>
      </c>
      <c r="J840">
        <v>5514</v>
      </c>
      <c r="K840" s="3" t="str">
        <f>VLOOKUP(Table2[[#This Row],[Konto]],Table5[[Konto]:[Konto nimetus]],2,FALSE)</f>
        <v>Info- ja kommunikatsioonitehnoliigised kulud</v>
      </c>
      <c r="L840">
        <v>55</v>
      </c>
      <c r="M840" t="str">
        <f t="shared" si="27"/>
        <v>55</v>
      </c>
      <c r="N840" s="3" t="str">
        <f>VLOOKUP(Table2[[#This Row],[Tulu/kulu liik2]],Table5[[Tulu/kulu liik]:[Kontode koondnimetus]],4,FALSE)</f>
        <v>Muud tegevuskulud</v>
      </c>
      <c r="O840" s="3" t="str">
        <f>VLOOKUP(Table2[[#This Row],[Tulu/kulu liik2]],Table5[],6,FALSE)</f>
        <v>Majandamiskulud</v>
      </c>
      <c r="P840" s="3" t="str">
        <f>VLOOKUP(Table2[[#This Row],[Tulu/kulu liik2]],Table5[],5,FALSE)</f>
        <v>Põhitegevuse kulu</v>
      </c>
    </row>
    <row r="841" spans="1:16" hidden="1" x14ac:dyDescent="0.25">
      <c r="A841" t="str">
        <f t="shared" si="26"/>
        <v>09</v>
      </c>
      <c r="B841" t="s">
        <v>2226</v>
      </c>
      <c r="C841" s="3" t="str">
        <f>VLOOKUP(Table2[[#This Row],[Tegevusala]],Table4[],2,FALSE)</f>
        <v>Muuga-Laekvere Kool</v>
      </c>
      <c r="D841" s="3" t="str">
        <f>VLOOKUP(Table2[[#This Row],[Tegevusala]],Table4[[Tegevusala kood]:[Tegevusala alanimetus]],4,FALSE)</f>
        <v>Põhihariduse otsekulud</v>
      </c>
      <c r="E841" s="3" t="str">
        <f>VLOOKUP(Table2[[#This Row],[Tegevusala nimetus2]],Table4[[Tegevusala nimetus]:[Tegevusala koondnimetus]],2,FALSE)</f>
        <v>Haridus</v>
      </c>
      <c r="F841" t="s">
        <v>2230</v>
      </c>
      <c r="G841" t="s">
        <v>402</v>
      </c>
      <c r="H841" s="40">
        <v>500</v>
      </c>
      <c r="J841">
        <v>5514</v>
      </c>
      <c r="K841" s="3" t="str">
        <f>VLOOKUP(Table2[[#This Row],[Konto]],Table5[[Konto]:[Konto nimetus]],2,FALSE)</f>
        <v>Info- ja kommunikatsioonitehnoliigised kulud</v>
      </c>
      <c r="L841">
        <v>55</v>
      </c>
      <c r="M841" t="str">
        <f t="shared" si="27"/>
        <v>55</v>
      </c>
      <c r="N841" s="3" t="str">
        <f>VLOOKUP(Table2[[#This Row],[Tulu/kulu liik2]],Table5[[Tulu/kulu liik]:[Kontode koondnimetus]],4,FALSE)</f>
        <v>Muud tegevuskulud</v>
      </c>
      <c r="O841" s="3" t="str">
        <f>VLOOKUP(Table2[[#This Row],[Tulu/kulu liik2]],Table5[],6,FALSE)</f>
        <v>Majandamiskulud</v>
      </c>
      <c r="P841" s="3" t="str">
        <f>VLOOKUP(Table2[[#This Row],[Tulu/kulu liik2]],Table5[],5,FALSE)</f>
        <v>Põhitegevuse kulu</v>
      </c>
    </row>
    <row r="842" spans="1:16" hidden="1" x14ac:dyDescent="0.25">
      <c r="A842" t="str">
        <f t="shared" si="26"/>
        <v>09</v>
      </c>
      <c r="B842" t="s">
        <v>2226</v>
      </c>
      <c r="C842" s="3" t="str">
        <f>VLOOKUP(Table2[[#This Row],[Tegevusala]],Table4[],2,FALSE)</f>
        <v>Muuga-Laekvere Kool</v>
      </c>
      <c r="D842" s="3" t="str">
        <f>VLOOKUP(Table2[[#This Row],[Tegevusala]],Table4[[Tegevusala kood]:[Tegevusala alanimetus]],4,FALSE)</f>
        <v>Põhihariduse otsekulud</v>
      </c>
      <c r="E842" s="3" t="str">
        <f>VLOOKUP(Table2[[#This Row],[Tegevusala nimetus2]],Table4[[Tegevusala nimetus]:[Tegevusala koondnimetus]],2,FALSE)</f>
        <v>Haridus</v>
      </c>
      <c r="F842" t="s">
        <v>2230</v>
      </c>
      <c r="G842" t="s">
        <v>403</v>
      </c>
      <c r="H842" s="40">
        <v>700</v>
      </c>
      <c r="J842">
        <v>5514</v>
      </c>
      <c r="K842" s="3" t="str">
        <f>VLOOKUP(Table2[[#This Row],[Konto]],Table5[[Konto]:[Konto nimetus]],2,FALSE)</f>
        <v>Info- ja kommunikatsioonitehnoliigised kulud</v>
      </c>
      <c r="L842">
        <v>55</v>
      </c>
      <c r="M842" t="str">
        <f t="shared" si="27"/>
        <v>55</v>
      </c>
      <c r="N842" s="3" t="str">
        <f>VLOOKUP(Table2[[#This Row],[Tulu/kulu liik2]],Table5[[Tulu/kulu liik]:[Kontode koondnimetus]],4,FALSE)</f>
        <v>Muud tegevuskulud</v>
      </c>
      <c r="O842" s="3" t="str">
        <f>VLOOKUP(Table2[[#This Row],[Tulu/kulu liik2]],Table5[],6,FALSE)</f>
        <v>Majandamiskulud</v>
      </c>
      <c r="P842" s="3" t="str">
        <f>VLOOKUP(Table2[[#This Row],[Tulu/kulu liik2]],Table5[],5,FALSE)</f>
        <v>Põhitegevuse kulu</v>
      </c>
    </row>
    <row r="843" spans="1:16" hidden="1" x14ac:dyDescent="0.25">
      <c r="A843" t="str">
        <f t="shared" si="26"/>
        <v>09</v>
      </c>
      <c r="B843" t="s">
        <v>2226</v>
      </c>
      <c r="C843" s="3" t="str">
        <f>VLOOKUP(Table2[[#This Row],[Tegevusala]],Table4[],2,FALSE)</f>
        <v>Muuga-Laekvere Kool</v>
      </c>
      <c r="D843" s="3" t="str">
        <f>VLOOKUP(Table2[[#This Row],[Tegevusala]],Table4[[Tegevusala kood]:[Tegevusala alanimetus]],4,FALSE)</f>
        <v>Põhihariduse otsekulud</v>
      </c>
      <c r="E843" s="3" t="str">
        <f>VLOOKUP(Table2[[#This Row],[Tegevusala nimetus2]],Table4[[Tegevusala nimetus]:[Tegevusala koondnimetus]],2,FALSE)</f>
        <v>Haridus</v>
      </c>
      <c r="F843" t="s">
        <v>2230</v>
      </c>
      <c r="G843" t="s">
        <v>199</v>
      </c>
      <c r="H843" s="40">
        <v>300</v>
      </c>
      <c r="J843">
        <v>5514</v>
      </c>
      <c r="K843" s="3" t="str">
        <f>VLOOKUP(Table2[[#This Row],[Konto]],Table5[[Konto]:[Konto nimetus]],2,FALSE)</f>
        <v>Info- ja kommunikatsioonitehnoliigised kulud</v>
      </c>
      <c r="L843">
        <v>55</v>
      </c>
      <c r="M843" t="str">
        <f t="shared" si="27"/>
        <v>55</v>
      </c>
      <c r="N843" s="3" t="str">
        <f>VLOOKUP(Table2[[#This Row],[Tulu/kulu liik2]],Table5[[Tulu/kulu liik]:[Kontode koondnimetus]],4,FALSE)</f>
        <v>Muud tegevuskulud</v>
      </c>
      <c r="O843" s="3" t="str">
        <f>VLOOKUP(Table2[[#This Row],[Tulu/kulu liik2]],Table5[],6,FALSE)</f>
        <v>Majandamiskulud</v>
      </c>
      <c r="P843" s="3" t="str">
        <f>VLOOKUP(Table2[[#This Row],[Tulu/kulu liik2]],Table5[],5,FALSE)</f>
        <v>Põhitegevuse kulu</v>
      </c>
    </row>
    <row r="844" spans="1:16" hidden="1" x14ac:dyDescent="0.25">
      <c r="A844" t="str">
        <f t="shared" si="26"/>
        <v>09</v>
      </c>
      <c r="B844" t="s">
        <v>2226</v>
      </c>
      <c r="C844" s="3" t="str">
        <f>VLOOKUP(Table2[[#This Row],[Tegevusala]],Table4[],2,FALSE)</f>
        <v>Muuga-Laekvere Kool</v>
      </c>
      <c r="D844" s="3" t="str">
        <f>VLOOKUP(Table2[[#This Row],[Tegevusala]],Table4[[Tegevusala kood]:[Tegevusala alanimetus]],4,FALSE)</f>
        <v>Põhihariduse otsekulud</v>
      </c>
      <c r="E844" s="3" t="str">
        <f>VLOOKUP(Table2[[#This Row],[Tegevusala nimetus2]],Table4[[Tegevusala nimetus]:[Tegevusala koondnimetus]],2,FALSE)</f>
        <v>Haridus</v>
      </c>
      <c r="F844" t="s">
        <v>2230</v>
      </c>
      <c r="G844" t="s">
        <v>404</v>
      </c>
      <c r="H844" s="40">
        <v>500</v>
      </c>
      <c r="J844">
        <v>5514</v>
      </c>
      <c r="K844" s="3" t="str">
        <f>VLOOKUP(Table2[[#This Row],[Konto]],Table5[[Konto]:[Konto nimetus]],2,FALSE)</f>
        <v>Info- ja kommunikatsioonitehnoliigised kulud</v>
      </c>
      <c r="L844">
        <v>55</v>
      </c>
      <c r="M844" t="str">
        <f t="shared" si="27"/>
        <v>55</v>
      </c>
      <c r="N844" s="3" t="str">
        <f>VLOOKUP(Table2[[#This Row],[Tulu/kulu liik2]],Table5[[Tulu/kulu liik]:[Kontode koondnimetus]],4,FALSE)</f>
        <v>Muud tegevuskulud</v>
      </c>
      <c r="O844" s="3" t="str">
        <f>VLOOKUP(Table2[[#This Row],[Tulu/kulu liik2]],Table5[],6,FALSE)</f>
        <v>Majandamiskulud</v>
      </c>
      <c r="P844" s="3" t="str">
        <f>VLOOKUP(Table2[[#This Row],[Tulu/kulu liik2]],Table5[],5,FALSE)</f>
        <v>Põhitegevuse kulu</v>
      </c>
    </row>
    <row r="845" spans="1:16" hidden="1" x14ac:dyDescent="0.25">
      <c r="A845" t="str">
        <f t="shared" si="26"/>
        <v>09</v>
      </c>
      <c r="B845" t="s">
        <v>2226</v>
      </c>
      <c r="C845" s="3" t="str">
        <f>VLOOKUP(Table2[[#This Row],[Tegevusala]],Table4[],2,FALSE)</f>
        <v>Muuga-Laekvere Kool</v>
      </c>
      <c r="D845" s="3" t="str">
        <f>VLOOKUP(Table2[[#This Row],[Tegevusala]],Table4[[Tegevusala kood]:[Tegevusala alanimetus]],4,FALSE)</f>
        <v>Põhihariduse otsekulud</v>
      </c>
      <c r="E845" s="3" t="str">
        <f>VLOOKUP(Table2[[#This Row],[Tegevusala nimetus2]],Table4[[Tegevusala nimetus]:[Tegevusala koondnimetus]],2,FALSE)</f>
        <v>Haridus</v>
      </c>
      <c r="F845" t="s">
        <v>2230</v>
      </c>
      <c r="G845" t="s">
        <v>2171</v>
      </c>
      <c r="H845" s="40">
        <v>615.36</v>
      </c>
      <c r="I845" s="2" t="s">
        <v>2175</v>
      </c>
      <c r="J845">
        <v>5504</v>
      </c>
      <c r="K845" s="3" t="str">
        <f>VLOOKUP(Table2[[#This Row],[Konto]],Table5[[Konto]:[Konto nimetus]],2,FALSE)</f>
        <v>Koolituskulud</v>
      </c>
      <c r="L845">
        <v>55</v>
      </c>
      <c r="M845" t="str">
        <f t="shared" si="27"/>
        <v>55</v>
      </c>
      <c r="N845" s="3" t="str">
        <f>VLOOKUP(Table2[[#This Row],[Tulu/kulu liik2]],Table5[[Tulu/kulu liik]:[Kontode koondnimetus]],4,FALSE)</f>
        <v>Muud tegevuskulud</v>
      </c>
      <c r="O845" s="34" t="str">
        <f>VLOOKUP(Table2[[#This Row],[Tulu/kulu liik2]],Table5[],6,FALSE)</f>
        <v>Majandamiskulud</v>
      </c>
      <c r="P845" s="3" t="str">
        <f>VLOOKUP(Table2[[#This Row],[Tulu/kulu liik2]],Table5[],5,FALSE)</f>
        <v>Põhitegevuse kulu</v>
      </c>
    </row>
    <row r="846" spans="1:16" hidden="1" x14ac:dyDescent="0.25">
      <c r="A846" t="str">
        <f t="shared" si="26"/>
        <v>09</v>
      </c>
      <c r="B846" s="33" t="s">
        <v>2226</v>
      </c>
      <c r="C846" s="3" t="str">
        <f>VLOOKUP(Table2[[#This Row],[Tegevusala]],Table4[],2,FALSE)</f>
        <v>Muuga-Laekvere Kool</v>
      </c>
      <c r="D846" s="3" t="str">
        <f>VLOOKUP(Table2[[#This Row],[Tegevusala]],Table4[[Tegevusala kood]:[Tegevusala alanimetus]],4,FALSE)</f>
        <v>Põhihariduse otsekulud</v>
      </c>
      <c r="E846" s="3" t="str">
        <f>VLOOKUP(Table2[[#This Row],[Tegevusala nimetus2]],Table4[[Tegevusala nimetus]:[Tegevusala koondnimetus]],2,FALSE)</f>
        <v>Haridus</v>
      </c>
      <c r="F846" t="s">
        <v>2230</v>
      </c>
      <c r="G846" t="s">
        <v>2172</v>
      </c>
      <c r="H846" s="40">
        <v>2186.58</v>
      </c>
      <c r="I846" s="2" t="s">
        <v>2175</v>
      </c>
      <c r="J846">
        <v>5524</v>
      </c>
      <c r="K846" s="3" t="str">
        <f>VLOOKUP(Table2[[#This Row],[Konto]],Table5[[Konto]:[Konto nimetus]],2,FALSE)</f>
        <v>Õppevahendid</v>
      </c>
      <c r="L846">
        <v>55</v>
      </c>
      <c r="M846" t="str">
        <f t="shared" si="27"/>
        <v>55</v>
      </c>
      <c r="N846" s="3" t="str">
        <f>VLOOKUP(Table2[[#This Row],[Tulu/kulu liik2]],Table5[[Tulu/kulu liik]:[Kontode koondnimetus]],4,FALSE)</f>
        <v>Muud tegevuskulud</v>
      </c>
      <c r="O846" s="34" t="str">
        <f>VLOOKUP(Table2[[#This Row],[Tulu/kulu liik2]],Table5[],6,FALSE)</f>
        <v>Majandamiskulud</v>
      </c>
      <c r="P846" s="3" t="str">
        <f>VLOOKUP(Table2[[#This Row],[Tulu/kulu liik2]],Table5[],5,FALSE)</f>
        <v>Põhitegevuse kulu</v>
      </c>
    </row>
    <row r="847" spans="1:16" hidden="1" x14ac:dyDescent="0.25">
      <c r="A847" t="str">
        <f t="shared" si="26"/>
        <v>09</v>
      </c>
      <c r="B847" t="s">
        <v>247</v>
      </c>
      <c r="C847" s="3" t="str">
        <f>VLOOKUP(Table2[[#This Row],[Tegevusala]],Table4[],2,FALSE)</f>
        <v xml:space="preserve"> Roela kool</v>
      </c>
      <c r="D847" s="3" t="str">
        <f>VLOOKUP(Table2[[#This Row],[Tegevusala]],Table4[[Tegevusala kood]:[Tegevusala alanimetus]],4,FALSE)</f>
        <v>Põhihariduse otsekulud</v>
      </c>
      <c r="E847" s="3" t="str">
        <f>VLOOKUP(Table2[[#This Row],[Tegevusala nimetus2]],Table4[[Tegevusala nimetus]:[Tegevusala koondnimetus]],2,FALSE)</f>
        <v>Haridus</v>
      </c>
      <c r="F847" t="s">
        <v>166</v>
      </c>
      <c r="G847" t="s">
        <v>167</v>
      </c>
      <c r="H847" s="40">
        <v>1140</v>
      </c>
      <c r="I847" s="2" t="s">
        <v>168</v>
      </c>
      <c r="J847">
        <v>5500</v>
      </c>
      <c r="K847" s="3" t="str">
        <f>VLOOKUP(Table2[[#This Row],[Konto]],Table5[[Konto]:[Konto nimetus]],2,FALSE)</f>
        <v>Administreerimiskulud</v>
      </c>
      <c r="L847">
        <v>55</v>
      </c>
      <c r="M847" t="str">
        <f t="shared" si="27"/>
        <v>55</v>
      </c>
      <c r="N847" t="str">
        <f>VLOOKUP(Table2[[#This Row],[Tulu/kulu liik2]],Table5[[Tulu/kulu liik]:[Kontode koondnimetus]],4,FALSE)</f>
        <v>Muud tegevuskulud</v>
      </c>
      <c r="O847" t="str">
        <f>VLOOKUP(Table2[[#This Row],[Tulu/kulu liik2]],Table5[],6,FALSE)</f>
        <v>Majandamiskulud</v>
      </c>
      <c r="P847" s="3" t="str">
        <f>VLOOKUP(Table2[[#This Row],[Tulu/kulu liik2]],Table5[],5,FALSE)</f>
        <v>Põhitegevuse kulu</v>
      </c>
    </row>
    <row r="848" spans="1:16" hidden="1" x14ac:dyDescent="0.25">
      <c r="A848" t="str">
        <f t="shared" si="26"/>
        <v>09</v>
      </c>
      <c r="B848" t="s">
        <v>247</v>
      </c>
      <c r="C848" s="3" t="str">
        <f>VLOOKUP(Table2[[#This Row],[Tegevusala]],Table4[],2,FALSE)</f>
        <v xml:space="preserve"> Roela kool</v>
      </c>
      <c r="D848" s="3" t="str">
        <f>VLOOKUP(Table2[[#This Row],[Tegevusala]],Table4[[Tegevusala kood]:[Tegevusala alanimetus]],4,FALSE)</f>
        <v>Põhihariduse otsekulud</v>
      </c>
      <c r="E848" s="3" t="str">
        <f>VLOOKUP(Table2[[#This Row],[Tegevusala nimetus2]],Table4[[Tegevusala nimetus]:[Tegevusala koondnimetus]],2,FALSE)</f>
        <v>Haridus</v>
      </c>
      <c r="F848" t="s">
        <v>166</v>
      </c>
      <c r="G848" t="s">
        <v>169</v>
      </c>
      <c r="H848" s="40">
        <v>50</v>
      </c>
      <c r="J848">
        <v>5500</v>
      </c>
      <c r="K848" s="3" t="str">
        <f>VLOOKUP(Table2[[#This Row],[Konto]],Table5[[Konto]:[Konto nimetus]],2,FALSE)</f>
        <v>Administreerimiskulud</v>
      </c>
      <c r="L848">
        <v>55</v>
      </c>
      <c r="M848" t="str">
        <f t="shared" si="27"/>
        <v>55</v>
      </c>
      <c r="N848" t="str">
        <f>VLOOKUP(Table2[[#This Row],[Tulu/kulu liik2]],Table5[[Tulu/kulu liik]:[Kontode koondnimetus]],4,FALSE)</f>
        <v>Muud tegevuskulud</v>
      </c>
      <c r="O848" t="str">
        <f>VLOOKUP(Table2[[#This Row],[Tulu/kulu liik2]],Table5[],6,FALSE)</f>
        <v>Majandamiskulud</v>
      </c>
      <c r="P848" s="3" t="str">
        <f>VLOOKUP(Table2[[#This Row],[Tulu/kulu liik2]],Table5[],5,FALSE)</f>
        <v>Põhitegevuse kulu</v>
      </c>
    </row>
    <row r="849" spans="1:16" hidden="1" x14ac:dyDescent="0.25">
      <c r="A849" t="str">
        <f t="shared" si="26"/>
        <v>09</v>
      </c>
      <c r="B849" t="s">
        <v>247</v>
      </c>
      <c r="C849" s="3" t="str">
        <f>VLOOKUP(Table2[[#This Row],[Tegevusala]],Table4[],2,FALSE)</f>
        <v xml:space="preserve"> Roela kool</v>
      </c>
      <c r="D849" s="3" t="str">
        <f>VLOOKUP(Table2[[#This Row],[Tegevusala]],Table4[[Tegevusala kood]:[Tegevusala alanimetus]],4,FALSE)</f>
        <v>Põhihariduse otsekulud</v>
      </c>
      <c r="E849" s="3" t="str">
        <f>VLOOKUP(Table2[[#This Row],[Tegevusala nimetus2]],Table4[[Tegevusala nimetus]:[Tegevusala koondnimetus]],2,FALSE)</f>
        <v>Haridus</v>
      </c>
      <c r="F849" t="s">
        <v>166</v>
      </c>
      <c r="G849" t="s">
        <v>170</v>
      </c>
      <c r="H849" s="40">
        <v>1200</v>
      </c>
      <c r="J849">
        <v>5500</v>
      </c>
      <c r="K849" s="3" t="str">
        <f>VLOOKUP(Table2[[#This Row],[Konto]],Table5[[Konto]:[Konto nimetus]],2,FALSE)</f>
        <v>Administreerimiskulud</v>
      </c>
      <c r="L849">
        <v>55</v>
      </c>
      <c r="M849" t="str">
        <f t="shared" si="27"/>
        <v>55</v>
      </c>
      <c r="N849" t="str">
        <f>VLOOKUP(Table2[[#This Row],[Tulu/kulu liik2]],Table5[[Tulu/kulu liik]:[Kontode koondnimetus]],4,FALSE)</f>
        <v>Muud tegevuskulud</v>
      </c>
      <c r="O849" t="str">
        <f>VLOOKUP(Table2[[#This Row],[Tulu/kulu liik2]],Table5[],6,FALSE)</f>
        <v>Majandamiskulud</v>
      </c>
      <c r="P849" s="3" t="str">
        <f>VLOOKUP(Table2[[#This Row],[Tulu/kulu liik2]],Table5[],5,FALSE)</f>
        <v>Põhitegevuse kulu</v>
      </c>
    </row>
    <row r="850" spans="1:16" hidden="1" x14ac:dyDescent="0.25">
      <c r="A850" t="str">
        <f t="shared" si="26"/>
        <v>09</v>
      </c>
      <c r="B850" t="s">
        <v>247</v>
      </c>
      <c r="C850" s="3" t="str">
        <f>VLOOKUP(Table2[[#This Row],[Tegevusala]],Table4[],2,FALSE)</f>
        <v xml:space="preserve"> Roela kool</v>
      </c>
      <c r="D850" s="3" t="str">
        <f>VLOOKUP(Table2[[#This Row],[Tegevusala]],Table4[[Tegevusala kood]:[Tegevusala alanimetus]],4,FALSE)</f>
        <v>Põhihariduse otsekulud</v>
      </c>
      <c r="E850" s="3" t="str">
        <f>VLOOKUP(Table2[[#This Row],[Tegevusala nimetus2]],Table4[[Tegevusala nimetus]:[Tegevusala koondnimetus]],2,FALSE)</f>
        <v>Haridus</v>
      </c>
      <c r="F850" t="s">
        <v>166</v>
      </c>
      <c r="G850" t="s">
        <v>171</v>
      </c>
      <c r="H850" s="40">
        <v>24</v>
      </c>
      <c r="J850">
        <v>5500</v>
      </c>
      <c r="K850" s="3" t="str">
        <f>VLOOKUP(Table2[[#This Row],[Konto]],Table5[[Konto]:[Konto nimetus]],2,FALSE)</f>
        <v>Administreerimiskulud</v>
      </c>
      <c r="L850">
        <v>55</v>
      </c>
      <c r="M850" t="str">
        <f t="shared" si="27"/>
        <v>55</v>
      </c>
      <c r="N850" t="str">
        <f>VLOOKUP(Table2[[#This Row],[Tulu/kulu liik2]],Table5[[Tulu/kulu liik]:[Kontode koondnimetus]],4,FALSE)</f>
        <v>Muud tegevuskulud</v>
      </c>
      <c r="O850" t="str">
        <f>VLOOKUP(Table2[[#This Row],[Tulu/kulu liik2]],Table5[],6,FALSE)</f>
        <v>Majandamiskulud</v>
      </c>
      <c r="P850" s="3" t="str">
        <f>VLOOKUP(Table2[[#This Row],[Tulu/kulu liik2]],Table5[],5,FALSE)</f>
        <v>Põhitegevuse kulu</v>
      </c>
    </row>
    <row r="851" spans="1:16" hidden="1" x14ac:dyDescent="0.25">
      <c r="A851" t="str">
        <f t="shared" si="26"/>
        <v>09</v>
      </c>
      <c r="B851" t="s">
        <v>247</v>
      </c>
      <c r="C851" s="3" t="str">
        <f>VLOOKUP(Table2[[#This Row],[Tegevusala]],Table4[],2,FALSE)</f>
        <v xml:space="preserve"> Roela kool</v>
      </c>
      <c r="D851" s="3" t="str">
        <f>VLOOKUP(Table2[[#This Row],[Tegevusala]],Table4[[Tegevusala kood]:[Tegevusala alanimetus]],4,FALSE)</f>
        <v>Põhihariduse otsekulud</v>
      </c>
      <c r="E851" s="3" t="str">
        <f>VLOOKUP(Table2[[#This Row],[Tegevusala nimetus2]],Table4[[Tegevusala nimetus]:[Tegevusala koondnimetus]],2,FALSE)</f>
        <v>Haridus</v>
      </c>
      <c r="F851" t="s">
        <v>166</v>
      </c>
      <c r="G851" t="s">
        <v>172</v>
      </c>
      <c r="H851" s="40">
        <v>200</v>
      </c>
      <c r="J851">
        <v>5500</v>
      </c>
      <c r="K851" s="3" t="str">
        <f>VLOOKUP(Table2[[#This Row],[Konto]],Table5[[Konto]:[Konto nimetus]],2,FALSE)</f>
        <v>Administreerimiskulud</v>
      </c>
      <c r="L851">
        <v>55</v>
      </c>
      <c r="M851" t="str">
        <f t="shared" si="27"/>
        <v>55</v>
      </c>
      <c r="N851" t="str">
        <f>VLOOKUP(Table2[[#This Row],[Tulu/kulu liik2]],Table5[[Tulu/kulu liik]:[Kontode koondnimetus]],4,FALSE)</f>
        <v>Muud tegevuskulud</v>
      </c>
      <c r="O851" t="str">
        <f>VLOOKUP(Table2[[#This Row],[Tulu/kulu liik2]],Table5[],6,FALSE)</f>
        <v>Majandamiskulud</v>
      </c>
      <c r="P851" s="3" t="str">
        <f>VLOOKUP(Table2[[#This Row],[Tulu/kulu liik2]],Table5[],5,FALSE)</f>
        <v>Põhitegevuse kulu</v>
      </c>
    </row>
    <row r="852" spans="1:16" hidden="1" x14ac:dyDescent="0.25">
      <c r="A852" t="str">
        <f t="shared" si="26"/>
        <v>09</v>
      </c>
      <c r="B852" t="s">
        <v>247</v>
      </c>
      <c r="C852" s="3" t="str">
        <f>VLOOKUP(Table2[[#This Row],[Tegevusala]],Table4[],2,FALSE)</f>
        <v xml:space="preserve"> Roela kool</v>
      </c>
      <c r="D852" s="3" t="str">
        <f>VLOOKUP(Table2[[#This Row],[Tegevusala]],Table4[[Tegevusala kood]:[Tegevusala alanimetus]],4,FALSE)</f>
        <v>Põhihariduse otsekulud</v>
      </c>
      <c r="E852" s="3" t="str">
        <f>VLOOKUP(Table2[[#This Row],[Tegevusala nimetus2]],Table4[[Tegevusala nimetus]:[Tegevusala koondnimetus]],2,FALSE)</f>
        <v>Haridus</v>
      </c>
      <c r="F852" t="s">
        <v>166</v>
      </c>
      <c r="G852" t="s">
        <v>173</v>
      </c>
      <c r="H852" s="40">
        <v>276</v>
      </c>
      <c r="I852" s="2" t="s">
        <v>174</v>
      </c>
      <c r="J852">
        <v>5500</v>
      </c>
      <c r="K852" s="3" t="str">
        <f>VLOOKUP(Table2[[#This Row],[Konto]],Table5[[Konto]:[Konto nimetus]],2,FALSE)</f>
        <v>Administreerimiskulud</v>
      </c>
      <c r="L852">
        <v>55</v>
      </c>
      <c r="M852" t="str">
        <f t="shared" si="27"/>
        <v>55</v>
      </c>
      <c r="N852" t="str">
        <f>VLOOKUP(Table2[[#This Row],[Tulu/kulu liik2]],Table5[[Tulu/kulu liik]:[Kontode koondnimetus]],4,FALSE)</f>
        <v>Muud tegevuskulud</v>
      </c>
      <c r="O852" t="str">
        <f>VLOOKUP(Table2[[#This Row],[Tulu/kulu liik2]],Table5[],6,FALSE)</f>
        <v>Majandamiskulud</v>
      </c>
      <c r="P852" s="3" t="str">
        <f>VLOOKUP(Table2[[#This Row],[Tulu/kulu liik2]],Table5[],5,FALSE)</f>
        <v>Põhitegevuse kulu</v>
      </c>
    </row>
    <row r="853" spans="1:16" hidden="1" x14ac:dyDescent="0.25">
      <c r="A853" t="str">
        <f t="shared" si="26"/>
        <v>09</v>
      </c>
      <c r="B853" t="s">
        <v>247</v>
      </c>
      <c r="C853" s="3" t="str">
        <f>VLOOKUP(Table2[[#This Row],[Tegevusala]],Table4[],2,FALSE)</f>
        <v xml:space="preserve"> Roela kool</v>
      </c>
      <c r="D853" s="3" t="str">
        <f>VLOOKUP(Table2[[#This Row],[Tegevusala]],Table4[[Tegevusala kood]:[Tegevusala alanimetus]],4,FALSE)</f>
        <v>Põhihariduse otsekulud</v>
      </c>
      <c r="E853" s="3" t="str">
        <f>VLOOKUP(Table2[[#This Row],[Tegevusala nimetus2]],Table4[[Tegevusala nimetus]:[Tegevusala koondnimetus]],2,FALSE)</f>
        <v>Haridus</v>
      </c>
      <c r="F853" t="s">
        <v>166</v>
      </c>
      <c r="G853" t="s">
        <v>175</v>
      </c>
      <c r="H853" s="40">
        <v>100</v>
      </c>
      <c r="J853">
        <v>5500</v>
      </c>
      <c r="K853" s="3" t="str">
        <f>VLOOKUP(Table2[[#This Row],[Konto]],Table5[[Konto]:[Konto nimetus]],2,FALSE)</f>
        <v>Administreerimiskulud</v>
      </c>
      <c r="L853">
        <v>55</v>
      </c>
      <c r="M853" t="str">
        <f t="shared" si="27"/>
        <v>55</v>
      </c>
      <c r="N853" t="str">
        <f>VLOOKUP(Table2[[#This Row],[Tulu/kulu liik2]],Table5[[Tulu/kulu liik]:[Kontode koondnimetus]],4,FALSE)</f>
        <v>Muud tegevuskulud</v>
      </c>
      <c r="O853" t="str">
        <f>VLOOKUP(Table2[[#This Row],[Tulu/kulu liik2]],Table5[],6,FALSE)</f>
        <v>Majandamiskulud</v>
      </c>
      <c r="P853" s="3" t="str">
        <f>VLOOKUP(Table2[[#This Row],[Tulu/kulu liik2]],Table5[],5,FALSE)</f>
        <v>Põhitegevuse kulu</v>
      </c>
    </row>
    <row r="854" spans="1:16" hidden="1" x14ac:dyDescent="0.25">
      <c r="A854" t="str">
        <f t="shared" si="26"/>
        <v>09</v>
      </c>
      <c r="B854" t="s">
        <v>247</v>
      </c>
      <c r="C854" s="3" t="str">
        <f>VLOOKUP(Table2[[#This Row],[Tegevusala]],Table4[],2,FALSE)</f>
        <v xml:space="preserve"> Roela kool</v>
      </c>
      <c r="D854" s="3" t="str">
        <f>VLOOKUP(Table2[[#This Row],[Tegevusala]],Table4[[Tegevusala kood]:[Tegevusala alanimetus]],4,FALSE)</f>
        <v>Põhihariduse otsekulud</v>
      </c>
      <c r="E854" s="3" t="str">
        <f>VLOOKUP(Table2[[#This Row],[Tegevusala nimetus2]],Table4[[Tegevusala nimetus]:[Tegevusala koondnimetus]],2,FALSE)</f>
        <v>Haridus</v>
      </c>
      <c r="F854" t="s">
        <v>166</v>
      </c>
      <c r="G854" t="s">
        <v>176</v>
      </c>
      <c r="H854" s="40">
        <f>2750-1100</f>
        <v>1650</v>
      </c>
      <c r="J854">
        <v>5504</v>
      </c>
      <c r="K854" s="3" t="str">
        <f>VLOOKUP(Table2[[#This Row],[Konto]],Table5[[Konto]:[Konto nimetus]],2,FALSE)</f>
        <v>Koolituskulud</v>
      </c>
      <c r="L854">
        <v>55</v>
      </c>
      <c r="M854" t="str">
        <f t="shared" si="27"/>
        <v>55</v>
      </c>
      <c r="N854" t="str">
        <f>VLOOKUP(Table2[[#This Row],[Tulu/kulu liik2]],Table5[[Tulu/kulu liik]:[Kontode koondnimetus]],4,FALSE)</f>
        <v>Muud tegevuskulud</v>
      </c>
      <c r="O854" t="str">
        <f>VLOOKUP(Table2[[#This Row],[Tulu/kulu liik2]],Table5[],6,FALSE)</f>
        <v>Majandamiskulud</v>
      </c>
      <c r="P854" s="3" t="str">
        <f>VLOOKUP(Table2[[#This Row],[Tulu/kulu liik2]],Table5[],5,FALSE)</f>
        <v>Põhitegevuse kulu</v>
      </c>
    </row>
    <row r="855" spans="1:16" hidden="1" x14ac:dyDescent="0.25">
      <c r="A855" t="str">
        <f t="shared" si="26"/>
        <v>09</v>
      </c>
      <c r="B855" t="s">
        <v>247</v>
      </c>
      <c r="C855" s="3" t="str">
        <f>VLOOKUP(Table2[[#This Row],[Tegevusala]],Table4[],2,FALSE)</f>
        <v xml:space="preserve"> Roela kool</v>
      </c>
      <c r="D855" s="3" t="str">
        <f>VLOOKUP(Table2[[#This Row],[Tegevusala]],Table4[[Tegevusala kood]:[Tegevusala alanimetus]],4,FALSE)</f>
        <v>Põhihariduse otsekulud</v>
      </c>
      <c r="E855" s="3" t="str">
        <f>VLOOKUP(Table2[[#This Row],[Tegevusala nimetus2]],Table4[[Tegevusala nimetus]:[Tegevusala koondnimetus]],2,FALSE)</f>
        <v>Haridus</v>
      </c>
      <c r="F855" t="s">
        <v>166</v>
      </c>
      <c r="G855" t="s">
        <v>197</v>
      </c>
      <c r="H855" s="40">
        <v>620</v>
      </c>
      <c r="J855">
        <v>5513</v>
      </c>
      <c r="K855" s="3" t="str">
        <f>VLOOKUP(Table2[[#This Row],[Konto]],Table5[[Konto]:[Konto nimetus]],2,FALSE)</f>
        <v>Sõidukite ülalpidamise kulud</v>
      </c>
      <c r="L855">
        <v>55</v>
      </c>
      <c r="M855" t="str">
        <f t="shared" si="27"/>
        <v>55</v>
      </c>
      <c r="N855" t="str">
        <f>VLOOKUP(Table2[[#This Row],[Tulu/kulu liik2]],Table5[[Tulu/kulu liik]:[Kontode koondnimetus]],4,FALSE)</f>
        <v>Muud tegevuskulud</v>
      </c>
      <c r="O855" t="str">
        <f>VLOOKUP(Table2[[#This Row],[Tulu/kulu liik2]],Table5[],6,FALSE)</f>
        <v>Majandamiskulud</v>
      </c>
      <c r="P855" s="3" t="str">
        <f>VLOOKUP(Table2[[#This Row],[Tulu/kulu liik2]],Table5[],5,FALSE)</f>
        <v>Põhitegevuse kulu</v>
      </c>
    </row>
    <row r="856" spans="1:16" hidden="1" x14ac:dyDescent="0.25">
      <c r="A856" t="str">
        <f t="shared" si="26"/>
        <v>09</v>
      </c>
      <c r="B856" t="s">
        <v>247</v>
      </c>
      <c r="C856" s="3" t="str">
        <f>VLOOKUP(Table2[[#This Row],[Tegevusala]],Table4[],2,FALSE)</f>
        <v xml:space="preserve"> Roela kool</v>
      </c>
      <c r="D856" s="3" t="str">
        <f>VLOOKUP(Table2[[#This Row],[Tegevusala]],Table4[[Tegevusala kood]:[Tegevusala alanimetus]],4,FALSE)</f>
        <v>Põhihariduse otsekulud</v>
      </c>
      <c r="E856" s="3" t="str">
        <f>VLOOKUP(Table2[[#This Row],[Tegevusala nimetus2]],Table4[[Tegevusala nimetus]:[Tegevusala koondnimetus]],2,FALSE)</f>
        <v>Haridus</v>
      </c>
      <c r="F856" t="s">
        <v>166</v>
      </c>
      <c r="G856" t="s">
        <v>198</v>
      </c>
      <c r="H856" s="40">
        <v>2700</v>
      </c>
      <c r="J856">
        <v>5513</v>
      </c>
      <c r="K856" s="3" t="str">
        <f>VLOOKUP(Table2[[#This Row],[Konto]],Table5[[Konto]:[Konto nimetus]],2,FALSE)</f>
        <v>Sõidukite ülalpidamise kulud</v>
      </c>
      <c r="L856">
        <v>55</v>
      </c>
      <c r="M856" t="str">
        <f t="shared" si="27"/>
        <v>55</v>
      </c>
      <c r="N856" t="str">
        <f>VLOOKUP(Table2[[#This Row],[Tulu/kulu liik2]],Table5[[Tulu/kulu liik]:[Kontode koondnimetus]],4,FALSE)</f>
        <v>Muud tegevuskulud</v>
      </c>
      <c r="O856" t="str">
        <f>VLOOKUP(Table2[[#This Row],[Tulu/kulu liik2]],Table5[],6,FALSE)</f>
        <v>Majandamiskulud</v>
      </c>
      <c r="P856" s="3" t="str">
        <f>VLOOKUP(Table2[[#This Row],[Tulu/kulu liik2]],Table5[],5,FALSE)</f>
        <v>Põhitegevuse kulu</v>
      </c>
    </row>
    <row r="857" spans="1:16" hidden="1" x14ac:dyDescent="0.25">
      <c r="A857" t="str">
        <f t="shared" si="26"/>
        <v>09</v>
      </c>
      <c r="B857" t="s">
        <v>247</v>
      </c>
      <c r="C857" s="3" t="str">
        <f>VLOOKUP(Table2[[#This Row],[Tegevusala]],Table4[],2,FALSE)</f>
        <v xml:space="preserve"> Roela kool</v>
      </c>
      <c r="D857" s="3" t="str">
        <f>VLOOKUP(Table2[[#This Row],[Tegevusala]],Table4[[Tegevusala kood]:[Tegevusala alanimetus]],4,FALSE)</f>
        <v>Põhihariduse otsekulud</v>
      </c>
      <c r="E857" s="3" t="str">
        <f>VLOOKUP(Table2[[#This Row],[Tegevusala nimetus2]],Table4[[Tegevusala nimetus]:[Tegevusala koondnimetus]],2,FALSE)</f>
        <v>Haridus</v>
      </c>
      <c r="F857" t="s">
        <v>166</v>
      </c>
      <c r="G857" t="s">
        <v>199</v>
      </c>
      <c r="H857" s="40">
        <v>1000</v>
      </c>
      <c r="J857">
        <v>5513</v>
      </c>
      <c r="K857" s="3" t="str">
        <f>VLOOKUP(Table2[[#This Row],[Konto]],Table5[[Konto]:[Konto nimetus]],2,FALSE)</f>
        <v>Sõidukite ülalpidamise kulud</v>
      </c>
      <c r="L857">
        <v>55</v>
      </c>
      <c r="M857" t="str">
        <f t="shared" si="27"/>
        <v>55</v>
      </c>
      <c r="N857" t="str">
        <f>VLOOKUP(Table2[[#This Row],[Tulu/kulu liik2]],Table5[[Tulu/kulu liik]:[Kontode koondnimetus]],4,FALSE)</f>
        <v>Muud tegevuskulud</v>
      </c>
      <c r="O857" t="str">
        <f>VLOOKUP(Table2[[#This Row],[Tulu/kulu liik2]],Table5[],6,FALSE)</f>
        <v>Majandamiskulud</v>
      </c>
      <c r="P857" s="3" t="str">
        <f>VLOOKUP(Table2[[#This Row],[Tulu/kulu liik2]],Table5[],5,FALSE)</f>
        <v>Põhitegevuse kulu</v>
      </c>
    </row>
    <row r="858" spans="1:16" hidden="1" x14ac:dyDescent="0.25">
      <c r="A858" t="str">
        <f t="shared" si="26"/>
        <v>09</v>
      </c>
      <c r="B858" t="s">
        <v>247</v>
      </c>
      <c r="C858" s="3" t="str">
        <f>VLOOKUP(Table2[[#This Row],[Tegevusala]],Table4[],2,FALSE)</f>
        <v xml:space="preserve"> Roela kool</v>
      </c>
      <c r="D858" s="3" t="str">
        <f>VLOOKUP(Table2[[#This Row],[Tegevusala]],Table4[[Tegevusala kood]:[Tegevusala alanimetus]],4,FALSE)</f>
        <v>Põhihariduse otsekulud</v>
      </c>
      <c r="E858" s="3" t="str">
        <f>VLOOKUP(Table2[[#This Row],[Tegevusala nimetus2]],Table4[[Tegevusala nimetus]:[Tegevusala koondnimetus]],2,FALSE)</f>
        <v>Haridus</v>
      </c>
      <c r="F858" t="s">
        <v>166</v>
      </c>
      <c r="G858" t="s">
        <v>200</v>
      </c>
      <c r="H858" s="40">
        <v>640</v>
      </c>
      <c r="I858" s="2" t="s">
        <v>201</v>
      </c>
      <c r="J858">
        <v>5513</v>
      </c>
      <c r="K858" s="3" t="str">
        <f>VLOOKUP(Table2[[#This Row],[Konto]],Table5[[Konto]:[Konto nimetus]],2,FALSE)</f>
        <v>Sõidukite ülalpidamise kulud</v>
      </c>
      <c r="L858">
        <v>55</v>
      </c>
      <c r="M858" t="str">
        <f t="shared" si="27"/>
        <v>55</v>
      </c>
      <c r="N858" t="str">
        <f>VLOOKUP(Table2[[#This Row],[Tulu/kulu liik2]],Table5[[Tulu/kulu liik]:[Kontode koondnimetus]],4,FALSE)</f>
        <v>Muud tegevuskulud</v>
      </c>
      <c r="O858" t="str">
        <f>VLOOKUP(Table2[[#This Row],[Tulu/kulu liik2]],Table5[],6,FALSE)</f>
        <v>Majandamiskulud</v>
      </c>
      <c r="P858" s="3" t="str">
        <f>VLOOKUP(Table2[[#This Row],[Tulu/kulu liik2]],Table5[],5,FALSE)</f>
        <v>Põhitegevuse kulu</v>
      </c>
    </row>
    <row r="859" spans="1:16" hidden="1" x14ac:dyDescent="0.25">
      <c r="A859" t="str">
        <f t="shared" si="26"/>
        <v>09</v>
      </c>
      <c r="B859" t="s">
        <v>247</v>
      </c>
      <c r="C859" s="3" t="str">
        <f>VLOOKUP(Table2[[#This Row],[Tegevusala]],Table4[],2,FALSE)</f>
        <v xml:space="preserve"> Roela kool</v>
      </c>
      <c r="D859" s="3" t="str">
        <f>VLOOKUP(Table2[[#This Row],[Tegevusala]],Table4[[Tegevusala kood]:[Tegevusala alanimetus]],4,FALSE)</f>
        <v>Põhihariduse otsekulud</v>
      </c>
      <c r="E859" s="3" t="str">
        <f>VLOOKUP(Table2[[#This Row],[Tegevusala nimetus2]],Table4[[Tegevusala nimetus]:[Tegevusala koondnimetus]],2,FALSE)</f>
        <v>Haridus</v>
      </c>
      <c r="F859" t="s">
        <v>166</v>
      </c>
      <c r="G859" t="s">
        <v>200</v>
      </c>
      <c r="H859" s="40">
        <v>640</v>
      </c>
      <c r="I859" s="2" t="s">
        <v>202</v>
      </c>
      <c r="J859">
        <v>5513</v>
      </c>
      <c r="K859" s="3" t="str">
        <f>VLOOKUP(Table2[[#This Row],[Konto]],Table5[[Konto]:[Konto nimetus]],2,FALSE)</f>
        <v>Sõidukite ülalpidamise kulud</v>
      </c>
      <c r="L859">
        <v>55</v>
      </c>
      <c r="M859" t="str">
        <f t="shared" si="27"/>
        <v>55</v>
      </c>
      <c r="N859" t="str">
        <f>VLOOKUP(Table2[[#This Row],[Tulu/kulu liik2]],Table5[[Tulu/kulu liik]:[Kontode koondnimetus]],4,FALSE)</f>
        <v>Muud tegevuskulud</v>
      </c>
      <c r="O859" t="str">
        <f>VLOOKUP(Table2[[#This Row],[Tulu/kulu liik2]],Table5[],6,FALSE)</f>
        <v>Majandamiskulud</v>
      </c>
      <c r="P859" s="3" t="str">
        <f>VLOOKUP(Table2[[#This Row],[Tulu/kulu liik2]],Table5[],5,FALSE)</f>
        <v>Põhitegevuse kulu</v>
      </c>
    </row>
    <row r="860" spans="1:16" hidden="1" x14ac:dyDescent="0.25">
      <c r="A860" t="str">
        <f t="shared" si="26"/>
        <v>09</v>
      </c>
      <c r="B860" t="s">
        <v>247</v>
      </c>
      <c r="C860" s="3" t="str">
        <f>VLOOKUP(Table2[[#This Row],[Tegevusala]],Table4[],2,FALSE)</f>
        <v xml:space="preserve"> Roela kool</v>
      </c>
      <c r="D860" s="3" t="str">
        <f>VLOOKUP(Table2[[#This Row],[Tegevusala]],Table4[[Tegevusala kood]:[Tegevusala alanimetus]],4,FALSE)</f>
        <v>Põhihariduse otsekulud</v>
      </c>
      <c r="E860" s="3" t="str">
        <f>VLOOKUP(Table2[[#This Row],[Tegevusala nimetus2]],Table4[[Tegevusala nimetus]:[Tegevusala koondnimetus]],2,FALSE)</f>
        <v>Haridus</v>
      </c>
      <c r="F860" t="s">
        <v>166</v>
      </c>
      <c r="G860" t="s">
        <v>200</v>
      </c>
      <c r="H860" s="40">
        <v>640</v>
      </c>
      <c r="I860" s="2" t="s">
        <v>203</v>
      </c>
      <c r="J860">
        <v>5513</v>
      </c>
      <c r="K860" s="3" t="str">
        <f>VLOOKUP(Table2[[#This Row],[Konto]],Table5[[Konto]:[Konto nimetus]],2,FALSE)</f>
        <v>Sõidukite ülalpidamise kulud</v>
      </c>
      <c r="L860">
        <v>55</v>
      </c>
      <c r="M860" t="str">
        <f t="shared" si="27"/>
        <v>55</v>
      </c>
      <c r="N860" t="str">
        <f>VLOOKUP(Table2[[#This Row],[Tulu/kulu liik2]],Table5[[Tulu/kulu liik]:[Kontode koondnimetus]],4,FALSE)</f>
        <v>Muud tegevuskulud</v>
      </c>
      <c r="O860" t="str">
        <f>VLOOKUP(Table2[[#This Row],[Tulu/kulu liik2]],Table5[],6,FALSE)</f>
        <v>Majandamiskulud</v>
      </c>
      <c r="P860" s="3" t="str">
        <f>VLOOKUP(Table2[[#This Row],[Tulu/kulu liik2]],Table5[],5,FALSE)</f>
        <v>Põhitegevuse kulu</v>
      </c>
    </row>
    <row r="861" spans="1:16" hidden="1" x14ac:dyDescent="0.25">
      <c r="A861" t="str">
        <f t="shared" si="26"/>
        <v>09</v>
      </c>
      <c r="B861" t="s">
        <v>247</v>
      </c>
      <c r="C861" s="3" t="str">
        <f>VLOOKUP(Table2[[#This Row],[Tegevusala]],Table4[],2,FALSE)</f>
        <v xml:space="preserve"> Roela kool</v>
      </c>
      <c r="D861" s="3" t="str">
        <f>VLOOKUP(Table2[[#This Row],[Tegevusala]],Table4[[Tegevusala kood]:[Tegevusala alanimetus]],4,FALSE)</f>
        <v>Põhihariduse otsekulud</v>
      </c>
      <c r="E861" s="3" t="str">
        <f>VLOOKUP(Table2[[#This Row],[Tegevusala nimetus2]],Table4[[Tegevusala nimetus]:[Tegevusala koondnimetus]],2,FALSE)</f>
        <v>Haridus</v>
      </c>
      <c r="F861" t="s">
        <v>166</v>
      </c>
      <c r="G861" t="s">
        <v>200</v>
      </c>
      <c r="H861" s="40">
        <v>640</v>
      </c>
      <c r="I861" s="2" t="s">
        <v>204</v>
      </c>
      <c r="J861">
        <v>5513</v>
      </c>
      <c r="K861" s="3" t="str">
        <f>VLOOKUP(Table2[[#This Row],[Konto]],Table5[[Konto]:[Konto nimetus]],2,FALSE)</f>
        <v>Sõidukite ülalpidamise kulud</v>
      </c>
      <c r="L861">
        <v>55</v>
      </c>
      <c r="M861" t="str">
        <f t="shared" si="27"/>
        <v>55</v>
      </c>
      <c r="N861" t="str">
        <f>VLOOKUP(Table2[[#This Row],[Tulu/kulu liik2]],Table5[[Tulu/kulu liik]:[Kontode koondnimetus]],4,FALSE)</f>
        <v>Muud tegevuskulud</v>
      </c>
      <c r="O861" t="str">
        <f>VLOOKUP(Table2[[#This Row],[Tulu/kulu liik2]],Table5[],6,FALSE)</f>
        <v>Majandamiskulud</v>
      </c>
      <c r="P861" s="3" t="str">
        <f>VLOOKUP(Table2[[#This Row],[Tulu/kulu liik2]],Table5[],5,FALSE)</f>
        <v>Põhitegevuse kulu</v>
      </c>
    </row>
    <row r="862" spans="1:16" hidden="1" x14ac:dyDescent="0.25">
      <c r="A862" t="str">
        <f t="shared" si="26"/>
        <v>09</v>
      </c>
      <c r="B862" t="s">
        <v>247</v>
      </c>
      <c r="C862" s="3" t="str">
        <f>VLOOKUP(Table2[[#This Row],[Tegevusala]],Table4[],2,FALSE)</f>
        <v xml:space="preserve"> Roela kool</v>
      </c>
      <c r="D862" s="3" t="str">
        <f>VLOOKUP(Table2[[#This Row],[Tegevusala]],Table4[[Tegevusala kood]:[Tegevusala alanimetus]],4,FALSE)</f>
        <v>Põhihariduse otsekulud</v>
      </c>
      <c r="E862" s="3" t="str">
        <f>VLOOKUP(Table2[[#This Row],[Tegevusala nimetus2]],Table4[[Tegevusala nimetus]:[Tegevusala koondnimetus]],2,FALSE)</f>
        <v>Haridus</v>
      </c>
      <c r="F862" t="s">
        <v>166</v>
      </c>
      <c r="G862" t="s">
        <v>200</v>
      </c>
      <c r="H862" s="40">
        <v>704</v>
      </c>
      <c r="I862" s="2" t="s">
        <v>205</v>
      </c>
      <c r="J862">
        <v>5513</v>
      </c>
      <c r="K862" s="3" t="str">
        <f>VLOOKUP(Table2[[#This Row],[Konto]],Table5[[Konto]:[Konto nimetus]],2,FALSE)</f>
        <v>Sõidukite ülalpidamise kulud</v>
      </c>
      <c r="L862">
        <v>55</v>
      </c>
      <c r="M862" t="str">
        <f t="shared" si="27"/>
        <v>55</v>
      </c>
      <c r="N862" t="str">
        <f>VLOOKUP(Table2[[#This Row],[Tulu/kulu liik2]],Table5[[Tulu/kulu liik]:[Kontode koondnimetus]],4,FALSE)</f>
        <v>Muud tegevuskulud</v>
      </c>
      <c r="O862" t="str">
        <f>VLOOKUP(Table2[[#This Row],[Tulu/kulu liik2]],Table5[],6,FALSE)</f>
        <v>Majandamiskulud</v>
      </c>
      <c r="P862" s="3" t="str">
        <f>VLOOKUP(Table2[[#This Row],[Tulu/kulu liik2]],Table5[],5,FALSE)</f>
        <v>Põhitegevuse kulu</v>
      </c>
    </row>
    <row r="863" spans="1:16" hidden="1" x14ac:dyDescent="0.25">
      <c r="A863" t="str">
        <f t="shared" si="26"/>
        <v>09</v>
      </c>
      <c r="B863" t="s">
        <v>247</v>
      </c>
      <c r="C863" s="3" t="str">
        <f>VLOOKUP(Table2[[#This Row],[Tegevusala]],Table4[],2,FALSE)</f>
        <v xml:space="preserve"> Roela kool</v>
      </c>
      <c r="D863" s="3" t="str">
        <f>VLOOKUP(Table2[[#This Row],[Tegevusala]],Table4[[Tegevusala kood]:[Tegevusala alanimetus]],4,FALSE)</f>
        <v>Põhihariduse otsekulud</v>
      </c>
      <c r="E863" s="3" t="str">
        <f>VLOOKUP(Table2[[#This Row],[Tegevusala nimetus2]],Table4[[Tegevusala nimetus]:[Tegevusala koondnimetus]],2,FALSE)</f>
        <v>Haridus</v>
      </c>
      <c r="F863" t="s">
        <v>166</v>
      </c>
      <c r="G863" t="s">
        <v>206</v>
      </c>
      <c r="H863" s="40">
        <v>200</v>
      </c>
      <c r="I863" s="2" t="s">
        <v>207</v>
      </c>
      <c r="J863">
        <v>5515</v>
      </c>
      <c r="K863" s="3" t="str">
        <f>VLOOKUP(Table2[[#This Row],[Konto]],Table5[[Konto]:[Konto nimetus]],2,FALSE)</f>
        <v>Inventari kulud, v.a infotehnoloogia ja kaitseotstarbelised kulud</v>
      </c>
      <c r="L863">
        <v>55</v>
      </c>
      <c r="M863" t="str">
        <f t="shared" si="27"/>
        <v>55</v>
      </c>
      <c r="N863" t="str">
        <f>VLOOKUP(Table2[[#This Row],[Tulu/kulu liik2]],Table5[[Tulu/kulu liik]:[Kontode koondnimetus]],4,FALSE)</f>
        <v>Muud tegevuskulud</v>
      </c>
      <c r="O863" t="str">
        <f>VLOOKUP(Table2[[#This Row],[Tulu/kulu liik2]],Table5[],6,FALSE)</f>
        <v>Majandamiskulud</v>
      </c>
      <c r="P863" s="3" t="str">
        <f>VLOOKUP(Table2[[#This Row],[Tulu/kulu liik2]],Table5[],5,FALSE)</f>
        <v>Põhitegevuse kulu</v>
      </c>
    </row>
    <row r="864" spans="1:16" hidden="1" x14ac:dyDescent="0.25">
      <c r="A864" t="str">
        <f t="shared" si="26"/>
        <v>09</v>
      </c>
      <c r="B864" t="s">
        <v>247</v>
      </c>
      <c r="C864" s="3" t="str">
        <f>VLOOKUP(Table2[[#This Row],[Tegevusala]],Table4[],2,FALSE)</f>
        <v xml:space="preserve"> Roela kool</v>
      </c>
      <c r="D864" s="3" t="str">
        <f>VLOOKUP(Table2[[#This Row],[Tegevusala]],Table4[[Tegevusala kood]:[Tegevusala alanimetus]],4,FALSE)</f>
        <v>Põhihariduse otsekulud</v>
      </c>
      <c r="E864" s="3" t="str">
        <f>VLOOKUP(Table2[[#This Row],[Tegevusala nimetus2]],Table4[[Tegevusala nimetus]:[Tegevusala koondnimetus]],2,FALSE)</f>
        <v>Haridus</v>
      </c>
      <c r="F864" t="s">
        <v>166</v>
      </c>
      <c r="G864" t="s">
        <v>208</v>
      </c>
      <c r="H864" s="40">
        <v>200</v>
      </c>
      <c r="J864">
        <v>5515</v>
      </c>
      <c r="K864" s="3" t="str">
        <f>VLOOKUP(Table2[[#This Row],[Konto]],Table5[[Konto]:[Konto nimetus]],2,FALSE)</f>
        <v>Inventari kulud, v.a infotehnoloogia ja kaitseotstarbelised kulud</v>
      </c>
      <c r="L864">
        <v>55</v>
      </c>
      <c r="M864" t="str">
        <f t="shared" si="27"/>
        <v>55</v>
      </c>
      <c r="N864" t="str">
        <f>VLOOKUP(Table2[[#This Row],[Tulu/kulu liik2]],Table5[[Tulu/kulu liik]:[Kontode koondnimetus]],4,FALSE)</f>
        <v>Muud tegevuskulud</v>
      </c>
      <c r="O864" t="str">
        <f>VLOOKUP(Table2[[#This Row],[Tulu/kulu liik2]],Table5[],6,FALSE)</f>
        <v>Majandamiskulud</v>
      </c>
      <c r="P864" s="3" t="str">
        <f>VLOOKUP(Table2[[#This Row],[Tulu/kulu liik2]],Table5[],5,FALSE)</f>
        <v>Põhitegevuse kulu</v>
      </c>
    </row>
    <row r="865" spans="1:16" hidden="1" x14ac:dyDescent="0.25">
      <c r="A865" t="str">
        <f t="shared" si="26"/>
        <v>09</v>
      </c>
      <c r="B865" t="s">
        <v>247</v>
      </c>
      <c r="C865" s="3" t="str">
        <f>VLOOKUP(Table2[[#This Row],[Tegevusala]],Table4[],2,FALSE)</f>
        <v xml:space="preserve"> Roela kool</v>
      </c>
      <c r="D865" s="3" t="str">
        <f>VLOOKUP(Table2[[#This Row],[Tegevusala]],Table4[[Tegevusala kood]:[Tegevusala alanimetus]],4,FALSE)</f>
        <v>Põhihariduse otsekulud</v>
      </c>
      <c r="E865" s="3" t="str">
        <f>VLOOKUP(Table2[[#This Row],[Tegevusala nimetus2]],Table4[[Tegevusala nimetus]:[Tegevusala koondnimetus]],2,FALSE)</f>
        <v>Haridus</v>
      </c>
      <c r="F865" t="s">
        <v>166</v>
      </c>
      <c r="G865" t="s">
        <v>211</v>
      </c>
      <c r="H865" s="40">
        <v>1000</v>
      </c>
      <c r="I865" s="2" t="s">
        <v>212</v>
      </c>
      <c r="J865">
        <v>5515</v>
      </c>
      <c r="K865" s="3" t="str">
        <f>VLOOKUP(Table2[[#This Row],[Konto]],Table5[[Konto]:[Konto nimetus]],2,FALSE)</f>
        <v>Inventari kulud, v.a infotehnoloogia ja kaitseotstarbelised kulud</v>
      </c>
      <c r="L865">
        <v>55</v>
      </c>
      <c r="M865" t="str">
        <f t="shared" si="27"/>
        <v>55</v>
      </c>
      <c r="N865" t="str">
        <f>VLOOKUP(Table2[[#This Row],[Tulu/kulu liik2]],Table5[[Tulu/kulu liik]:[Kontode koondnimetus]],4,FALSE)</f>
        <v>Muud tegevuskulud</v>
      </c>
      <c r="O865" t="str">
        <f>VLOOKUP(Table2[[#This Row],[Tulu/kulu liik2]],Table5[],6,FALSE)</f>
        <v>Majandamiskulud</v>
      </c>
      <c r="P865" s="3" t="str">
        <f>VLOOKUP(Table2[[#This Row],[Tulu/kulu liik2]],Table5[],5,FALSE)</f>
        <v>Põhitegevuse kulu</v>
      </c>
    </row>
    <row r="866" spans="1:16" hidden="1" x14ac:dyDescent="0.25">
      <c r="A866" t="str">
        <f t="shared" si="26"/>
        <v>09</v>
      </c>
      <c r="B866" t="s">
        <v>247</v>
      </c>
      <c r="C866" s="3" t="str">
        <f>VLOOKUP(Table2[[#This Row],[Tegevusala]],Table4[],2,FALSE)</f>
        <v xml:space="preserve"> Roela kool</v>
      </c>
      <c r="D866" s="3" t="str">
        <f>VLOOKUP(Table2[[#This Row],[Tegevusala]],Table4[[Tegevusala kood]:[Tegevusala alanimetus]],4,FALSE)</f>
        <v>Põhihariduse otsekulud</v>
      </c>
      <c r="E866" s="3" t="str">
        <f>VLOOKUP(Table2[[#This Row],[Tegevusala nimetus2]],Table4[[Tegevusala nimetus]:[Tegevusala koondnimetus]],2,FALSE)</f>
        <v>Haridus</v>
      </c>
      <c r="F866" t="s">
        <v>166</v>
      </c>
      <c r="G866" t="s">
        <v>213</v>
      </c>
      <c r="H866" s="40">
        <v>10675</v>
      </c>
      <c r="J866">
        <v>5521</v>
      </c>
      <c r="K866" s="3" t="str">
        <f>VLOOKUP(Table2[[#This Row],[Konto]],Table5[[Konto]:[Konto nimetus]],2,FALSE)</f>
        <v>Toiduained ja toitlustusteenused</v>
      </c>
      <c r="L866">
        <v>55</v>
      </c>
      <c r="M866" t="str">
        <f t="shared" si="27"/>
        <v>55</v>
      </c>
      <c r="N866" t="str">
        <f>VLOOKUP(Table2[[#This Row],[Tulu/kulu liik2]],Table5[[Tulu/kulu liik]:[Kontode koondnimetus]],4,FALSE)</f>
        <v>Muud tegevuskulud</v>
      </c>
      <c r="O866" t="str">
        <f>VLOOKUP(Table2[[#This Row],[Tulu/kulu liik2]],Table5[],6,FALSE)</f>
        <v>Majandamiskulud</v>
      </c>
      <c r="P866" s="3" t="str">
        <f>VLOOKUP(Table2[[#This Row],[Tulu/kulu liik2]],Table5[],5,FALSE)</f>
        <v>Põhitegevuse kulu</v>
      </c>
    </row>
    <row r="867" spans="1:16" hidden="1" x14ac:dyDescent="0.25">
      <c r="A867" t="str">
        <f t="shared" si="26"/>
        <v>09</v>
      </c>
      <c r="B867" t="s">
        <v>247</v>
      </c>
      <c r="C867" s="3" t="str">
        <f>VLOOKUP(Table2[[#This Row],[Tegevusala]],Table4[],2,FALSE)</f>
        <v xml:space="preserve"> Roela kool</v>
      </c>
      <c r="D867" s="3" t="str">
        <f>VLOOKUP(Table2[[#This Row],[Tegevusala]],Table4[[Tegevusala kood]:[Tegevusala alanimetus]],4,FALSE)</f>
        <v>Põhihariduse otsekulud</v>
      </c>
      <c r="E867" s="3" t="str">
        <f>VLOOKUP(Table2[[#This Row],[Tegevusala nimetus2]],Table4[[Tegevusala nimetus]:[Tegevusala koondnimetus]],2,FALSE)</f>
        <v>Haridus</v>
      </c>
      <c r="F867" t="s">
        <v>166</v>
      </c>
      <c r="G867" t="s">
        <v>214</v>
      </c>
      <c r="H867" s="40">
        <v>150</v>
      </c>
      <c r="I867" s="2" t="s">
        <v>215</v>
      </c>
      <c r="J867">
        <v>5522</v>
      </c>
      <c r="K867" s="3" t="str">
        <f>VLOOKUP(Table2[[#This Row],[Konto]],Table5[[Konto]:[Konto nimetus]],2,FALSE)</f>
        <v>Meditsiinikulud ja hügieenitarbed</v>
      </c>
      <c r="L867">
        <v>55</v>
      </c>
      <c r="M867" t="str">
        <f t="shared" si="27"/>
        <v>55</v>
      </c>
      <c r="N867" t="str">
        <f>VLOOKUP(Table2[[#This Row],[Tulu/kulu liik2]],Table5[[Tulu/kulu liik]:[Kontode koondnimetus]],4,FALSE)</f>
        <v>Muud tegevuskulud</v>
      </c>
      <c r="O867" t="str">
        <f>VLOOKUP(Table2[[#This Row],[Tulu/kulu liik2]],Table5[],6,FALSE)</f>
        <v>Majandamiskulud</v>
      </c>
      <c r="P867" s="3" t="str">
        <f>VLOOKUP(Table2[[#This Row],[Tulu/kulu liik2]],Table5[],5,FALSE)</f>
        <v>Põhitegevuse kulu</v>
      </c>
    </row>
    <row r="868" spans="1:16" hidden="1" x14ac:dyDescent="0.25">
      <c r="A868" t="str">
        <f t="shared" si="26"/>
        <v>09</v>
      </c>
      <c r="B868" t="s">
        <v>247</v>
      </c>
      <c r="C868" s="3" t="str">
        <f>VLOOKUP(Table2[[#This Row],[Tegevusala]],Table4[],2,FALSE)</f>
        <v xml:space="preserve"> Roela kool</v>
      </c>
      <c r="D868" s="3" t="str">
        <f>VLOOKUP(Table2[[#This Row],[Tegevusala]],Table4[[Tegevusala kood]:[Tegevusala alanimetus]],4,FALSE)</f>
        <v>Põhihariduse otsekulud</v>
      </c>
      <c r="E868" s="3" t="str">
        <f>VLOOKUP(Table2[[#This Row],[Tegevusala nimetus2]],Table4[[Tegevusala nimetus]:[Tegevusala koondnimetus]],2,FALSE)</f>
        <v>Haridus</v>
      </c>
      <c r="F868" t="s">
        <v>166</v>
      </c>
      <c r="G868" t="s">
        <v>216</v>
      </c>
      <c r="H868" s="40">
        <v>100</v>
      </c>
      <c r="J868">
        <v>5522</v>
      </c>
      <c r="K868" s="3" t="str">
        <f>VLOOKUP(Table2[[#This Row],[Konto]],Table5[[Konto]:[Konto nimetus]],2,FALSE)</f>
        <v>Meditsiinikulud ja hügieenitarbed</v>
      </c>
      <c r="L868">
        <v>55</v>
      </c>
      <c r="M868" t="str">
        <f t="shared" si="27"/>
        <v>55</v>
      </c>
      <c r="N868" t="str">
        <f>VLOOKUP(Table2[[#This Row],[Tulu/kulu liik2]],Table5[[Tulu/kulu liik]:[Kontode koondnimetus]],4,FALSE)</f>
        <v>Muud tegevuskulud</v>
      </c>
      <c r="O868" t="str">
        <f>VLOOKUP(Table2[[#This Row],[Tulu/kulu liik2]],Table5[],6,FALSE)</f>
        <v>Majandamiskulud</v>
      </c>
      <c r="P868" s="3" t="str">
        <f>VLOOKUP(Table2[[#This Row],[Tulu/kulu liik2]],Table5[],5,FALSE)</f>
        <v>Põhitegevuse kulu</v>
      </c>
    </row>
    <row r="869" spans="1:16" hidden="1" x14ac:dyDescent="0.25">
      <c r="A869" t="str">
        <f t="shared" si="26"/>
        <v>09</v>
      </c>
      <c r="B869" t="s">
        <v>247</v>
      </c>
      <c r="C869" s="3" t="str">
        <f>VLOOKUP(Table2[[#This Row],[Tegevusala]],Table4[],2,FALSE)</f>
        <v xml:space="preserve"> Roela kool</v>
      </c>
      <c r="D869" s="3" t="str">
        <f>VLOOKUP(Table2[[#This Row],[Tegevusala]],Table4[[Tegevusala kood]:[Tegevusala alanimetus]],4,FALSE)</f>
        <v>Põhihariduse otsekulud</v>
      </c>
      <c r="E869" s="3" t="str">
        <f>VLOOKUP(Table2[[#This Row],[Tegevusala nimetus2]],Table4[[Tegevusala nimetus]:[Tegevusala koondnimetus]],2,FALSE)</f>
        <v>Haridus</v>
      </c>
      <c r="F869" t="s">
        <v>166</v>
      </c>
      <c r="G869" t="s">
        <v>217</v>
      </c>
      <c r="H869" s="40">
        <v>200</v>
      </c>
      <c r="J869">
        <v>5524</v>
      </c>
      <c r="K869" s="3" t="str">
        <f>VLOOKUP(Table2[[#This Row],[Konto]],Table5[[Konto]:[Konto nimetus]],2,FALSE)</f>
        <v>Õppevahendid</v>
      </c>
      <c r="L869">
        <v>55</v>
      </c>
      <c r="M869" t="str">
        <f t="shared" si="27"/>
        <v>55</v>
      </c>
      <c r="N869" t="str">
        <f>VLOOKUP(Table2[[#This Row],[Tulu/kulu liik2]],Table5[[Tulu/kulu liik]:[Kontode koondnimetus]],4,FALSE)</f>
        <v>Muud tegevuskulud</v>
      </c>
      <c r="O869" t="str">
        <f>VLOOKUP(Table2[[#This Row],[Tulu/kulu liik2]],Table5[],6,FALSE)</f>
        <v>Majandamiskulud</v>
      </c>
      <c r="P869" s="3" t="str">
        <f>VLOOKUP(Table2[[#This Row],[Tulu/kulu liik2]],Table5[],5,FALSE)</f>
        <v>Põhitegevuse kulu</v>
      </c>
    </row>
    <row r="870" spans="1:16" hidden="1" x14ac:dyDescent="0.25">
      <c r="A870" t="str">
        <f t="shared" si="26"/>
        <v>09</v>
      </c>
      <c r="B870" t="s">
        <v>247</v>
      </c>
      <c r="C870" s="3" t="str">
        <f>VLOOKUP(Table2[[#This Row],[Tegevusala]],Table4[],2,FALSE)</f>
        <v xml:space="preserve"> Roela kool</v>
      </c>
      <c r="D870" s="3" t="str">
        <f>VLOOKUP(Table2[[#This Row],[Tegevusala]],Table4[[Tegevusala kood]:[Tegevusala alanimetus]],4,FALSE)</f>
        <v>Põhihariduse otsekulud</v>
      </c>
      <c r="E870" s="3" t="str">
        <f>VLOOKUP(Table2[[#This Row],[Tegevusala nimetus2]],Table4[[Tegevusala nimetus]:[Tegevusala koondnimetus]],2,FALSE)</f>
        <v>Haridus</v>
      </c>
      <c r="F870" t="s">
        <v>166</v>
      </c>
      <c r="G870" t="s">
        <v>218</v>
      </c>
      <c r="H870" s="40">
        <f>6500-3477</f>
        <v>3023</v>
      </c>
      <c r="I870" s="2" t="s">
        <v>219</v>
      </c>
      <c r="J870">
        <v>5524</v>
      </c>
      <c r="K870" s="3" t="str">
        <f>VLOOKUP(Table2[[#This Row],[Konto]],Table5[[Konto]:[Konto nimetus]],2,FALSE)</f>
        <v>Õppevahendid</v>
      </c>
      <c r="L870">
        <v>55</v>
      </c>
      <c r="M870" t="str">
        <f t="shared" si="27"/>
        <v>55</v>
      </c>
      <c r="N870" t="str">
        <f>VLOOKUP(Table2[[#This Row],[Tulu/kulu liik2]],Table5[[Tulu/kulu liik]:[Kontode koondnimetus]],4,FALSE)</f>
        <v>Muud tegevuskulud</v>
      </c>
      <c r="O870" t="str">
        <f>VLOOKUP(Table2[[#This Row],[Tulu/kulu liik2]],Table5[],6,FALSE)</f>
        <v>Majandamiskulud</v>
      </c>
      <c r="P870" s="3" t="str">
        <f>VLOOKUP(Table2[[#This Row],[Tulu/kulu liik2]],Table5[],5,FALSE)</f>
        <v>Põhitegevuse kulu</v>
      </c>
    </row>
    <row r="871" spans="1:16" hidden="1" x14ac:dyDescent="0.25">
      <c r="A871" t="str">
        <f t="shared" si="26"/>
        <v>09</v>
      </c>
      <c r="B871" t="s">
        <v>247</v>
      </c>
      <c r="C871" s="3" t="str">
        <f>VLOOKUP(Table2[[#This Row],[Tegevusala]],Table4[],2,FALSE)</f>
        <v xml:space="preserve"> Roela kool</v>
      </c>
      <c r="D871" s="3" t="str">
        <f>VLOOKUP(Table2[[#This Row],[Tegevusala]],Table4[[Tegevusala kood]:[Tegevusala alanimetus]],4,FALSE)</f>
        <v>Põhihariduse otsekulud</v>
      </c>
      <c r="E871" s="3" t="str">
        <f>VLOOKUP(Table2[[#This Row],[Tegevusala nimetus2]],Table4[[Tegevusala nimetus]:[Tegevusala koondnimetus]],2,FALSE)</f>
        <v>Haridus</v>
      </c>
      <c r="F871" t="s">
        <v>166</v>
      </c>
      <c r="G871" t="s">
        <v>220</v>
      </c>
      <c r="H871" s="40">
        <v>100</v>
      </c>
      <c r="J871">
        <v>5524</v>
      </c>
      <c r="K871" s="3" t="str">
        <f>VLOOKUP(Table2[[#This Row],[Konto]],Table5[[Konto]:[Konto nimetus]],2,FALSE)</f>
        <v>Õppevahendid</v>
      </c>
      <c r="L871">
        <v>55</v>
      </c>
      <c r="M871" t="str">
        <f t="shared" si="27"/>
        <v>55</v>
      </c>
      <c r="N871" t="str">
        <f>VLOOKUP(Table2[[#This Row],[Tulu/kulu liik2]],Table5[[Tulu/kulu liik]:[Kontode koondnimetus]],4,FALSE)</f>
        <v>Muud tegevuskulud</v>
      </c>
      <c r="O871" t="str">
        <f>VLOOKUP(Table2[[#This Row],[Tulu/kulu liik2]],Table5[],6,FALSE)</f>
        <v>Majandamiskulud</v>
      </c>
      <c r="P871" s="3" t="str">
        <f>VLOOKUP(Table2[[#This Row],[Tulu/kulu liik2]],Table5[],5,FALSE)</f>
        <v>Põhitegevuse kulu</v>
      </c>
    </row>
    <row r="872" spans="1:16" hidden="1" x14ac:dyDescent="0.25">
      <c r="A872" t="str">
        <f t="shared" si="26"/>
        <v>09</v>
      </c>
      <c r="B872" t="s">
        <v>247</v>
      </c>
      <c r="C872" s="3" t="str">
        <f>VLOOKUP(Table2[[#This Row],[Tegevusala]],Table4[],2,FALSE)</f>
        <v xml:space="preserve"> Roela kool</v>
      </c>
      <c r="D872" s="3" t="str">
        <f>VLOOKUP(Table2[[#This Row],[Tegevusala]],Table4[[Tegevusala kood]:[Tegevusala alanimetus]],4,FALSE)</f>
        <v>Põhihariduse otsekulud</v>
      </c>
      <c r="E872" s="3" t="str">
        <f>VLOOKUP(Table2[[#This Row],[Tegevusala nimetus2]],Table4[[Tegevusala nimetus]:[Tegevusala koondnimetus]],2,FALSE)</f>
        <v>Haridus</v>
      </c>
      <c r="F872" t="s">
        <v>166</v>
      </c>
      <c r="G872" t="s">
        <v>117</v>
      </c>
      <c r="H872" s="40">
        <v>500</v>
      </c>
      <c r="I872" s="2" t="s">
        <v>221</v>
      </c>
      <c r="J872">
        <v>5524</v>
      </c>
      <c r="K872" s="3" t="str">
        <f>VLOOKUP(Table2[[#This Row],[Konto]],Table5[[Konto]:[Konto nimetus]],2,FALSE)</f>
        <v>Õppevahendid</v>
      </c>
      <c r="L872">
        <v>55</v>
      </c>
      <c r="M872" t="str">
        <f t="shared" si="27"/>
        <v>55</v>
      </c>
      <c r="N872" t="str">
        <f>VLOOKUP(Table2[[#This Row],[Tulu/kulu liik2]],Table5[[Tulu/kulu liik]:[Kontode koondnimetus]],4,FALSE)</f>
        <v>Muud tegevuskulud</v>
      </c>
      <c r="O872" t="str">
        <f>VLOOKUP(Table2[[#This Row],[Tulu/kulu liik2]],Table5[],6,FALSE)</f>
        <v>Majandamiskulud</v>
      </c>
      <c r="P872" s="3" t="str">
        <f>VLOOKUP(Table2[[#This Row],[Tulu/kulu liik2]],Table5[],5,FALSE)</f>
        <v>Põhitegevuse kulu</v>
      </c>
    </row>
    <row r="873" spans="1:16" hidden="1" x14ac:dyDescent="0.25">
      <c r="A873" t="str">
        <f t="shared" si="26"/>
        <v>09</v>
      </c>
      <c r="B873" t="s">
        <v>247</v>
      </c>
      <c r="C873" s="3" t="str">
        <f>VLOOKUP(Table2[[#This Row],[Tegevusala]],Table4[],2,FALSE)</f>
        <v xml:space="preserve"> Roela kool</v>
      </c>
      <c r="D873" s="3" t="str">
        <f>VLOOKUP(Table2[[#This Row],[Tegevusala]],Table4[[Tegevusala kood]:[Tegevusala alanimetus]],4,FALSE)</f>
        <v>Põhihariduse otsekulud</v>
      </c>
      <c r="E873" s="3" t="str">
        <f>VLOOKUP(Table2[[#This Row],[Tegevusala nimetus2]],Table4[[Tegevusala nimetus]:[Tegevusala koondnimetus]],2,FALSE)</f>
        <v>Haridus</v>
      </c>
      <c r="F873" t="s">
        <v>166</v>
      </c>
      <c r="G873" t="s">
        <v>222</v>
      </c>
      <c r="H873" s="40">
        <v>500</v>
      </c>
      <c r="I873" s="2" t="s">
        <v>223</v>
      </c>
      <c r="J873">
        <v>5524</v>
      </c>
      <c r="K873" s="3" t="str">
        <f>VLOOKUP(Table2[[#This Row],[Konto]],Table5[[Konto]:[Konto nimetus]],2,FALSE)</f>
        <v>Õppevahendid</v>
      </c>
      <c r="L873">
        <v>55</v>
      </c>
      <c r="M873" t="str">
        <f t="shared" si="27"/>
        <v>55</v>
      </c>
      <c r="N873" t="str">
        <f>VLOOKUP(Table2[[#This Row],[Tulu/kulu liik2]],Table5[[Tulu/kulu liik]:[Kontode koondnimetus]],4,FALSE)</f>
        <v>Muud tegevuskulud</v>
      </c>
      <c r="O873" t="str">
        <f>VLOOKUP(Table2[[#This Row],[Tulu/kulu liik2]],Table5[],6,FALSE)</f>
        <v>Majandamiskulud</v>
      </c>
      <c r="P873" s="3" t="str">
        <f>VLOOKUP(Table2[[#This Row],[Tulu/kulu liik2]],Table5[],5,FALSE)</f>
        <v>Põhitegevuse kulu</v>
      </c>
    </row>
    <row r="874" spans="1:16" hidden="1" x14ac:dyDescent="0.25">
      <c r="A874" t="str">
        <f t="shared" si="26"/>
        <v>09</v>
      </c>
      <c r="B874" t="s">
        <v>247</v>
      </c>
      <c r="C874" s="3" t="str">
        <f>VLOOKUP(Table2[[#This Row],[Tegevusala]],Table4[],2,FALSE)</f>
        <v xml:space="preserve"> Roela kool</v>
      </c>
      <c r="D874" s="3" t="str">
        <f>VLOOKUP(Table2[[#This Row],[Tegevusala]],Table4[[Tegevusala kood]:[Tegevusala alanimetus]],4,FALSE)</f>
        <v>Põhihariduse otsekulud</v>
      </c>
      <c r="E874" s="3" t="str">
        <f>VLOOKUP(Table2[[#This Row],[Tegevusala nimetus2]],Table4[[Tegevusala nimetus]:[Tegevusala koondnimetus]],2,FALSE)</f>
        <v>Haridus</v>
      </c>
      <c r="F874" t="s">
        <v>166</v>
      </c>
      <c r="G874" t="s">
        <v>224</v>
      </c>
      <c r="H874" s="40">
        <v>100</v>
      </c>
      <c r="I874" s="2" t="s">
        <v>225</v>
      </c>
      <c r="J874">
        <v>5524</v>
      </c>
      <c r="K874" s="3" t="str">
        <f>VLOOKUP(Table2[[#This Row],[Konto]],Table5[[Konto]:[Konto nimetus]],2,FALSE)</f>
        <v>Õppevahendid</v>
      </c>
      <c r="L874">
        <v>55</v>
      </c>
      <c r="M874" t="str">
        <f t="shared" si="27"/>
        <v>55</v>
      </c>
      <c r="N874" t="str">
        <f>VLOOKUP(Table2[[#This Row],[Tulu/kulu liik2]],Table5[[Tulu/kulu liik]:[Kontode koondnimetus]],4,FALSE)</f>
        <v>Muud tegevuskulud</v>
      </c>
      <c r="O874" t="str">
        <f>VLOOKUP(Table2[[#This Row],[Tulu/kulu liik2]],Table5[],6,FALSE)</f>
        <v>Majandamiskulud</v>
      </c>
      <c r="P874" s="3" t="str">
        <f>VLOOKUP(Table2[[#This Row],[Tulu/kulu liik2]],Table5[],5,FALSE)</f>
        <v>Põhitegevuse kulu</v>
      </c>
    </row>
    <row r="875" spans="1:16" hidden="1" x14ac:dyDescent="0.25">
      <c r="A875" t="str">
        <f t="shared" si="26"/>
        <v>09</v>
      </c>
      <c r="B875" t="s">
        <v>247</v>
      </c>
      <c r="C875" s="3" t="str">
        <f>VLOOKUP(Table2[[#This Row],[Tegevusala]],Table4[],2,FALSE)</f>
        <v xml:space="preserve"> Roela kool</v>
      </c>
      <c r="D875" s="3" t="str">
        <f>VLOOKUP(Table2[[#This Row],[Tegevusala]],Table4[[Tegevusala kood]:[Tegevusala alanimetus]],4,FALSE)</f>
        <v>Põhihariduse otsekulud</v>
      </c>
      <c r="E875" s="3" t="str">
        <f>VLOOKUP(Table2[[#This Row],[Tegevusala nimetus2]],Table4[[Tegevusala nimetus]:[Tegevusala koondnimetus]],2,FALSE)</f>
        <v>Haridus</v>
      </c>
      <c r="F875" t="s">
        <v>166</v>
      </c>
      <c r="G875" t="s">
        <v>226</v>
      </c>
      <c r="H875" s="40">
        <v>200</v>
      </c>
      <c r="I875" s="2" t="s">
        <v>227</v>
      </c>
      <c r="J875">
        <v>5524</v>
      </c>
      <c r="K875" s="3" t="str">
        <f>VLOOKUP(Table2[[#This Row],[Konto]],Table5[[Konto]:[Konto nimetus]],2,FALSE)</f>
        <v>Õppevahendid</v>
      </c>
      <c r="L875">
        <v>55</v>
      </c>
      <c r="M875" t="str">
        <f t="shared" si="27"/>
        <v>55</v>
      </c>
      <c r="N875" t="str">
        <f>VLOOKUP(Table2[[#This Row],[Tulu/kulu liik2]],Table5[[Tulu/kulu liik]:[Kontode koondnimetus]],4,FALSE)</f>
        <v>Muud tegevuskulud</v>
      </c>
      <c r="O875" t="str">
        <f>VLOOKUP(Table2[[#This Row],[Tulu/kulu liik2]],Table5[],6,FALSE)</f>
        <v>Majandamiskulud</v>
      </c>
      <c r="P875" s="3" t="str">
        <f>VLOOKUP(Table2[[#This Row],[Tulu/kulu liik2]],Table5[],5,FALSE)</f>
        <v>Põhitegevuse kulu</v>
      </c>
    </row>
    <row r="876" spans="1:16" hidden="1" x14ac:dyDescent="0.25">
      <c r="A876" t="str">
        <f t="shared" si="26"/>
        <v>09</v>
      </c>
      <c r="B876" t="s">
        <v>247</v>
      </c>
      <c r="C876" s="3" t="str">
        <f>VLOOKUP(Table2[[#This Row],[Tegevusala]],Table4[],2,FALSE)</f>
        <v xml:space="preserve"> Roela kool</v>
      </c>
      <c r="D876" s="3" t="str">
        <f>VLOOKUP(Table2[[#This Row],[Tegevusala]],Table4[[Tegevusala kood]:[Tegevusala alanimetus]],4,FALSE)</f>
        <v>Põhihariduse otsekulud</v>
      </c>
      <c r="E876" s="3" t="str">
        <f>VLOOKUP(Table2[[#This Row],[Tegevusala nimetus2]],Table4[[Tegevusala nimetus]:[Tegevusala koondnimetus]],2,FALSE)</f>
        <v>Haridus</v>
      </c>
      <c r="F876" t="s">
        <v>166</v>
      </c>
      <c r="G876" t="s">
        <v>228</v>
      </c>
      <c r="H876" s="40">
        <v>200</v>
      </c>
      <c r="I876" s="2" t="s">
        <v>229</v>
      </c>
      <c r="J876">
        <v>5524</v>
      </c>
      <c r="K876" s="3" t="str">
        <f>VLOOKUP(Table2[[#This Row],[Konto]],Table5[[Konto]:[Konto nimetus]],2,FALSE)</f>
        <v>Õppevahendid</v>
      </c>
      <c r="L876">
        <v>55</v>
      </c>
      <c r="M876" t="str">
        <f t="shared" si="27"/>
        <v>55</v>
      </c>
      <c r="N876" t="str">
        <f>VLOOKUP(Table2[[#This Row],[Tulu/kulu liik2]],Table5[[Tulu/kulu liik]:[Kontode koondnimetus]],4,FALSE)</f>
        <v>Muud tegevuskulud</v>
      </c>
      <c r="O876" t="str">
        <f>VLOOKUP(Table2[[#This Row],[Tulu/kulu liik2]],Table5[],6,FALSE)</f>
        <v>Majandamiskulud</v>
      </c>
      <c r="P876" s="3" t="str">
        <f>VLOOKUP(Table2[[#This Row],[Tulu/kulu liik2]],Table5[],5,FALSE)</f>
        <v>Põhitegevuse kulu</v>
      </c>
    </row>
    <row r="877" spans="1:16" hidden="1" x14ac:dyDescent="0.25">
      <c r="A877" t="str">
        <f t="shared" si="26"/>
        <v>09</v>
      </c>
      <c r="B877" t="s">
        <v>247</v>
      </c>
      <c r="C877" s="3" t="str">
        <f>VLOOKUP(Table2[[#This Row],[Tegevusala]],Table4[],2,FALSE)</f>
        <v xml:space="preserve"> Roela kool</v>
      </c>
      <c r="D877" s="3" t="str">
        <f>VLOOKUP(Table2[[#This Row],[Tegevusala]],Table4[[Tegevusala kood]:[Tegevusala alanimetus]],4,FALSE)</f>
        <v>Põhihariduse otsekulud</v>
      </c>
      <c r="E877" s="3" t="str">
        <f>VLOOKUP(Table2[[#This Row],[Tegevusala nimetus2]],Table4[[Tegevusala nimetus]:[Tegevusala koondnimetus]],2,FALSE)</f>
        <v>Haridus</v>
      </c>
      <c r="F877" t="s">
        <v>166</v>
      </c>
      <c r="G877" t="s">
        <v>230</v>
      </c>
      <c r="H877" s="40">
        <v>150</v>
      </c>
      <c r="J877">
        <v>5524</v>
      </c>
      <c r="K877" s="3" t="str">
        <f>VLOOKUP(Table2[[#This Row],[Konto]],Table5[[Konto]:[Konto nimetus]],2,FALSE)</f>
        <v>Õppevahendid</v>
      </c>
      <c r="L877">
        <v>55</v>
      </c>
      <c r="M877" t="str">
        <f t="shared" si="27"/>
        <v>55</v>
      </c>
      <c r="N877" t="str">
        <f>VLOOKUP(Table2[[#This Row],[Tulu/kulu liik2]],Table5[[Tulu/kulu liik]:[Kontode koondnimetus]],4,FALSE)</f>
        <v>Muud tegevuskulud</v>
      </c>
      <c r="O877" t="str">
        <f>VLOOKUP(Table2[[#This Row],[Tulu/kulu liik2]],Table5[],6,FALSE)</f>
        <v>Majandamiskulud</v>
      </c>
      <c r="P877" s="3" t="str">
        <f>VLOOKUP(Table2[[#This Row],[Tulu/kulu liik2]],Table5[],5,FALSE)</f>
        <v>Põhitegevuse kulu</v>
      </c>
    </row>
    <row r="878" spans="1:16" hidden="1" x14ac:dyDescent="0.25">
      <c r="A878" t="str">
        <f t="shared" si="26"/>
        <v>09</v>
      </c>
      <c r="B878" t="s">
        <v>247</v>
      </c>
      <c r="C878" s="3" t="str">
        <f>VLOOKUP(Table2[[#This Row],[Tegevusala]],Table4[],2,FALSE)</f>
        <v xml:space="preserve"> Roela kool</v>
      </c>
      <c r="D878" s="3" t="str">
        <f>VLOOKUP(Table2[[#This Row],[Tegevusala]],Table4[[Tegevusala kood]:[Tegevusala alanimetus]],4,FALSE)</f>
        <v>Põhihariduse otsekulud</v>
      </c>
      <c r="E878" s="3" t="str">
        <f>VLOOKUP(Table2[[#This Row],[Tegevusala nimetus2]],Table4[[Tegevusala nimetus]:[Tegevusala koondnimetus]],2,FALSE)</f>
        <v>Haridus</v>
      </c>
      <c r="F878" t="s">
        <v>166</v>
      </c>
      <c r="G878" t="s">
        <v>231</v>
      </c>
      <c r="H878" s="40">
        <v>150</v>
      </c>
      <c r="I878" s="2" t="s">
        <v>232</v>
      </c>
      <c r="J878">
        <v>5525</v>
      </c>
      <c r="K878" s="3" t="str">
        <f>VLOOKUP(Table2[[#This Row],[Konto]],Table5[[Konto]:[Konto nimetus]],2,FALSE)</f>
        <v>Kommunikatsiooni-, kultuuri- ja vaba aja sisustamise kulud</v>
      </c>
      <c r="L878">
        <v>55</v>
      </c>
      <c r="M878" t="str">
        <f t="shared" si="27"/>
        <v>55</v>
      </c>
      <c r="N878" t="str">
        <f>VLOOKUP(Table2[[#This Row],[Tulu/kulu liik2]],Table5[[Tulu/kulu liik]:[Kontode koondnimetus]],4,FALSE)</f>
        <v>Muud tegevuskulud</v>
      </c>
      <c r="O878" t="str">
        <f>VLOOKUP(Table2[[#This Row],[Tulu/kulu liik2]],Table5[],6,FALSE)</f>
        <v>Majandamiskulud</v>
      </c>
      <c r="P878" s="3" t="str">
        <f>VLOOKUP(Table2[[#This Row],[Tulu/kulu liik2]],Table5[],5,FALSE)</f>
        <v>Põhitegevuse kulu</v>
      </c>
    </row>
    <row r="879" spans="1:16" hidden="1" x14ac:dyDescent="0.25">
      <c r="A879" t="str">
        <f t="shared" si="26"/>
        <v>09</v>
      </c>
      <c r="B879" t="s">
        <v>247</v>
      </c>
      <c r="C879" s="3" t="str">
        <f>VLOOKUP(Table2[[#This Row],[Tegevusala]],Table4[],2,FALSE)</f>
        <v xml:space="preserve"> Roela kool</v>
      </c>
      <c r="D879" s="3" t="str">
        <f>VLOOKUP(Table2[[#This Row],[Tegevusala]],Table4[[Tegevusala kood]:[Tegevusala alanimetus]],4,FALSE)</f>
        <v>Põhihariduse otsekulud</v>
      </c>
      <c r="E879" s="3" t="str">
        <f>VLOOKUP(Table2[[#This Row],[Tegevusala nimetus2]],Table4[[Tegevusala nimetus]:[Tegevusala koondnimetus]],2,FALSE)</f>
        <v>Haridus</v>
      </c>
      <c r="F879" t="s">
        <v>166</v>
      </c>
      <c r="G879" t="s">
        <v>233</v>
      </c>
      <c r="H879" s="40">
        <v>150</v>
      </c>
      <c r="J879">
        <v>5525</v>
      </c>
      <c r="K879" s="3" t="str">
        <f>VLOOKUP(Table2[[#This Row],[Konto]],Table5[[Konto]:[Konto nimetus]],2,FALSE)</f>
        <v>Kommunikatsiooni-, kultuuri- ja vaba aja sisustamise kulud</v>
      </c>
      <c r="L879">
        <v>55</v>
      </c>
      <c r="M879" t="str">
        <f t="shared" si="27"/>
        <v>55</v>
      </c>
      <c r="N879" t="str">
        <f>VLOOKUP(Table2[[#This Row],[Tulu/kulu liik2]],Table5[[Tulu/kulu liik]:[Kontode koondnimetus]],4,FALSE)</f>
        <v>Muud tegevuskulud</v>
      </c>
      <c r="O879" t="str">
        <f>VLOOKUP(Table2[[#This Row],[Tulu/kulu liik2]],Table5[],6,FALSE)</f>
        <v>Majandamiskulud</v>
      </c>
      <c r="P879" s="3" t="str">
        <f>VLOOKUP(Table2[[#This Row],[Tulu/kulu liik2]],Table5[],5,FALSE)</f>
        <v>Põhitegevuse kulu</v>
      </c>
    </row>
    <row r="880" spans="1:16" hidden="1" x14ac:dyDescent="0.25">
      <c r="A880" t="str">
        <f t="shared" si="26"/>
        <v>09</v>
      </c>
      <c r="B880" t="s">
        <v>247</v>
      </c>
      <c r="C880" s="3" t="str">
        <f>VLOOKUP(Table2[[#This Row],[Tegevusala]],Table4[],2,FALSE)</f>
        <v xml:space="preserve"> Roela kool</v>
      </c>
      <c r="D880" s="3" t="str">
        <f>VLOOKUP(Table2[[#This Row],[Tegevusala]],Table4[[Tegevusala kood]:[Tegevusala alanimetus]],4,FALSE)</f>
        <v>Põhihariduse otsekulud</v>
      </c>
      <c r="E880" s="3" t="str">
        <f>VLOOKUP(Table2[[#This Row],[Tegevusala nimetus2]],Table4[[Tegevusala nimetus]:[Tegevusala koondnimetus]],2,FALSE)</f>
        <v>Haridus</v>
      </c>
      <c r="F880" t="s">
        <v>166</v>
      </c>
      <c r="G880" t="s">
        <v>234</v>
      </c>
      <c r="H880" s="40">
        <v>150</v>
      </c>
      <c r="J880">
        <v>5525</v>
      </c>
      <c r="K880" s="3" t="str">
        <f>VLOOKUP(Table2[[#This Row],[Konto]],Table5[[Konto]:[Konto nimetus]],2,FALSE)</f>
        <v>Kommunikatsiooni-, kultuuri- ja vaba aja sisustamise kulud</v>
      </c>
      <c r="L880">
        <v>55</v>
      </c>
      <c r="M880" t="str">
        <f t="shared" si="27"/>
        <v>55</v>
      </c>
      <c r="N880" t="str">
        <f>VLOOKUP(Table2[[#This Row],[Tulu/kulu liik2]],Table5[[Tulu/kulu liik]:[Kontode koondnimetus]],4,FALSE)</f>
        <v>Muud tegevuskulud</v>
      </c>
      <c r="O880" t="str">
        <f>VLOOKUP(Table2[[#This Row],[Tulu/kulu liik2]],Table5[],6,FALSE)</f>
        <v>Majandamiskulud</v>
      </c>
      <c r="P880" s="3" t="str">
        <f>VLOOKUP(Table2[[#This Row],[Tulu/kulu liik2]],Table5[],5,FALSE)</f>
        <v>Põhitegevuse kulu</v>
      </c>
    </row>
    <row r="881" spans="1:16" hidden="1" x14ac:dyDescent="0.25">
      <c r="A881" t="str">
        <f t="shared" si="26"/>
        <v>09</v>
      </c>
      <c r="B881" t="s">
        <v>247</v>
      </c>
      <c r="C881" s="3" t="str">
        <f>VLOOKUP(Table2[[#This Row],[Tegevusala]],Table4[],2,FALSE)</f>
        <v xml:space="preserve"> Roela kool</v>
      </c>
      <c r="D881" s="3" t="str">
        <f>VLOOKUP(Table2[[#This Row],[Tegevusala]],Table4[[Tegevusala kood]:[Tegevusala alanimetus]],4,FALSE)</f>
        <v>Põhihariduse otsekulud</v>
      </c>
      <c r="E881" s="3" t="str">
        <f>VLOOKUP(Table2[[#This Row],[Tegevusala nimetus2]],Table4[[Tegevusala nimetus]:[Tegevusala koondnimetus]],2,FALSE)</f>
        <v>Haridus</v>
      </c>
      <c r="F881" t="s">
        <v>166</v>
      </c>
      <c r="G881" t="s">
        <v>235</v>
      </c>
      <c r="H881" s="40">
        <v>200</v>
      </c>
      <c r="J881">
        <v>5525</v>
      </c>
      <c r="K881" s="3" t="str">
        <f>VLOOKUP(Table2[[#This Row],[Konto]],Table5[[Konto]:[Konto nimetus]],2,FALSE)</f>
        <v>Kommunikatsiooni-, kultuuri- ja vaba aja sisustamise kulud</v>
      </c>
      <c r="L881">
        <v>55</v>
      </c>
      <c r="M881" t="str">
        <f t="shared" si="27"/>
        <v>55</v>
      </c>
      <c r="N881" t="str">
        <f>VLOOKUP(Table2[[#This Row],[Tulu/kulu liik2]],Table5[[Tulu/kulu liik]:[Kontode koondnimetus]],4,FALSE)</f>
        <v>Muud tegevuskulud</v>
      </c>
      <c r="O881" t="str">
        <f>VLOOKUP(Table2[[#This Row],[Tulu/kulu liik2]],Table5[],6,FALSE)</f>
        <v>Majandamiskulud</v>
      </c>
      <c r="P881" s="3" t="str">
        <f>VLOOKUP(Table2[[#This Row],[Tulu/kulu liik2]],Table5[],5,FALSE)</f>
        <v>Põhitegevuse kulu</v>
      </c>
    </row>
    <row r="882" spans="1:16" hidden="1" x14ac:dyDescent="0.25">
      <c r="A882" t="str">
        <f t="shared" si="26"/>
        <v>09</v>
      </c>
      <c r="B882" t="s">
        <v>247</v>
      </c>
      <c r="C882" s="3" t="str">
        <f>VLOOKUP(Table2[[#This Row],[Tegevusala]],Table4[],2,FALSE)</f>
        <v xml:space="preserve"> Roela kool</v>
      </c>
      <c r="D882" s="3" t="str">
        <f>VLOOKUP(Table2[[#This Row],[Tegevusala]],Table4[[Tegevusala kood]:[Tegevusala alanimetus]],4,FALSE)</f>
        <v>Põhihariduse otsekulud</v>
      </c>
      <c r="E882" s="3" t="str">
        <f>VLOOKUP(Table2[[#This Row],[Tegevusala nimetus2]],Table4[[Tegevusala nimetus]:[Tegevusala koondnimetus]],2,FALSE)</f>
        <v>Haridus</v>
      </c>
      <c r="F882" t="s">
        <v>166</v>
      </c>
      <c r="G882" t="s">
        <v>236</v>
      </c>
      <c r="H882" s="40">
        <v>100</v>
      </c>
      <c r="J882">
        <v>5525</v>
      </c>
      <c r="K882" s="3" t="str">
        <f>VLOOKUP(Table2[[#This Row],[Konto]],Table5[[Konto]:[Konto nimetus]],2,FALSE)</f>
        <v>Kommunikatsiooni-, kultuuri- ja vaba aja sisustamise kulud</v>
      </c>
      <c r="L882">
        <v>55</v>
      </c>
      <c r="M882" t="str">
        <f t="shared" si="27"/>
        <v>55</v>
      </c>
      <c r="N882" t="str">
        <f>VLOOKUP(Table2[[#This Row],[Tulu/kulu liik2]],Table5[[Tulu/kulu liik]:[Kontode koondnimetus]],4,FALSE)</f>
        <v>Muud tegevuskulud</v>
      </c>
      <c r="O882" t="str">
        <f>VLOOKUP(Table2[[#This Row],[Tulu/kulu liik2]],Table5[],6,FALSE)</f>
        <v>Majandamiskulud</v>
      </c>
      <c r="P882" s="3" t="str">
        <f>VLOOKUP(Table2[[#This Row],[Tulu/kulu liik2]],Table5[],5,FALSE)</f>
        <v>Põhitegevuse kulu</v>
      </c>
    </row>
    <row r="883" spans="1:16" hidden="1" x14ac:dyDescent="0.25">
      <c r="A883" t="str">
        <f t="shared" si="26"/>
        <v>09</v>
      </c>
      <c r="B883" t="s">
        <v>247</v>
      </c>
      <c r="C883" s="3" t="str">
        <f>VLOOKUP(Table2[[#This Row],[Tegevusala]],Table4[],2,FALSE)</f>
        <v xml:space="preserve"> Roela kool</v>
      </c>
      <c r="D883" s="3" t="str">
        <f>VLOOKUP(Table2[[#This Row],[Tegevusala]],Table4[[Tegevusala kood]:[Tegevusala alanimetus]],4,FALSE)</f>
        <v>Põhihariduse otsekulud</v>
      </c>
      <c r="E883" s="3" t="str">
        <f>VLOOKUP(Table2[[#This Row],[Tegevusala nimetus2]],Table4[[Tegevusala nimetus]:[Tegevusala koondnimetus]],2,FALSE)</f>
        <v>Haridus</v>
      </c>
      <c r="F883" t="s">
        <v>166</v>
      </c>
      <c r="G883" t="s">
        <v>237</v>
      </c>
      <c r="H883" s="40">
        <v>700</v>
      </c>
      <c r="J883">
        <v>5525</v>
      </c>
      <c r="K883" s="3" t="str">
        <f>VLOOKUP(Table2[[#This Row],[Konto]],Table5[[Konto]:[Konto nimetus]],2,FALSE)</f>
        <v>Kommunikatsiooni-, kultuuri- ja vaba aja sisustamise kulud</v>
      </c>
      <c r="L883">
        <v>55</v>
      </c>
      <c r="M883" t="str">
        <f t="shared" si="27"/>
        <v>55</v>
      </c>
      <c r="N883" t="str">
        <f>VLOOKUP(Table2[[#This Row],[Tulu/kulu liik2]],Table5[[Tulu/kulu liik]:[Kontode koondnimetus]],4,FALSE)</f>
        <v>Muud tegevuskulud</v>
      </c>
      <c r="O883" t="str">
        <f>VLOOKUP(Table2[[#This Row],[Tulu/kulu liik2]],Table5[],6,FALSE)</f>
        <v>Majandamiskulud</v>
      </c>
      <c r="P883" s="3" t="str">
        <f>VLOOKUP(Table2[[#This Row],[Tulu/kulu liik2]],Table5[],5,FALSE)</f>
        <v>Põhitegevuse kulu</v>
      </c>
    </row>
    <row r="884" spans="1:16" hidden="1" x14ac:dyDescent="0.25">
      <c r="A884" t="str">
        <f t="shared" si="26"/>
        <v>09</v>
      </c>
      <c r="B884" t="s">
        <v>247</v>
      </c>
      <c r="C884" s="3" t="str">
        <f>VLOOKUP(Table2[[#This Row],[Tegevusala]],Table4[],2,FALSE)</f>
        <v xml:space="preserve"> Roela kool</v>
      </c>
      <c r="D884" s="3" t="str">
        <f>VLOOKUP(Table2[[#This Row],[Tegevusala]],Table4[[Tegevusala kood]:[Tegevusala alanimetus]],4,FALSE)</f>
        <v>Põhihariduse otsekulud</v>
      </c>
      <c r="E884" s="3" t="str">
        <f>VLOOKUP(Table2[[#This Row],[Tegevusala nimetus2]],Table4[[Tegevusala nimetus]:[Tegevusala koondnimetus]],2,FALSE)</f>
        <v>Haridus</v>
      </c>
      <c r="F884" t="s">
        <v>166</v>
      </c>
      <c r="G884" t="s">
        <v>177</v>
      </c>
      <c r="H884" s="40">
        <v>37000</v>
      </c>
      <c r="J884">
        <v>5511</v>
      </c>
      <c r="K884" s="3" t="str">
        <f>VLOOKUP(Table2[[#This Row],[Konto]],Table5[[Konto]:[Konto nimetus]],2,FALSE)</f>
        <v>Kinnistute, hoonete ja ruumide majandamiskulud</v>
      </c>
      <c r="L884">
        <v>55</v>
      </c>
      <c r="M884" t="str">
        <f t="shared" si="27"/>
        <v>55</v>
      </c>
      <c r="N884" t="str">
        <f>VLOOKUP(Table2[[#This Row],[Tulu/kulu liik2]],Table5[[Tulu/kulu liik]:[Kontode koondnimetus]],4,FALSE)</f>
        <v>Muud tegevuskulud</v>
      </c>
      <c r="O884" t="str">
        <f>VLOOKUP(Table2[[#This Row],[Tulu/kulu liik2]],Table5[],6,FALSE)</f>
        <v>Majandamiskulud</v>
      </c>
      <c r="P884" s="3" t="str">
        <f>VLOOKUP(Table2[[#This Row],[Tulu/kulu liik2]],Table5[],5,FALSE)</f>
        <v>Põhitegevuse kulu</v>
      </c>
    </row>
    <row r="885" spans="1:16" hidden="1" x14ac:dyDescent="0.25">
      <c r="A885" t="str">
        <f t="shared" si="26"/>
        <v>09</v>
      </c>
      <c r="B885" t="s">
        <v>247</v>
      </c>
      <c r="C885" s="3" t="str">
        <f>VLOOKUP(Table2[[#This Row],[Tegevusala]],Table4[],2,FALSE)</f>
        <v xml:space="preserve"> Roela kool</v>
      </c>
      <c r="D885" s="3" t="str">
        <f>VLOOKUP(Table2[[#This Row],[Tegevusala]],Table4[[Tegevusala kood]:[Tegevusala alanimetus]],4,FALSE)</f>
        <v>Põhihariduse otsekulud</v>
      </c>
      <c r="E885" s="3" t="str">
        <f>VLOOKUP(Table2[[#This Row],[Tegevusala nimetus2]],Table4[[Tegevusala nimetus]:[Tegevusala koondnimetus]],2,FALSE)</f>
        <v>Haridus</v>
      </c>
      <c r="F885" t="s">
        <v>166</v>
      </c>
      <c r="G885" t="s">
        <v>178</v>
      </c>
      <c r="H885" s="40">
        <v>6500</v>
      </c>
      <c r="J885">
        <v>5511</v>
      </c>
      <c r="K885" s="3" t="str">
        <f>VLOOKUP(Table2[[#This Row],[Konto]],Table5[[Konto]:[Konto nimetus]],2,FALSE)</f>
        <v>Kinnistute, hoonete ja ruumide majandamiskulud</v>
      </c>
      <c r="L885">
        <v>55</v>
      </c>
      <c r="M885" t="str">
        <f t="shared" si="27"/>
        <v>55</v>
      </c>
      <c r="N885" t="str">
        <f>VLOOKUP(Table2[[#This Row],[Tulu/kulu liik2]],Table5[[Tulu/kulu liik]:[Kontode koondnimetus]],4,FALSE)</f>
        <v>Muud tegevuskulud</v>
      </c>
      <c r="O885" t="str">
        <f>VLOOKUP(Table2[[#This Row],[Tulu/kulu liik2]],Table5[],6,FALSE)</f>
        <v>Majandamiskulud</v>
      </c>
      <c r="P885" s="3" t="str">
        <f>VLOOKUP(Table2[[#This Row],[Tulu/kulu liik2]],Table5[],5,FALSE)</f>
        <v>Põhitegevuse kulu</v>
      </c>
    </row>
    <row r="886" spans="1:16" hidden="1" x14ac:dyDescent="0.25">
      <c r="A886" t="str">
        <f t="shared" si="26"/>
        <v>09</v>
      </c>
      <c r="B886" t="s">
        <v>247</v>
      </c>
      <c r="C886" s="3" t="str">
        <f>VLOOKUP(Table2[[#This Row],[Tegevusala]],Table4[],2,FALSE)</f>
        <v xml:space="preserve"> Roela kool</v>
      </c>
      <c r="D886" s="3" t="str">
        <f>VLOOKUP(Table2[[#This Row],[Tegevusala]],Table4[[Tegevusala kood]:[Tegevusala alanimetus]],4,FALSE)</f>
        <v>Põhihariduse otsekulud</v>
      </c>
      <c r="E886" s="3" t="str">
        <f>VLOOKUP(Table2[[#This Row],[Tegevusala nimetus2]],Table4[[Tegevusala nimetus]:[Tegevusala koondnimetus]],2,FALSE)</f>
        <v>Haridus</v>
      </c>
      <c r="F886" t="s">
        <v>166</v>
      </c>
      <c r="G886" t="s">
        <v>179</v>
      </c>
      <c r="H886" s="40">
        <v>4000</v>
      </c>
      <c r="J886">
        <v>5511</v>
      </c>
      <c r="K886" s="3" t="str">
        <f>VLOOKUP(Table2[[#This Row],[Konto]],Table5[[Konto]:[Konto nimetus]],2,FALSE)</f>
        <v>Kinnistute, hoonete ja ruumide majandamiskulud</v>
      </c>
      <c r="L886">
        <v>55</v>
      </c>
      <c r="M886" t="str">
        <f t="shared" si="27"/>
        <v>55</v>
      </c>
      <c r="N886" t="str">
        <f>VLOOKUP(Table2[[#This Row],[Tulu/kulu liik2]],Table5[[Tulu/kulu liik]:[Kontode koondnimetus]],4,FALSE)</f>
        <v>Muud tegevuskulud</v>
      </c>
      <c r="O886" t="str">
        <f>VLOOKUP(Table2[[#This Row],[Tulu/kulu liik2]],Table5[],6,FALSE)</f>
        <v>Majandamiskulud</v>
      </c>
      <c r="P886" s="3" t="str">
        <f>VLOOKUP(Table2[[#This Row],[Tulu/kulu liik2]],Table5[],5,FALSE)</f>
        <v>Põhitegevuse kulu</v>
      </c>
    </row>
    <row r="887" spans="1:16" hidden="1" x14ac:dyDescent="0.25">
      <c r="A887" t="str">
        <f t="shared" si="26"/>
        <v>09</v>
      </c>
      <c r="B887" t="s">
        <v>247</v>
      </c>
      <c r="C887" s="3" t="str">
        <f>VLOOKUP(Table2[[#This Row],[Tegevusala]],Table4[],2,FALSE)</f>
        <v xml:space="preserve"> Roela kool</v>
      </c>
      <c r="D887" s="3" t="str">
        <f>VLOOKUP(Table2[[#This Row],[Tegevusala]],Table4[[Tegevusala kood]:[Tegevusala alanimetus]],4,FALSE)</f>
        <v>Põhihariduse otsekulud</v>
      </c>
      <c r="E887" s="3" t="str">
        <f>VLOOKUP(Table2[[#This Row],[Tegevusala nimetus2]],Table4[[Tegevusala nimetus]:[Tegevusala koondnimetus]],2,FALSE)</f>
        <v>Haridus</v>
      </c>
      <c r="F887" t="s">
        <v>166</v>
      </c>
      <c r="G887" t="s">
        <v>180</v>
      </c>
      <c r="H887" s="40">
        <v>489</v>
      </c>
      <c r="I887" s="2" t="s">
        <v>181</v>
      </c>
      <c r="J887">
        <v>5511</v>
      </c>
      <c r="K887" s="3" t="str">
        <f>VLOOKUP(Table2[[#This Row],[Konto]],Table5[[Konto]:[Konto nimetus]],2,FALSE)</f>
        <v>Kinnistute, hoonete ja ruumide majandamiskulud</v>
      </c>
      <c r="L887">
        <v>55</v>
      </c>
      <c r="M887" t="str">
        <f t="shared" si="27"/>
        <v>55</v>
      </c>
      <c r="N887" t="str">
        <f>VLOOKUP(Table2[[#This Row],[Tulu/kulu liik2]],Table5[[Tulu/kulu liik]:[Kontode koondnimetus]],4,FALSE)</f>
        <v>Muud tegevuskulud</v>
      </c>
      <c r="O887" t="str">
        <f>VLOOKUP(Table2[[#This Row],[Tulu/kulu liik2]],Table5[],6,FALSE)</f>
        <v>Majandamiskulud</v>
      </c>
      <c r="P887" s="3" t="str">
        <f>VLOOKUP(Table2[[#This Row],[Tulu/kulu liik2]],Table5[],5,FALSE)</f>
        <v>Põhitegevuse kulu</v>
      </c>
    </row>
    <row r="888" spans="1:16" hidden="1" x14ac:dyDescent="0.25">
      <c r="A888" t="str">
        <f t="shared" si="26"/>
        <v>09</v>
      </c>
      <c r="B888" t="s">
        <v>247</v>
      </c>
      <c r="C888" s="3" t="str">
        <f>VLOOKUP(Table2[[#This Row],[Tegevusala]],Table4[],2,FALSE)</f>
        <v xml:space="preserve"> Roela kool</v>
      </c>
      <c r="D888" s="3" t="str">
        <f>VLOOKUP(Table2[[#This Row],[Tegevusala]],Table4[[Tegevusala kood]:[Tegevusala alanimetus]],4,FALSE)</f>
        <v>Põhihariduse otsekulud</v>
      </c>
      <c r="E888" s="3" t="str">
        <f>VLOOKUP(Table2[[#This Row],[Tegevusala nimetus2]],Table4[[Tegevusala nimetus]:[Tegevusala koondnimetus]],2,FALSE)</f>
        <v>Haridus</v>
      </c>
      <c r="F888" t="s">
        <v>166</v>
      </c>
      <c r="G888" t="s">
        <v>182</v>
      </c>
      <c r="H888" s="40">
        <v>850</v>
      </c>
      <c r="I888" s="2" t="s">
        <v>183</v>
      </c>
      <c r="J888">
        <v>5511</v>
      </c>
      <c r="K888" s="3" t="str">
        <f>VLOOKUP(Table2[[#This Row],[Konto]],Table5[[Konto]:[Konto nimetus]],2,FALSE)</f>
        <v>Kinnistute, hoonete ja ruumide majandamiskulud</v>
      </c>
      <c r="L888">
        <v>55</v>
      </c>
      <c r="M888" t="str">
        <f t="shared" si="27"/>
        <v>55</v>
      </c>
      <c r="N888" t="str">
        <f>VLOOKUP(Table2[[#This Row],[Tulu/kulu liik2]],Table5[[Tulu/kulu liik]:[Kontode koondnimetus]],4,FALSE)</f>
        <v>Muud tegevuskulud</v>
      </c>
      <c r="O888" t="str">
        <f>VLOOKUP(Table2[[#This Row],[Tulu/kulu liik2]],Table5[],6,FALSE)</f>
        <v>Majandamiskulud</v>
      </c>
      <c r="P888" s="3" t="str">
        <f>VLOOKUP(Table2[[#This Row],[Tulu/kulu liik2]],Table5[],5,FALSE)</f>
        <v>Põhitegevuse kulu</v>
      </c>
    </row>
    <row r="889" spans="1:16" hidden="1" x14ac:dyDescent="0.25">
      <c r="A889" t="str">
        <f t="shared" si="26"/>
        <v>09</v>
      </c>
      <c r="B889" t="s">
        <v>247</v>
      </c>
      <c r="C889" s="3" t="str">
        <f>VLOOKUP(Table2[[#This Row],[Tegevusala]],Table4[],2,FALSE)</f>
        <v xml:space="preserve"> Roela kool</v>
      </c>
      <c r="D889" s="3" t="str">
        <f>VLOOKUP(Table2[[#This Row],[Tegevusala]],Table4[[Tegevusala kood]:[Tegevusala alanimetus]],4,FALSE)</f>
        <v>Põhihariduse otsekulud</v>
      </c>
      <c r="E889" s="3" t="str">
        <f>VLOOKUP(Table2[[#This Row],[Tegevusala nimetus2]],Table4[[Tegevusala nimetus]:[Tegevusala koondnimetus]],2,FALSE)</f>
        <v>Haridus</v>
      </c>
      <c r="F889" t="s">
        <v>166</v>
      </c>
      <c r="G889" t="s">
        <v>184</v>
      </c>
      <c r="H889" s="40">
        <v>800</v>
      </c>
      <c r="I889" s="2" t="s">
        <v>185</v>
      </c>
      <c r="J889">
        <v>5511</v>
      </c>
      <c r="K889" s="3" t="str">
        <f>VLOOKUP(Table2[[#This Row],[Konto]],Table5[[Konto]:[Konto nimetus]],2,FALSE)</f>
        <v>Kinnistute, hoonete ja ruumide majandamiskulud</v>
      </c>
      <c r="L889">
        <v>55</v>
      </c>
      <c r="M889" t="str">
        <f t="shared" si="27"/>
        <v>55</v>
      </c>
      <c r="N889" t="str">
        <f>VLOOKUP(Table2[[#This Row],[Tulu/kulu liik2]],Table5[[Tulu/kulu liik]:[Kontode koondnimetus]],4,FALSE)</f>
        <v>Muud tegevuskulud</v>
      </c>
      <c r="O889" t="str">
        <f>VLOOKUP(Table2[[#This Row],[Tulu/kulu liik2]],Table5[],6,FALSE)</f>
        <v>Majandamiskulud</v>
      </c>
      <c r="P889" s="3" t="str">
        <f>VLOOKUP(Table2[[#This Row],[Tulu/kulu liik2]],Table5[],5,FALSE)</f>
        <v>Põhitegevuse kulu</v>
      </c>
    </row>
    <row r="890" spans="1:16" hidden="1" x14ac:dyDescent="0.25">
      <c r="A890" t="str">
        <f t="shared" si="26"/>
        <v>09</v>
      </c>
      <c r="B890" t="s">
        <v>247</v>
      </c>
      <c r="C890" s="3" t="str">
        <f>VLOOKUP(Table2[[#This Row],[Tegevusala]],Table4[],2,FALSE)</f>
        <v xml:space="preserve"> Roela kool</v>
      </c>
      <c r="D890" s="3" t="str">
        <f>VLOOKUP(Table2[[#This Row],[Tegevusala]],Table4[[Tegevusala kood]:[Tegevusala alanimetus]],4,FALSE)</f>
        <v>Põhihariduse otsekulud</v>
      </c>
      <c r="E890" s="3" t="str">
        <f>VLOOKUP(Table2[[#This Row],[Tegevusala nimetus2]],Table4[[Tegevusala nimetus]:[Tegevusala koondnimetus]],2,FALSE)</f>
        <v>Haridus</v>
      </c>
      <c r="F890" t="s">
        <v>166</v>
      </c>
      <c r="G890" t="s">
        <v>186</v>
      </c>
      <c r="H890" s="40">
        <v>450</v>
      </c>
      <c r="I890" s="2" t="s">
        <v>187</v>
      </c>
      <c r="J890">
        <v>5511</v>
      </c>
      <c r="K890" s="3" t="str">
        <f>VLOOKUP(Table2[[#This Row],[Konto]],Table5[[Konto]:[Konto nimetus]],2,FALSE)</f>
        <v>Kinnistute, hoonete ja ruumide majandamiskulud</v>
      </c>
      <c r="L890">
        <v>55</v>
      </c>
      <c r="M890" t="str">
        <f t="shared" si="27"/>
        <v>55</v>
      </c>
      <c r="N890" t="str">
        <f>VLOOKUP(Table2[[#This Row],[Tulu/kulu liik2]],Table5[[Tulu/kulu liik]:[Kontode koondnimetus]],4,FALSE)</f>
        <v>Muud tegevuskulud</v>
      </c>
      <c r="O890" t="str">
        <f>VLOOKUP(Table2[[#This Row],[Tulu/kulu liik2]],Table5[],6,FALSE)</f>
        <v>Majandamiskulud</v>
      </c>
      <c r="P890" s="3" t="str">
        <f>VLOOKUP(Table2[[#This Row],[Tulu/kulu liik2]],Table5[],5,FALSE)</f>
        <v>Põhitegevuse kulu</v>
      </c>
    </row>
    <row r="891" spans="1:16" hidden="1" x14ac:dyDescent="0.25">
      <c r="A891" t="str">
        <f t="shared" si="26"/>
        <v>09</v>
      </c>
      <c r="B891" t="s">
        <v>247</v>
      </c>
      <c r="C891" s="3" t="str">
        <f>VLOOKUP(Table2[[#This Row],[Tegevusala]],Table4[],2,FALSE)</f>
        <v xml:space="preserve"> Roela kool</v>
      </c>
      <c r="D891" s="3" t="str">
        <f>VLOOKUP(Table2[[#This Row],[Tegevusala]],Table4[[Tegevusala kood]:[Tegevusala alanimetus]],4,FALSE)</f>
        <v>Põhihariduse otsekulud</v>
      </c>
      <c r="E891" s="3" t="str">
        <f>VLOOKUP(Table2[[#This Row],[Tegevusala nimetus2]],Table4[[Tegevusala nimetus]:[Tegevusala koondnimetus]],2,FALSE)</f>
        <v>Haridus</v>
      </c>
      <c r="F891" t="s">
        <v>166</v>
      </c>
      <c r="G891" t="s">
        <v>188</v>
      </c>
      <c r="H891" s="40">
        <v>106</v>
      </c>
      <c r="I891" s="2" t="s">
        <v>189</v>
      </c>
      <c r="J891">
        <v>5511</v>
      </c>
      <c r="K891" s="3" t="str">
        <f>VLOOKUP(Table2[[#This Row],[Konto]],Table5[[Konto]:[Konto nimetus]],2,FALSE)</f>
        <v>Kinnistute, hoonete ja ruumide majandamiskulud</v>
      </c>
      <c r="L891">
        <v>55</v>
      </c>
      <c r="M891" t="str">
        <f t="shared" si="27"/>
        <v>55</v>
      </c>
      <c r="N891" t="str">
        <f>VLOOKUP(Table2[[#This Row],[Tulu/kulu liik2]],Table5[[Tulu/kulu liik]:[Kontode koondnimetus]],4,FALSE)</f>
        <v>Muud tegevuskulud</v>
      </c>
      <c r="O891" t="str">
        <f>VLOOKUP(Table2[[#This Row],[Tulu/kulu liik2]],Table5[],6,FALSE)</f>
        <v>Majandamiskulud</v>
      </c>
      <c r="P891" s="3" t="str">
        <f>VLOOKUP(Table2[[#This Row],[Tulu/kulu liik2]],Table5[],5,FALSE)</f>
        <v>Põhitegevuse kulu</v>
      </c>
    </row>
    <row r="892" spans="1:16" hidden="1" x14ac:dyDescent="0.25">
      <c r="A892" t="str">
        <f t="shared" si="26"/>
        <v>09</v>
      </c>
      <c r="B892" t="s">
        <v>247</v>
      </c>
      <c r="C892" s="3" t="str">
        <f>VLOOKUP(Table2[[#This Row],[Tegevusala]],Table4[],2,FALSE)</f>
        <v xml:space="preserve"> Roela kool</v>
      </c>
      <c r="D892" s="3" t="str">
        <f>VLOOKUP(Table2[[#This Row],[Tegevusala]],Table4[[Tegevusala kood]:[Tegevusala alanimetus]],4,FALSE)</f>
        <v>Põhihariduse otsekulud</v>
      </c>
      <c r="E892" s="3" t="str">
        <f>VLOOKUP(Table2[[#This Row],[Tegevusala nimetus2]],Table4[[Tegevusala nimetus]:[Tegevusala koondnimetus]],2,FALSE)</f>
        <v>Haridus</v>
      </c>
      <c r="F892" t="s">
        <v>166</v>
      </c>
      <c r="G892" t="s">
        <v>190</v>
      </c>
      <c r="H892" s="40">
        <v>92</v>
      </c>
      <c r="I892" s="2" t="s">
        <v>191</v>
      </c>
      <c r="J892">
        <v>5511</v>
      </c>
      <c r="K892" s="3" t="str">
        <f>VLOOKUP(Table2[[#This Row],[Konto]],Table5[[Konto]:[Konto nimetus]],2,FALSE)</f>
        <v>Kinnistute, hoonete ja ruumide majandamiskulud</v>
      </c>
      <c r="L892">
        <v>55</v>
      </c>
      <c r="M892" t="str">
        <f t="shared" si="27"/>
        <v>55</v>
      </c>
      <c r="N892" t="str">
        <f>VLOOKUP(Table2[[#This Row],[Tulu/kulu liik2]],Table5[[Tulu/kulu liik]:[Kontode koondnimetus]],4,FALSE)</f>
        <v>Muud tegevuskulud</v>
      </c>
      <c r="O892" t="str">
        <f>VLOOKUP(Table2[[#This Row],[Tulu/kulu liik2]],Table5[],6,FALSE)</f>
        <v>Majandamiskulud</v>
      </c>
      <c r="P892" s="3" t="str">
        <f>VLOOKUP(Table2[[#This Row],[Tulu/kulu liik2]],Table5[],5,FALSE)</f>
        <v>Põhitegevuse kulu</v>
      </c>
    </row>
    <row r="893" spans="1:16" hidden="1" x14ac:dyDescent="0.25">
      <c r="A893" t="str">
        <f t="shared" si="26"/>
        <v>09</v>
      </c>
      <c r="B893" t="s">
        <v>247</v>
      </c>
      <c r="C893" s="3" t="str">
        <f>VLOOKUP(Table2[[#This Row],[Tegevusala]],Table4[],2,FALSE)</f>
        <v xml:space="preserve"> Roela kool</v>
      </c>
      <c r="D893" s="3" t="str">
        <f>VLOOKUP(Table2[[#This Row],[Tegevusala]],Table4[[Tegevusala kood]:[Tegevusala alanimetus]],4,FALSE)</f>
        <v>Põhihariduse otsekulud</v>
      </c>
      <c r="E893" s="3" t="str">
        <f>VLOOKUP(Table2[[#This Row],[Tegevusala nimetus2]],Table4[[Tegevusala nimetus]:[Tegevusala koondnimetus]],2,FALSE)</f>
        <v>Haridus</v>
      </c>
      <c r="F893" t="s">
        <v>166</v>
      </c>
      <c r="G893" t="s">
        <v>192</v>
      </c>
      <c r="H893" s="40">
        <v>113</v>
      </c>
      <c r="I893" s="2" t="s">
        <v>193</v>
      </c>
      <c r="J893">
        <v>5511</v>
      </c>
      <c r="K893" s="3" t="str">
        <f>VLOOKUP(Table2[[#This Row],[Konto]],Table5[[Konto]:[Konto nimetus]],2,FALSE)</f>
        <v>Kinnistute, hoonete ja ruumide majandamiskulud</v>
      </c>
      <c r="L893">
        <v>55</v>
      </c>
      <c r="M893" t="str">
        <f t="shared" si="27"/>
        <v>55</v>
      </c>
      <c r="N893" t="str">
        <f>VLOOKUP(Table2[[#This Row],[Tulu/kulu liik2]],Table5[[Tulu/kulu liik]:[Kontode koondnimetus]],4,FALSE)</f>
        <v>Muud tegevuskulud</v>
      </c>
      <c r="O893" t="str">
        <f>VLOOKUP(Table2[[#This Row],[Tulu/kulu liik2]],Table5[],6,FALSE)</f>
        <v>Majandamiskulud</v>
      </c>
      <c r="P893" s="3" t="str">
        <f>VLOOKUP(Table2[[#This Row],[Tulu/kulu liik2]],Table5[],5,FALSE)</f>
        <v>Põhitegevuse kulu</v>
      </c>
    </row>
    <row r="894" spans="1:16" hidden="1" x14ac:dyDescent="0.25">
      <c r="A894" t="str">
        <f t="shared" ref="A894:A957" si="28">LEFT(B894,2)</f>
        <v>09</v>
      </c>
      <c r="B894" t="s">
        <v>247</v>
      </c>
      <c r="C894" s="3" t="str">
        <f>VLOOKUP(Table2[[#This Row],[Tegevusala]],Table4[],2,FALSE)</f>
        <v xml:space="preserve"> Roela kool</v>
      </c>
      <c r="D894" s="3" t="str">
        <f>VLOOKUP(Table2[[#This Row],[Tegevusala]],Table4[[Tegevusala kood]:[Tegevusala alanimetus]],4,FALSE)</f>
        <v>Põhihariduse otsekulud</v>
      </c>
      <c r="E894" s="3" t="str">
        <f>VLOOKUP(Table2[[#This Row],[Tegevusala nimetus2]],Table4[[Tegevusala nimetus]:[Tegevusala koondnimetus]],2,FALSE)</f>
        <v>Haridus</v>
      </c>
      <c r="F894" t="s">
        <v>166</v>
      </c>
      <c r="G894" t="s">
        <v>194</v>
      </c>
      <c r="H894" s="40">
        <v>1400</v>
      </c>
      <c r="I894" s="2" t="s">
        <v>195</v>
      </c>
      <c r="J894">
        <v>5511</v>
      </c>
      <c r="K894" s="3" t="str">
        <f>VLOOKUP(Table2[[#This Row],[Konto]],Table5[[Konto]:[Konto nimetus]],2,FALSE)</f>
        <v>Kinnistute, hoonete ja ruumide majandamiskulud</v>
      </c>
      <c r="L894">
        <v>55</v>
      </c>
      <c r="M894" t="str">
        <f t="shared" ref="M894:M957" si="29">LEFT(J894,2)</f>
        <v>55</v>
      </c>
      <c r="N894" t="str">
        <f>VLOOKUP(Table2[[#This Row],[Tulu/kulu liik2]],Table5[[Tulu/kulu liik]:[Kontode koondnimetus]],4,FALSE)</f>
        <v>Muud tegevuskulud</v>
      </c>
      <c r="O894" t="str">
        <f>VLOOKUP(Table2[[#This Row],[Tulu/kulu liik2]],Table5[],6,FALSE)</f>
        <v>Majandamiskulud</v>
      </c>
      <c r="P894" s="3" t="str">
        <f>VLOOKUP(Table2[[#This Row],[Tulu/kulu liik2]],Table5[],5,FALSE)</f>
        <v>Põhitegevuse kulu</v>
      </c>
    </row>
    <row r="895" spans="1:16" hidden="1" x14ac:dyDescent="0.25">
      <c r="A895" t="str">
        <f t="shared" si="28"/>
        <v>09</v>
      </c>
      <c r="B895" t="s">
        <v>247</v>
      </c>
      <c r="C895" s="3" t="str">
        <f>VLOOKUP(Table2[[#This Row],[Tegevusala]],Table4[],2,FALSE)</f>
        <v xml:space="preserve"> Roela kool</v>
      </c>
      <c r="D895" s="3" t="str">
        <f>VLOOKUP(Table2[[#This Row],[Tegevusala]],Table4[[Tegevusala kood]:[Tegevusala alanimetus]],4,FALSE)</f>
        <v>Põhihariduse otsekulud</v>
      </c>
      <c r="E895" s="3" t="str">
        <f>VLOOKUP(Table2[[#This Row],[Tegevusala nimetus2]],Table4[[Tegevusala nimetus]:[Tegevusala koondnimetus]],2,FALSE)</f>
        <v>Haridus</v>
      </c>
      <c r="F895" t="s">
        <v>166</v>
      </c>
      <c r="G895" t="s">
        <v>196</v>
      </c>
      <c r="H895" s="40">
        <v>4500</v>
      </c>
      <c r="J895">
        <v>5511</v>
      </c>
      <c r="K895" s="3" t="str">
        <f>VLOOKUP(Table2[[#This Row],[Konto]],Table5[[Konto]:[Konto nimetus]],2,FALSE)</f>
        <v>Kinnistute, hoonete ja ruumide majandamiskulud</v>
      </c>
      <c r="L895">
        <v>55</v>
      </c>
      <c r="M895" t="str">
        <f t="shared" si="29"/>
        <v>55</v>
      </c>
      <c r="N895" t="str">
        <f>VLOOKUP(Table2[[#This Row],[Tulu/kulu liik2]],Table5[[Tulu/kulu liik]:[Kontode koondnimetus]],4,FALSE)</f>
        <v>Muud tegevuskulud</v>
      </c>
      <c r="O895" t="str">
        <f>VLOOKUP(Table2[[#This Row],[Tulu/kulu liik2]],Table5[],6,FALSE)</f>
        <v>Majandamiskulud</v>
      </c>
      <c r="P895" s="3" t="str">
        <f>VLOOKUP(Table2[[#This Row],[Tulu/kulu liik2]],Table5[],5,FALSE)</f>
        <v>Põhitegevuse kulu</v>
      </c>
    </row>
    <row r="896" spans="1:16" hidden="1" x14ac:dyDescent="0.25">
      <c r="A896" t="str">
        <f t="shared" si="28"/>
        <v>09</v>
      </c>
      <c r="B896" t="s">
        <v>247</v>
      </c>
      <c r="C896" s="3" t="str">
        <f>VLOOKUP(Table2[[#This Row],[Tegevusala]],Table4[],2,FALSE)</f>
        <v xml:space="preserve"> Roela kool</v>
      </c>
      <c r="D896" s="3" t="str">
        <f>VLOOKUP(Table2[[#This Row],[Tegevusala]],Table4[[Tegevusala kood]:[Tegevusala alanimetus]],4,FALSE)</f>
        <v>Põhihariduse otsekulud</v>
      </c>
      <c r="E896" s="3" t="str">
        <f>VLOOKUP(Table2[[#This Row],[Tegevusala nimetus2]],Table4[[Tegevusala nimetus]:[Tegevusala koondnimetus]],2,FALSE)</f>
        <v>Haridus</v>
      </c>
      <c r="F896" t="s">
        <v>166</v>
      </c>
      <c r="G896" t="s">
        <v>238</v>
      </c>
      <c r="H896" s="40">
        <v>400</v>
      </c>
      <c r="I896" s="2" t="s">
        <v>239</v>
      </c>
      <c r="J896">
        <v>5514</v>
      </c>
      <c r="K896" s="3" t="str">
        <f>VLOOKUP(Table2[[#This Row],[Konto]],Table5[[Konto]:[Konto nimetus]],2,FALSE)</f>
        <v>Info- ja kommunikatsioonitehnoliigised kulud</v>
      </c>
      <c r="L896">
        <v>55</v>
      </c>
      <c r="M896" t="str">
        <f t="shared" si="29"/>
        <v>55</v>
      </c>
      <c r="N896" t="str">
        <f>VLOOKUP(Table2[[#This Row],[Tulu/kulu liik2]],Table5[[Tulu/kulu liik]:[Kontode koondnimetus]],4,FALSE)</f>
        <v>Muud tegevuskulud</v>
      </c>
      <c r="O896" t="str">
        <f>VLOOKUP(Table2[[#This Row],[Tulu/kulu liik2]],Table5[],6,FALSE)</f>
        <v>Majandamiskulud</v>
      </c>
      <c r="P896" s="3" t="str">
        <f>VLOOKUP(Table2[[#This Row],[Tulu/kulu liik2]],Table5[],5,FALSE)</f>
        <v>Põhitegevuse kulu</v>
      </c>
    </row>
    <row r="897" spans="1:16" hidden="1" x14ac:dyDescent="0.25">
      <c r="A897" t="str">
        <f t="shared" si="28"/>
        <v>09</v>
      </c>
      <c r="B897" t="s">
        <v>247</v>
      </c>
      <c r="C897" s="3" t="str">
        <f>VLOOKUP(Table2[[#This Row],[Tegevusala]],Table4[],2,FALSE)</f>
        <v xml:space="preserve"> Roela kool</v>
      </c>
      <c r="D897" s="3" t="str">
        <f>VLOOKUP(Table2[[#This Row],[Tegevusala]],Table4[[Tegevusala kood]:[Tegevusala alanimetus]],4,FALSE)</f>
        <v>Põhihariduse otsekulud</v>
      </c>
      <c r="E897" s="3" t="str">
        <f>VLOOKUP(Table2[[#This Row],[Tegevusala nimetus2]],Table4[[Tegevusala nimetus]:[Tegevusala koondnimetus]],2,FALSE)</f>
        <v>Haridus</v>
      </c>
      <c r="F897" t="s">
        <v>166</v>
      </c>
      <c r="G897" t="s">
        <v>242</v>
      </c>
      <c r="H897" s="40">
        <v>250</v>
      </c>
      <c r="I897" s="2" t="s">
        <v>243</v>
      </c>
      <c r="J897">
        <v>5514</v>
      </c>
      <c r="K897" s="3" t="str">
        <f>VLOOKUP(Table2[[#This Row],[Konto]],Table5[[Konto]:[Konto nimetus]],2,FALSE)</f>
        <v>Info- ja kommunikatsioonitehnoliigised kulud</v>
      </c>
      <c r="L897">
        <v>55</v>
      </c>
      <c r="M897" t="str">
        <f t="shared" si="29"/>
        <v>55</v>
      </c>
      <c r="N897" t="str">
        <f>VLOOKUP(Table2[[#This Row],[Tulu/kulu liik2]],Table5[[Tulu/kulu liik]:[Kontode koondnimetus]],4,FALSE)</f>
        <v>Muud tegevuskulud</v>
      </c>
      <c r="O897" t="str">
        <f>VLOOKUP(Table2[[#This Row],[Tulu/kulu liik2]],Table5[],6,FALSE)</f>
        <v>Majandamiskulud</v>
      </c>
      <c r="P897" s="3" t="str">
        <f>VLOOKUP(Table2[[#This Row],[Tulu/kulu liik2]],Table5[],5,FALSE)</f>
        <v>Põhitegevuse kulu</v>
      </c>
    </row>
    <row r="898" spans="1:16" hidden="1" x14ac:dyDescent="0.25">
      <c r="A898" t="str">
        <f t="shared" si="28"/>
        <v>09</v>
      </c>
      <c r="B898" t="s">
        <v>247</v>
      </c>
      <c r="C898" s="3" t="str">
        <f>VLOOKUP(Table2[[#This Row],[Tegevusala]],Table4[],2,FALSE)</f>
        <v xml:space="preserve"> Roela kool</v>
      </c>
      <c r="D898" s="3" t="str">
        <f>VLOOKUP(Table2[[#This Row],[Tegevusala]],Table4[[Tegevusala kood]:[Tegevusala alanimetus]],4,FALSE)</f>
        <v>Põhihariduse otsekulud</v>
      </c>
      <c r="E898" s="3" t="str">
        <f>VLOOKUP(Table2[[#This Row],[Tegevusala nimetus2]],Table4[[Tegevusala nimetus]:[Tegevusala koondnimetus]],2,FALSE)</f>
        <v>Haridus</v>
      </c>
      <c r="F898" t="s">
        <v>166</v>
      </c>
      <c r="G898" t="s">
        <v>244</v>
      </c>
      <c r="H898" s="40">
        <v>20</v>
      </c>
      <c r="J898">
        <v>5514</v>
      </c>
      <c r="K898" s="3" t="str">
        <f>VLOOKUP(Table2[[#This Row],[Konto]],Table5[[Konto]:[Konto nimetus]],2,FALSE)</f>
        <v>Info- ja kommunikatsioonitehnoliigised kulud</v>
      </c>
      <c r="L898">
        <v>55</v>
      </c>
      <c r="M898" t="str">
        <f t="shared" si="29"/>
        <v>55</v>
      </c>
      <c r="N898" t="str">
        <f>VLOOKUP(Table2[[#This Row],[Tulu/kulu liik2]],Table5[[Tulu/kulu liik]:[Kontode koondnimetus]],4,FALSE)</f>
        <v>Muud tegevuskulud</v>
      </c>
      <c r="O898" t="str">
        <f>VLOOKUP(Table2[[#This Row],[Tulu/kulu liik2]],Table5[],6,FALSE)</f>
        <v>Majandamiskulud</v>
      </c>
      <c r="P898" s="3" t="str">
        <f>VLOOKUP(Table2[[#This Row],[Tulu/kulu liik2]],Table5[],5,FALSE)</f>
        <v>Põhitegevuse kulu</v>
      </c>
    </row>
    <row r="899" spans="1:16" hidden="1" x14ac:dyDescent="0.25">
      <c r="A899" t="str">
        <f t="shared" si="28"/>
        <v>09</v>
      </c>
      <c r="B899" t="s">
        <v>247</v>
      </c>
      <c r="C899" s="3" t="str">
        <f>VLOOKUP(Table2[[#This Row],[Tegevusala]],Table4[],2,FALSE)</f>
        <v xml:space="preserve"> Roela kool</v>
      </c>
      <c r="D899" s="3" t="str">
        <f>VLOOKUP(Table2[[#This Row],[Tegevusala]],Table4[[Tegevusala kood]:[Tegevusala alanimetus]],4,FALSE)</f>
        <v>Põhihariduse otsekulud</v>
      </c>
      <c r="E899" s="3" t="str">
        <f>VLOOKUP(Table2[[#This Row],[Tegevusala nimetus2]],Table4[[Tegevusala nimetus]:[Tegevusala koondnimetus]],2,FALSE)</f>
        <v>Haridus</v>
      </c>
      <c r="F899" t="s">
        <v>166</v>
      </c>
      <c r="G899" t="s">
        <v>209</v>
      </c>
      <c r="H899" s="40">
        <v>1000</v>
      </c>
      <c r="I899" s="2" t="s">
        <v>210</v>
      </c>
      <c r="J899">
        <v>5514</v>
      </c>
      <c r="K899" s="3" t="str">
        <f>VLOOKUP(Table2[[#This Row],[Konto]],Table5[[Konto]:[Konto nimetus]],2,FALSE)</f>
        <v>Info- ja kommunikatsioonitehnoliigised kulud</v>
      </c>
      <c r="L899">
        <v>55</v>
      </c>
      <c r="M899" t="str">
        <f t="shared" si="29"/>
        <v>55</v>
      </c>
      <c r="N899" t="str">
        <f>VLOOKUP(Table2[[#This Row],[Tulu/kulu liik2]],Table5[[Tulu/kulu liik]:[Kontode koondnimetus]],4,FALSE)</f>
        <v>Muud tegevuskulud</v>
      </c>
      <c r="O899" t="str">
        <f>VLOOKUP(Table2[[#This Row],[Tulu/kulu liik2]],Table5[],6,FALSE)</f>
        <v>Majandamiskulud</v>
      </c>
      <c r="P899" s="3" t="str">
        <f>VLOOKUP(Table2[[#This Row],[Tulu/kulu liik2]],Table5[],5,FALSE)</f>
        <v>Põhitegevuse kulu</v>
      </c>
    </row>
    <row r="900" spans="1:16" hidden="1" x14ac:dyDescent="0.25">
      <c r="A900" t="str">
        <f t="shared" si="28"/>
        <v>09</v>
      </c>
      <c r="B900" t="s">
        <v>247</v>
      </c>
      <c r="C900" s="3" t="str">
        <f>VLOOKUP(Table2[[#This Row],[Tegevusala]],Table4[],2,FALSE)</f>
        <v xml:space="preserve"> Roela kool</v>
      </c>
      <c r="D900" s="3" t="str">
        <f>VLOOKUP(Table2[[#This Row],[Tegevusala]],Table4[[Tegevusala kood]:[Tegevusala alanimetus]],4,FALSE)</f>
        <v>Põhihariduse otsekulud</v>
      </c>
      <c r="E900" s="3" t="str">
        <f>VLOOKUP(Table2[[#This Row],[Tegevusala nimetus2]],Table4[[Tegevusala nimetus]:[Tegevusala koondnimetus]],2,FALSE)</f>
        <v>Haridus</v>
      </c>
      <c r="F900" t="s">
        <v>822</v>
      </c>
      <c r="G900" t="s">
        <v>2036</v>
      </c>
      <c r="H900" s="40">
        <v>95000</v>
      </c>
      <c r="J900">
        <v>1551</v>
      </c>
      <c r="K900" s="3" t="str">
        <f>VLOOKUP(Table2[[#This Row],[Konto]],Table5[[Konto]:[Konto nimetus]],2,FALSE)</f>
        <v>Rajatiste ja hoonete soetamine ja renoveerimine</v>
      </c>
      <c r="L900">
        <v>15</v>
      </c>
      <c r="M900" t="str">
        <f t="shared" si="29"/>
        <v>15</v>
      </c>
      <c r="N900" s="3" t="str">
        <f>VLOOKUP(Table2[[#This Row],[Tulu/kulu liik2]],Table5[[Tulu/kulu liik]:[Kontode koondnimetus]],4,FALSE)</f>
        <v>Põhivara soetus (-)</v>
      </c>
      <c r="O900" s="34" t="str">
        <f>VLOOKUP(Table2[[#This Row],[Tulu/kulu liik2]],Table5[],6,FALSE)</f>
        <v>Põhivara soetus (-)</v>
      </c>
      <c r="P900" s="3" t="str">
        <f>VLOOKUP(Table2[[#This Row],[Tulu/kulu liik2]],Table5[],5,FALSE)</f>
        <v>Investeerimistegevus</v>
      </c>
    </row>
    <row r="901" spans="1:16" hidden="1" x14ac:dyDescent="0.25">
      <c r="A901" s="77" t="str">
        <f t="shared" si="28"/>
        <v>09</v>
      </c>
      <c r="B901" s="77" t="s">
        <v>247</v>
      </c>
      <c r="C901" s="79" t="str">
        <f>VLOOKUP(Table2[[#This Row],[Tegevusala]],Table4[],2,FALSE)</f>
        <v xml:space="preserve"> Roela kool</v>
      </c>
      <c r="D901" s="79" t="str">
        <f>VLOOKUP(Table2[[#This Row],[Tegevusala]],Table4[[Tegevusala kood]:[Tegevusala alanimetus]],4,FALSE)</f>
        <v>Põhihariduse otsekulud</v>
      </c>
      <c r="E901" s="79" t="str">
        <f>VLOOKUP(Table2[[#This Row],[Tegevusala nimetus2]],Table4[[Tegevusala nimetus]:[Tegevusala koondnimetus]],2,FALSE)</f>
        <v>Haridus</v>
      </c>
      <c r="F901" s="77" t="s">
        <v>596</v>
      </c>
      <c r="G901" s="77" t="s">
        <v>591</v>
      </c>
      <c r="H901" s="78">
        <v>785.4</v>
      </c>
      <c r="I901" s="80" t="s">
        <v>601</v>
      </c>
      <c r="J901" s="77">
        <v>5511</v>
      </c>
      <c r="K901" s="79" t="str">
        <f>VLOOKUP(Table2[[#This Row],[Konto]],Table5[[Konto]:[Konto nimetus]],2,FALSE)</f>
        <v>Kinnistute, hoonete ja ruumide majandamiskulud</v>
      </c>
      <c r="L901" s="77">
        <v>55</v>
      </c>
      <c r="M901" s="77" t="str">
        <f t="shared" si="29"/>
        <v>55</v>
      </c>
      <c r="N901" s="79" t="str">
        <f>VLOOKUP(Table2[[#This Row],[Tulu/kulu liik2]],Table5[[Tulu/kulu liik]:[Kontode koondnimetus]],4,FALSE)</f>
        <v>Muud tegevuskulud</v>
      </c>
      <c r="O901" s="79" t="str">
        <f>VLOOKUP(Table2[[#This Row],[Tulu/kulu liik2]],Table5[],6,FALSE)</f>
        <v>Majandamiskulud</v>
      </c>
      <c r="P901" s="79" t="str">
        <f>VLOOKUP(Table2[[#This Row],[Tulu/kulu liik2]],Table5[],5,FALSE)</f>
        <v>Põhitegevuse kulu</v>
      </c>
    </row>
    <row r="902" spans="1:16" hidden="1" x14ac:dyDescent="0.25">
      <c r="A902" s="77" t="str">
        <f t="shared" si="28"/>
        <v>09</v>
      </c>
      <c r="B902" s="77" t="s">
        <v>247</v>
      </c>
      <c r="C902" s="79" t="str">
        <f>VLOOKUP(Table2[[#This Row],[Tegevusala]],Table4[],2,FALSE)</f>
        <v xml:space="preserve"> Roela kool</v>
      </c>
      <c r="D902" s="79" t="str">
        <f>VLOOKUP(Table2[[#This Row],[Tegevusala]],Table4[[Tegevusala kood]:[Tegevusala alanimetus]],4,FALSE)</f>
        <v>Põhihariduse otsekulud</v>
      </c>
      <c r="E902" s="79" t="str">
        <f>VLOOKUP(Table2[[#This Row],[Tegevusala nimetus2]],Table4[[Tegevusala nimetus]:[Tegevusala koondnimetus]],2,FALSE)</f>
        <v>Haridus</v>
      </c>
      <c r="F902" s="77" t="s">
        <v>596</v>
      </c>
      <c r="G902" s="77" t="s">
        <v>593</v>
      </c>
      <c r="H902" s="78">
        <v>4580</v>
      </c>
      <c r="I902" s="80" t="s">
        <v>603</v>
      </c>
      <c r="J902" s="77">
        <v>5525</v>
      </c>
      <c r="K902" s="79" t="str">
        <f>VLOOKUP(Table2[[#This Row],[Konto]],Table5[[Konto]:[Konto nimetus]],2,FALSE)</f>
        <v>Kommunikatsiooni-, kultuuri- ja vaba aja sisustamise kulud</v>
      </c>
      <c r="L902" s="77">
        <v>55</v>
      </c>
      <c r="M902" s="77" t="str">
        <f t="shared" si="29"/>
        <v>55</v>
      </c>
      <c r="N902" s="79" t="str">
        <f>VLOOKUP(Table2[[#This Row],[Tulu/kulu liik2]],Table5[[Tulu/kulu liik]:[Kontode koondnimetus]],4,FALSE)</f>
        <v>Muud tegevuskulud</v>
      </c>
      <c r="O902" s="79" t="str">
        <f>VLOOKUP(Table2[[#This Row],[Tulu/kulu liik2]],Table5[],6,FALSE)</f>
        <v>Majandamiskulud</v>
      </c>
      <c r="P902" s="79" t="str">
        <f>VLOOKUP(Table2[[#This Row],[Tulu/kulu liik2]],Table5[],5,FALSE)</f>
        <v>Põhitegevuse kulu</v>
      </c>
    </row>
    <row r="903" spans="1:16" hidden="1" x14ac:dyDescent="0.25">
      <c r="A903" s="77" t="str">
        <f t="shared" si="28"/>
        <v>09</v>
      </c>
      <c r="B903" s="77" t="s">
        <v>247</v>
      </c>
      <c r="C903" s="79" t="str">
        <f>VLOOKUP(Table2[[#This Row],[Tegevusala]],Table4[],2,FALSE)</f>
        <v xml:space="preserve"> Roela kool</v>
      </c>
      <c r="D903" s="79" t="str">
        <f>VLOOKUP(Table2[[#This Row],[Tegevusala]],Table4[[Tegevusala kood]:[Tegevusala alanimetus]],4,FALSE)</f>
        <v>Põhihariduse otsekulud</v>
      </c>
      <c r="E903" s="79" t="str">
        <f>VLOOKUP(Table2[[#This Row],[Tegevusala nimetus2]],Table4[[Tegevusala nimetus]:[Tegevusala koondnimetus]],2,FALSE)</f>
        <v>Haridus</v>
      </c>
      <c r="F903" s="77" t="s">
        <v>596</v>
      </c>
      <c r="G903" s="77" t="s">
        <v>595</v>
      </c>
      <c r="H903" s="78">
        <v>760</v>
      </c>
      <c r="I903" s="80" t="s">
        <v>605</v>
      </c>
      <c r="J903" s="77">
        <v>5540</v>
      </c>
      <c r="K903" s="79" t="str">
        <f>VLOOKUP(Table2[[#This Row],[Konto]],Table5[[Konto]:[Konto nimetus]],2,FALSE)</f>
        <v>Mitmesugused majanduskulud</v>
      </c>
      <c r="L903" s="77">
        <v>55</v>
      </c>
      <c r="M903" s="77" t="str">
        <f t="shared" si="29"/>
        <v>55</v>
      </c>
      <c r="N903" s="79" t="str">
        <f>VLOOKUP(Table2[[#This Row],[Tulu/kulu liik2]],Table5[[Tulu/kulu liik]:[Kontode koondnimetus]],4,FALSE)</f>
        <v>Muud tegevuskulud</v>
      </c>
      <c r="O903" s="79" t="str">
        <f>VLOOKUP(Table2[[#This Row],[Tulu/kulu liik2]],Table5[],6,FALSE)</f>
        <v>Majandamiskulud</v>
      </c>
      <c r="P903" s="79" t="str">
        <f>VLOOKUP(Table2[[#This Row],[Tulu/kulu liik2]],Table5[],5,FALSE)</f>
        <v>Põhitegevuse kulu</v>
      </c>
    </row>
    <row r="904" spans="1:16" hidden="1" x14ac:dyDescent="0.25">
      <c r="A904" t="str">
        <f t="shared" si="28"/>
        <v>09</v>
      </c>
      <c r="B904" t="s">
        <v>247</v>
      </c>
      <c r="C904" s="3" t="str">
        <f>VLOOKUP(Table2[[#This Row],[Tegevusala]],Table4[],2,FALSE)</f>
        <v xml:space="preserve"> Roela kool</v>
      </c>
      <c r="D904" s="3" t="str">
        <f>VLOOKUP(Table2[[#This Row],[Tegevusala]],Table4[[Tegevusala kood]:[Tegevusala alanimetus]],4,FALSE)</f>
        <v>Põhihariduse otsekulud</v>
      </c>
      <c r="E904" s="3" t="str">
        <f>VLOOKUP(Table2[[#This Row],[Tegevusala nimetus2]],Table4[[Tegevusala nimetus]:[Tegevusala koondnimetus]],2,FALSE)</f>
        <v>Haridus</v>
      </c>
      <c r="F904" t="s">
        <v>166</v>
      </c>
      <c r="G904" t="s">
        <v>2171</v>
      </c>
      <c r="H904" s="40">
        <v>1100</v>
      </c>
      <c r="I904" s="2" t="s">
        <v>2175</v>
      </c>
      <c r="J904">
        <v>5504</v>
      </c>
      <c r="K904" s="3" t="str">
        <f>VLOOKUP(Table2[[#This Row],[Konto]],Table5[[Konto]:[Konto nimetus]],2,FALSE)</f>
        <v>Koolituskulud</v>
      </c>
      <c r="L904">
        <v>55</v>
      </c>
      <c r="M904" t="str">
        <f t="shared" si="29"/>
        <v>55</v>
      </c>
      <c r="N904" s="3" t="str">
        <f>VLOOKUP(Table2[[#This Row],[Tulu/kulu liik2]],Table5[[Tulu/kulu liik]:[Kontode koondnimetus]],4,FALSE)</f>
        <v>Muud tegevuskulud</v>
      </c>
      <c r="O904" s="32" t="str">
        <f>VLOOKUP(Table2[[#This Row],[Tulu/kulu liik2]],Table5[],6,FALSE)</f>
        <v>Majandamiskulud</v>
      </c>
      <c r="P904" s="3" t="str">
        <f>VLOOKUP(Table2[[#This Row],[Tulu/kulu liik2]],Table5[],5,FALSE)</f>
        <v>Põhitegevuse kulu</v>
      </c>
    </row>
    <row r="905" spans="1:16" hidden="1" x14ac:dyDescent="0.25">
      <c r="A905" t="str">
        <f t="shared" si="28"/>
        <v>09</v>
      </c>
      <c r="B905" t="s">
        <v>247</v>
      </c>
      <c r="C905" s="3" t="str">
        <f>VLOOKUP(Table2[[#This Row],[Tegevusala]],Table4[],2,FALSE)</f>
        <v xml:space="preserve"> Roela kool</v>
      </c>
      <c r="D905" s="3" t="str">
        <f>VLOOKUP(Table2[[#This Row],[Tegevusala]],Table4[[Tegevusala kood]:[Tegevusala alanimetus]],4,FALSE)</f>
        <v>Põhihariduse otsekulud</v>
      </c>
      <c r="E905" s="3" t="str">
        <f>VLOOKUP(Table2[[#This Row],[Tegevusala nimetus2]],Table4[[Tegevusala nimetus]:[Tegevusala koondnimetus]],2,FALSE)</f>
        <v>Haridus</v>
      </c>
      <c r="F905" t="s">
        <v>166</v>
      </c>
      <c r="G905" t="s">
        <v>2172</v>
      </c>
      <c r="H905" s="40">
        <v>3477</v>
      </c>
      <c r="I905" s="2" t="s">
        <v>2175</v>
      </c>
      <c r="J905">
        <v>5524</v>
      </c>
      <c r="K905" s="3" t="str">
        <f>VLOOKUP(Table2[[#This Row],[Konto]],Table5[[Konto]:[Konto nimetus]],2,FALSE)</f>
        <v>Õppevahendid</v>
      </c>
      <c r="L905">
        <v>55</v>
      </c>
      <c r="M905" t="str">
        <f t="shared" si="29"/>
        <v>55</v>
      </c>
      <c r="N905" s="3" t="str">
        <f>VLOOKUP(Table2[[#This Row],[Tulu/kulu liik2]],Table5[[Tulu/kulu liik]:[Kontode koondnimetus]],4,FALSE)</f>
        <v>Muud tegevuskulud</v>
      </c>
      <c r="O905" s="34" t="str">
        <f>VLOOKUP(Table2[[#This Row],[Tulu/kulu liik2]],Table5[],6,FALSE)</f>
        <v>Majandamiskulud</v>
      </c>
      <c r="P905" s="3" t="str">
        <f>VLOOKUP(Table2[[#This Row],[Tulu/kulu liik2]],Table5[],5,FALSE)</f>
        <v>Põhitegevuse kulu</v>
      </c>
    </row>
    <row r="906" spans="1:16" hidden="1" x14ac:dyDescent="0.25">
      <c r="A906" s="33" t="str">
        <f t="shared" si="28"/>
        <v>09</v>
      </c>
      <c r="B906" t="s">
        <v>327</v>
      </c>
      <c r="C906" s="34" t="str">
        <f>VLOOKUP(Table2[[#This Row],[Tegevusala]],Table4[],2,FALSE)</f>
        <v xml:space="preserve"> Tudu kool</v>
      </c>
      <c r="D906" s="34" t="str">
        <f>VLOOKUP(Table2[[#This Row],[Tegevusala]],Table4[[Tegevusala kood]:[Tegevusala alanimetus]],4,FALSE)</f>
        <v>Põhihariduse otsekulud</v>
      </c>
      <c r="E906" s="34" t="str">
        <f>VLOOKUP(Table2[[#This Row],[Tegevusala nimetus2]],Table4[[Tegevusala nimetus]:[Tegevusala koondnimetus]],2,FALSE)</f>
        <v>Haridus</v>
      </c>
      <c r="F906" s="33" t="s">
        <v>822</v>
      </c>
      <c r="G906" s="33" t="s">
        <v>1846</v>
      </c>
      <c r="H906" s="47">
        <v>51000</v>
      </c>
      <c r="I906" s="35"/>
      <c r="J906" s="33">
        <v>1551</v>
      </c>
      <c r="K906" s="34" t="str">
        <f>VLOOKUP(Table2[[#This Row],[Konto]],Table5[[Konto]:[Konto nimetus]],2,FALSE)</f>
        <v>Rajatiste ja hoonete soetamine ja renoveerimine</v>
      </c>
      <c r="L906" s="33">
        <v>15</v>
      </c>
      <c r="M906" s="33" t="str">
        <f t="shared" si="29"/>
        <v>15</v>
      </c>
      <c r="N906" s="34" t="str">
        <f>VLOOKUP(Table2[[#This Row],[Tulu/kulu liik2]],Table5[[Tulu/kulu liik]:[Kontode koondnimetus]],4,FALSE)</f>
        <v>Põhivara soetus (-)</v>
      </c>
      <c r="O906" s="34" t="str">
        <f>VLOOKUP(Table2[[#This Row],[Tulu/kulu liik2]],Table5[],6,FALSE)</f>
        <v>Põhivara soetus (-)</v>
      </c>
      <c r="P906" s="34" t="str">
        <f>VLOOKUP(Table2[[#This Row],[Tulu/kulu liik2]],Table5[],5,FALSE)</f>
        <v>Investeerimistegevus</v>
      </c>
    </row>
    <row r="907" spans="1:16" hidden="1" x14ac:dyDescent="0.25">
      <c r="A907" t="str">
        <f t="shared" si="28"/>
        <v>09</v>
      </c>
      <c r="B907" t="s">
        <v>327</v>
      </c>
      <c r="C907" s="3" t="str">
        <f>VLOOKUP(Table2[[#This Row],[Tegevusala]],Table4[],2,FALSE)</f>
        <v xml:space="preserve"> Tudu kool</v>
      </c>
      <c r="D907" s="3" t="str">
        <f>VLOOKUP(Table2[[#This Row],[Tegevusala]],Table4[[Tegevusala kood]:[Tegevusala alanimetus]],4,FALSE)</f>
        <v>Põhihariduse otsekulud</v>
      </c>
      <c r="E907" s="3" t="str">
        <f>VLOOKUP(Table2[[#This Row],[Tegevusala nimetus2]],Table4[[Tegevusala nimetus]:[Tegevusala koondnimetus]],2,FALSE)</f>
        <v>Haridus</v>
      </c>
      <c r="F907" s="14" t="s">
        <v>1704</v>
      </c>
      <c r="G907" t="s">
        <v>167</v>
      </c>
      <c r="H907" s="40">
        <v>800</v>
      </c>
      <c r="I907" s="2" t="s">
        <v>1712</v>
      </c>
      <c r="J907">
        <v>5500</v>
      </c>
      <c r="K907" s="3" t="str">
        <f>VLOOKUP(Table2[[#This Row],[Konto]],Table5[[Konto]:[Konto nimetus]],2,FALSE)</f>
        <v>Administreerimiskulud</v>
      </c>
      <c r="L907">
        <v>55</v>
      </c>
      <c r="M907" t="str">
        <f t="shared" si="29"/>
        <v>55</v>
      </c>
      <c r="N907" s="3" t="str">
        <f>VLOOKUP(Table2[[#This Row],[Tulu/kulu liik2]],Table5[[Tulu/kulu liik]:[Kontode koondnimetus]],4,FALSE)</f>
        <v>Muud tegevuskulud</v>
      </c>
      <c r="O907" s="3" t="str">
        <f>VLOOKUP(Table2[[#This Row],[Tulu/kulu liik2]],Table5[],6,FALSE)</f>
        <v>Majandamiskulud</v>
      </c>
      <c r="P907" s="3" t="str">
        <f>VLOOKUP(Table2[[#This Row],[Tulu/kulu liik2]],Table5[],5,FALSE)</f>
        <v>Põhitegevuse kulu</v>
      </c>
    </row>
    <row r="908" spans="1:16" hidden="1" x14ac:dyDescent="0.25">
      <c r="A908" t="str">
        <f t="shared" si="28"/>
        <v>09</v>
      </c>
      <c r="B908" t="s">
        <v>327</v>
      </c>
      <c r="C908" s="3" t="str">
        <f>VLOOKUP(Table2[[#This Row],[Tegevusala]],Table4[],2,FALSE)</f>
        <v xml:space="preserve"> Tudu kool</v>
      </c>
      <c r="D908" s="3" t="str">
        <f>VLOOKUP(Table2[[#This Row],[Tegevusala]],Table4[[Tegevusala kood]:[Tegevusala alanimetus]],4,FALSE)</f>
        <v>Põhihariduse otsekulud</v>
      </c>
      <c r="E908" s="3" t="str">
        <f>VLOOKUP(Table2[[#This Row],[Tegevusala nimetus2]],Table4[[Tegevusala nimetus]:[Tegevusala koondnimetus]],2,FALSE)</f>
        <v>Haridus</v>
      </c>
      <c r="F908" s="14" t="s">
        <v>1704</v>
      </c>
      <c r="G908" t="s">
        <v>813</v>
      </c>
      <c r="H908" s="40">
        <v>50</v>
      </c>
      <c r="J908">
        <v>5500</v>
      </c>
      <c r="K908" s="3" t="str">
        <f>VLOOKUP(Table2[[#This Row],[Konto]],Table5[[Konto]:[Konto nimetus]],2,FALSE)</f>
        <v>Administreerimiskulud</v>
      </c>
      <c r="L908">
        <v>55</v>
      </c>
      <c r="M908" t="str">
        <f t="shared" si="29"/>
        <v>55</v>
      </c>
      <c r="N908" s="3" t="str">
        <f>VLOOKUP(Table2[[#This Row],[Tulu/kulu liik2]],Table5[[Tulu/kulu liik]:[Kontode koondnimetus]],4,FALSE)</f>
        <v>Muud tegevuskulud</v>
      </c>
      <c r="O908" s="3" t="str">
        <f>VLOOKUP(Table2[[#This Row],[Tulu/kulu liik2]],Table5[],6,FALSE)</f>
        <v>Majandamiskulud</v>
      </c>
      <c r="P908" s="3" t="str">
        <f>VLOOKUP(Table2[[#This Row],[Tulu/kulu liik2]],Table5[],5,FALSE)</f>
        <v>Põhitegevuse kulu</v>
      </c>
    </row>
    <row r="909" spans="1:16" hidden="1" x14ac:dyDescent="0.25">
      <c r="A909" t="str">
        <f t="shared" si="28"/>
        <v>09</v>
      </c>
      <c r="B909" t="s">
        <v>327</v>
      </c>
      <c r="C909" s="3" t="str">
        <f>VLOOKUP(Table2[[#This Row],[Tegevusala]],Table4[],2,FALSE)</f>
        <v xml:space="preserve"> Tudu kool</v>
      </c>
      <c r="D909" s="3" t="str">
        <f>VLOOKUP(Table2[[#This Row],[Tegevusala]],Table4[[Tegevusala kood]:[Tegevusala alanimetus]],4,FALSE)</f>
        <v>Põhihariduse otsekulud</v>
      </c>
      <c r="E909" s="3" t="str">
        <f>VLOOKUP(Table2[[#This Row],[Tegevusala nimetus2]],Table4[[Tegevusala nimetus]:[Tegevusala koondnimetus]],2,FALSE)</f>
        <v>Haridus</v>
      </c>
      <c r="F909" s="14" t="s">
        <v>1704</v>
      </c>
      <c r="G909" t="s">
        <v>1709</v>
      </c>
      <c r="H909" s="40">
        <v>200</v>
      </c>
      <c r="J909">
        <v>5500</v>
      </c>
      <c r="K909" s="3" t="str">
        <f>VLOOKUP(Table2[[#This Row],[Konto]],Table5[[Konto]:[Konto nimetus]],2,FALSE)</f>
        <v>Administreerimiskulud</v>
      </c>
      <c r="L909">
        <v>55</v>
      </c>
      <c r="M909" t="str">
        <f t="shared" si="29"/>
        <v>55</v>
      </c>
      <c r="N909" s="3" t="str">
        <f>VLOOKUP(Table2[[#This Row],[Tulu/kulu liik2]],Table5[[Tulu/kulu liik]:[Kontode koondnimetus]],4,FALSE)</f>
        <v>Muud tegevuskulud</v>
      </c>
      <c r="O909" s="3" t="str">
        <f>VLOOKUP(Table2[[#This Row],[Tulu/kulu liik2]],Table5[],6,FALSE)</f>
        <v>Majandamiskulud</v>
      </c>
      <c r="P909" s="3" t="str">
        <f>VLOOKUP(Table2[[#This Row],[Tulu/kulu liik2]],Table5[],5,FALSE)</f>
        <v>Põhitegevuse kulu</v>
      </c>
    </row>
    <row r="910" spans="1:16" hidden="1" x14ac:dyDescent="0.25">
      <c r="A910" t="str">
        <f t="shared" si="28"/>
        <v>09</v>
      </c>
      <c r="B910" t="s">
        <v>327</v>
      </c>
      <c r="C910" s="3" t="str">
        <f>VLOOKUP(Table2[[#This Row],[Tegevusala]],Table4[],2,FALSE)</f>
        <v xml:space="preserve"> Tudu kool</v>
      </c>
      <c r="D910" s="3" t="str">
        <f>VLOOKUP(Table2[[#This Row],[Tegevusala]],Table4[[Tegevusala kood]:[Tegevusala alanimetus]],4,FALSE)</f>
        <v>Põhihariduse otsekulud</v>
      </c>
      <c r="E910" s="3" t="str">
        <f>VLOOKUP(Table2[[#This Row],[Tegevusala nimetus2]],Table4[[Tegevusala nimetus]:[Tegevusala koondnimetus]],2,FALSE)</f>
        <v>Haridus</v>
      </c>
      <c r="F910" s="14" t="s">
        <v>1704</v>
      </c>
      <c r="G910" t="s">
        <v>1710</v>
      </c>
      <c r="H910" s="40">
        <v>200</v>
      </c>
      <c r="I910" s="2" t="s">
        <v>1713</v>
      </c>
      <c r="J910">
        <v>5500</v>
      </c>
      <c r="K910" s="3" t="str">
        <f>VLOOKUP(Table2[[#This Row],[Konto]],Table5[[Konto]:[Konto nimetus]],2,FALSE)</f>
        <v>Administreerimiskulud</v>
      </c>
      <c r="L910">
        <v>55</v>
      </c>
      <c r="M910" t="str">
        <f t="shared" si="29"/>
        <v>55</v>
      </c>
      <c r="N910" s="3" t="str">
        <f>VLOOKUP(Table2[[#This Row],[Tulu/kulu liik2]],Table5[[Tulu/kulu liik]:[Kontode koondnimetus]],4,FALSE)</f>
        <v>Muud tegevuskulud</v>
      </c>
      <c r="O910" s="3" t="str">
        <f>VLOOKUP(Table2[[#This Row],[Tulu/kulu liik2]],Table5[],6,FALSE)</f>
        <v>Majandamiskulud</v>
      </c>
      <c r="P910" s="3" t="str">
        <f>VLOOKUP(Table2[[#This Row],[Tulu/kulu liik2]],Table5[],5,FALSE)</f>
        <v>Põhitegevuse kulu</v>
      </c>
    </row>
    <row r="911" spans="1:16" hidden="1" x14ac:dyDescent="0.25">
      <c r="A911" t="str">
        <f t="shared" si="28"/>
        <v>09</v>
      </c>
      <c r="B911" t="s">
        <v>327</v>
      </c>
      <c r="C911" s="3" t="str">
        <f>VLOOKUP(Table2[[#This Row],[Tegevusala]],Table4[],2,FALSE)</f>
        <v xml:space="preserve"> Tudu kool</v>
      </c>
      <c r="D911" s="3" t="str">
        <f>VLOOKUP(Table2[[#This Row],[Tegevusala]],Table4[[Tegevusala kood]:[Tegevusala alanimetus]],4,FALSE)</f>
        <v>Põhihariduse otsekulud</v>
      </c>
      <c r="E911" s="3" t="str">
        <f>VLOOKUP(Table2[[#This Row],[Tegevusala nimetus2]],Table4[[Tegevusala nimetus]:[Tegevusala koondnimetus]],2,FALSE)</f>
        <v>Haridus</v>
      </c>
      <c r="F911" s="14" t="s">
        <v>1704</v>
      </c>
      <c r="G911" t="s">
        <v>390</v>
      </c>
      <c r="H911" s="40">
        <v>50</v>
      </c>
      <c r="J911">
        <v>5500</v>
      </c>
      <c r="K911" s="3" t="str">
        <f>VLOOKUP(Table2[[#This Row],[Konto]],Table5[[Konto]:[Konto nimetus]],2,FALSE)</f>
        <v>Administreerimiskulud</v>
      </c>
      <c r="L911">
        <v>55</v>
      </c>
      <c r="M911" t="str">
        <f t="shared" si="29"/>
        <v>55</v>
      </c>
      <c r="N911" s="3" t="str">
        <f>VLOOKUP(Table2[[#This Row],[Tulu/kulu liik2]],Table5[[Tulu/kulu liik]:[Kontode koondnimetus]],4,FALSE)</f>
        <v>Muud tegevuskulud</v>
      </c>
      <c r="O911" s="3" t="str">
        <f>VLOOKUP(Table2[[#This Row],[Tulu/kulu liik2]],Table5[],6,FALSE)</f>
        <v>Majandamiskulud</v>
      </c>
      <c r="P911" s="3" t="str">
        <f>VLOOKUP(Table2[[#This Row],[Tulu/kulu liik2]],Table5[],5,FALSE)</f>
        <v>Põhitegevuse kulu</v>
      </c>
    </row>
    <row r="912" spans="1:16" hidden="1" x14ac:dyDescent="0.25">
      <c r="A912" t="str">
        <f t="shared" si="28"/>
        <v>09</v>
      </c>
      <c r="B912" t="s">
        <v>327</v>
      </c>
      <c r="C912" s="3" t="str">
        <f>VLOOKUP(Table2[[#This Row],[Tegevusala]],Table4[],2,FALSE)</f>
        <v xml:space="preserve"> Tudu kool</v>
      </c>
      <c r="D912" s="3" t="str">
        <f>VLOOKUP(Table2[[#This Row],[Tegevusala]],Table4[[Tegevusala kood]:[Tegevusala alanimetus]],4,FALSE)</f>
        <v>Põhihariduse otsekulud</v>
      </c>
      <c r="E912" s="3" t="str">
        <f>VLOOKUP(Table2[[#This Row],[Tegevusala nimetus2]],Table4[[Tegevusala nimetus]:[Tegevusala koondnimetus]],2,FALSE)</f>
        <v>Haridus</v>
      </c>
      <c r="F912" s="14" t="s">
        <v>1704</v>
      </c>
      <c r="G912" t="s">
        <v>1711</v>
      </c>
      <c r="H912" s="40">
        <v>230</v>
      </c>
      <c r="I912" s="2" t="s">
        <v>1714</v>
      </c>
      <c r="J912">
        <v>5500</v>
      </c>
      <c r="K912" s="3" t="str">
        <f>VLOOKUP(Table2[[#This Row],[Konto]],Table5[[Konto]:[Konto nimetus]],2,FALSE)</f>
        <v>Administreerimiskulud</v>
      </c>
      <c r="L912">
        <v>55</v>
      </c>
      <c r="M912" t="str">
        <f t="shared" si="29"/>
        <v>55</v>
      </c>
      <c r="N912" s="3" t="str">
        <f>VLOOKUP(Table2[[#This Row],[Tulu/kulu liik2]],Table5[[Tulu/kulu liik]:[Kontode koondnimetus]],4,FALSE)</f>
        <v>Muud tegevuskulud</v>
      </c>
      <c r="O912" s="3" t="str">
        <f>VLOOKUP(Table2[[#This Row],[Tulu/kulu liik2]],Table5[],6,FALSE)</f>
        <v>Majandamiskulud</v>
      </c>
      <c r="P912" s="3" t="str">
        <f>VLOOKUP(Table2[[#This Row],[Tulu/kulu liik2]],Table5[],5,FALSE)</f>
        <v>Põhitegevuse kulu</v>
      </c>
    </row>
    <row r="913" spans="1:16" hidden="1" x14ac:dyDescent="0.25">
      <c r="A913" t="str">
        <f t="shared" si="28"/>
        <v>09</v>
      </c>
      <c r="B913" t="s">
        <v>327</v>
      </c>
      <c r="C913" s="3" t="str">
        <f>VLOOKUP(Table2[[#This Row],[Tegevusala]],Table4[],2,FALSE)</f>
        <v xml:space="preserve"> Tudu kool</v>
      </c>
      <c r="D913" s="3" t="str">
        <f>VLOOKUP(Table2[[#This Row],[Tegevusala]],Table4[[Tegevusala kood]:[Tegevusala alanimetus]],4,FALSE)</f>
        <v>Põhihariduse otsekulud</v>
      </c>
      <c r="E913" s="3" t="str">
        <f>VLOOKUP(Table2[[#This Row],[Tegevusala nimetus2]],Table4[[Tegevusala nimetus]:[Tegevusala koondnimetus]],2,FALSE)</f>
        <v>Haridus</v>
      </c>
      <c r="F913" s="14" t="s">
        <v>1704</v>
      </c>
      <c r="G913" t="s">
        <v>1715</v>
      </c>
      <c r="H913" s="40">
        <v>200</v>
      </c>
      <c r="J913">
        <v>5504</v>
      </c>
      <c r="K913" s="3" t="str">
        <f>VLOOKUP(Table2[[#This Row],[Konto]],Table5[[Konto]:[Konto nimetus]],2,FALSE)</f>
        <v>Koolituskulud</v>
      </c>
      <c r="L913">
        <v>55</v>
      </c>
      <c r="M913" t="str">
        <f t="shared" si="29"/>
        <v>55</v>
      </c>
      <c r="N913" s="3" t="str">
        <f>VLOOKUP(Table2[[#This Row],[Tulu/kulu liik2]],Table5[[Tulu/kulu liik]:[Kontode koondnimetus]],4,FALSE)</f>
        <v>Muud tegevuskulud</v>
      </c>
      <c r="O913" s="3" t="str">
        <f>VLOOKUP(Table2[[#This Row],[Tulu/kulu liik2]],Table5[],6,FALSE)</f>
        <v>Majandamiskulud</v>
      </c>
      <c r="P913" s="3" t="str">
        <f>VLOOKUP(Table2[[#This Row],[Tulu/kulu liik2]],Table5[],5,FALSE)</f>
        <v>Põhitegevuse kulu</v>
      </c>
    </row>
    <row r="914" spans="1:16" hidden="1" x14ac:dyDescent="0.25">
      <c r="A914" t="str">
        <f t="shared" si="28"/>
        <v>09</v>
      </c>
      <c r="B914" t="s">
        <v>327</v>
      </c>
      <c r="C914" s="3" t="str">
        <f>VLOOKUP(Table2[[#This Row],[Tegevusala]],Table4[],2,FALSE)</f>
        <v xml:space="preserve"> Tudu kool</v>
      </c>
      <c r="D914" s="3" t="str">
        <f>VLOOKUP(Table2[[#This Row],[Tegevusala]],Table4[[Tegevusala kood]:[Tegevusala alanimetus]],4,FALSE)</f>
        <v>Põhihariduse otsekulud</v>
      </c>
      <c r="E914" s="3" t="str">
        <f>VLOOKUP(Table2[[#This Row],[Tegevusala nimetus2]],Table4[[Tegevusala nimetus]:[Tegevusala koondnimetus]],2,FALSE)</f>
        <v>Haridus</v>
      </c>
      <c r="F914" s="14" t="s">
        <v>1704</v>
      </c>
      <c r="G914" t="s">
        <v>1716</v>
      </c>
      <c r="H914" s="40">
        <v>100</v>
      </c>
      <c r="J914">
        <v>5504</v>
      </c>
      <c r="K914" s="3" t="str">
        <f>VLOOKUP(Table2[[#This Row],[Konto]],Table5[[Konto]:[Konto nimetus]],2,FALSE)</f>
        <v>Koolituskulud</v>
      </c>
      <c r="L914">
        <v>55</v>
      </c>
      <c r="M914" t="str">
        <f t="shared" si="29"/>
        <v>55</v>
      </c>
      <c r="N914" s="3" t="str">
        <f>VLOOKUP(Table2[[#This Row],[Tulu/kulu liik2]],Table5[[Tulu/kulu liik]:[Kontode koondnimetus]],4,FALSE)</f>
        <v>Muud tegevuskulud</v>
      </c>
      <c r="O914" s="3" t="str">
        <f>VLOOKUP(Table2[[#This Row],[Tulu/kulu liik2]],Table5[],6,FALSE)</f>
        <v>Majandamiskulud</v>
      </c>
      <c r="P914" s="3" t="str">
        <f>VLOOKUP(Table2[[#This Row],[Tulu/kulu liik2]],Table5[],5,FALSE)</f>
        <v>Põhitegevuse kulu</v>
      </c>
    </row>
    <row r="915" spans="1:16" hidden="1" x14ac:dyDescent="0.25">
      <c r="A915" t="str">
        <f t="shared" si="28"/>
        <v>09</v>
      </c>
      <c r="B915" t="s">
        <v>327</v>
      </c>
      <c r="C915" s="3" t="str">
        <f>VLOOKUP(Table2[[#This Row],[Tegevusala]],Table4[],2,FALSE)</f>
        <v xml:space="preserve"> Tudu kool</v>
      </c>
      <c r="D915" s="3" t="str">
        <f>VLOOKUP(Table2[[#This Row],[Tegevusala]],Table4[[Tegevusala kood]:[Tegevusala alanimetus]],4,FALSE)</f>
        <v>Põhihariduse otsekulud</v>
      </c>
      <c r="E915" s="3" t="str">
        <f>VLOOKUP(Table2[[#This Row],[Tegevusala nimetus2]],Table4[[Tegevusala nimetus]:[Tegevusala koondnimetus]],2,FALSE)</f>
        <v>Haridus</v>
      </c>
      <c r="F915" s="14" t="s">
        <v>1704</v>
      </c>
      <c r="G915" t="s">
        <v>1718</v>
      </c>
      <c r="H915" s="40">
        <v>300</v>
      </c>
      <c r="J915">
        <v>5504</v>
      </c>
      <c r="K915" s="3" t="str">
        <f>VLOOKUP(Table2[[#This Row],[Konto]],Table5[[Konto]:[Konto nimetus]],2,FALSE)</f>
        <v>Koolituskulud</v>
      </c>
      <c r="L915">
        <v>55</v>
      </c>
      <c r="M915" t="str">
        <f t="shared" si="29"/>
        <v>55</v>
      </c>
      <c r="N915" s="3" t="str">
        <f>VLOOKUP(Table2[[#This Row],[Tulu/kulu liik2]],Table5[[Tulu/kulu liik]:[Kontode koondnimetus]],4,FALSE)</f>
        <v>Muud tegevuskulud</v>
      </c>
      <c r="O915" s="3" t="str">
        <f>VLOOKUP(Table2[[#This Row],[Tulu/kulu liik2]],Table5[],6,FALSE)</f>
        <v>Majandamiskulud</v>
      </c>
      <c r="P915" s="3" t="str">
        <f>VLOOKUP(Table2[[#This Row],[Tulu/kulu liik2]],Table5[],5,FALSE)</f>
        <v>Põhitegevuse kulu</v>
      </c>
    </row>
    <row r="916" spans="1:16" hidden="1" x14ac:dyDescent="0.25">
      <c r="A916" t="str">
        <f t="shared" si="28"/>
        <v>09</v>
      </c>
      <c r="B916" t="s">
        <v>327</v>
      </c>
      <c r="C916" s="3" t="str">
        <f>VLOOKUP(Table2[[#This Row],[Tegevusala]],Table4[],2,FALSE)</f>
        <v xml:space="preserve"> Tudu kool</v>
      </c>
      <c r="D916" s="3" t="str">
        <f>VLOOKUP(Table2[[#This Row],[Tegevusala]],Table4[[Tegevusala kood]:[Tegevusala alanimetus]],4,FALSE)</f>
        <v>Põhihariduse otsekulud</v>
      </c>
      <c r="E916" s="3" t="str">
        <f>VLOOKUP(Table2[[#This Row],[Tegevusala nimetus2]],Table4[[Tegevusala nimetus]:[Tegevusala koondnimetus]],2,FALSE)</f>
        <v>Haridus</v>
      </c>
      <c r="F916" s="14" t="s">
        <v>1704</v>
      </c>
      <c r="G916" t="s">
        <v>397</v>
      </c>
      <c r="H916" s="40">
        <v>684</v>
      </c>
      <c r="J916">
        <v>5513</v>
      </c>
      <c r="K916" s="3" t="str">
        <f>VLOOKUP(Table2[[#This Row],[Konto]],Table5[[Konto]:[Konto nimetus]],2,FALSE)</f>
        <v>Sõidukite ülalpidamise kulud</v>
      </c>
      <c r="L916">
        <v>55</v>
      </c>
      <c r="M916" t="str">
        <f t="shared" si="29"/>
        <v>55</v>
      </c>
      <c r="N916" s="3" t="str">
        <f>VLOOKUP(Table2[[#This Row],[Tulu/kulu liik2]],Table5[[Tulu/kulu liik]:[Kontode koondnimetus]],4,FALSE)</f>
        <v>Muud tegevuskulud</v>
      </c>
      <c r="O916" s="3" t="str">
        <f>VLOOKUP(Table2[[#This Row],[Tulu/kulu liik2]],Table5[],6,FALSE)</f>
        <v>Majandamiskulud</v>
      </c>
      <c r="P916" s="3" t="str">
        <f>VLOOKUP(Table2[[#This Row],[Tulu/kulu liik2]],Table5[],5,FALSE)</f>
        <v>Põhitegevuse kulu</v>
      </c>
    </row>
    <row r="917" spans="1:16" hidden="1" x14ac:dyDescent="0.25">
      <c r="A917" t="str">
        <f t="shared" si="28"/>
        <v>09</v>
      </c>
      <c r="B917" t="s">
        <v>327</v>
      </c>
      <c r="C917" s="3" t="str">
        <f>VLOOKUP(Table2[[#This Row],[Tegevusala]],Table4[],2,FALSE)</f>
        <v xml:space="preserve"> Tudu kool</v>
      </c>
      <c r="D917" s="3" t="str">
        <f>VLOOKUP(Table2[[#This Row],[Tegevusala]],Table4[[Tegevusala kood]:[Tegevusala alanimetus]],4,FALSE)</f>
        <v>Põhihariduse otsekulud</v>
      </c>
      <c r="E917" s="3" t="str">
        <f>VLOOKUP(Table2[[#This Row],[Tegevusala nimetus2]],Table4[[Tegevusala nimetus]:[Tegevusala koondnimetus]],2,FALSE)</f>
        <v>Haridus</v>
      </c>
      <c r="F917" s="14" t="s">
        <v>1704</v>
      </c>
      <c r="G917" t="s">
        <v>1728</v>
      </c>
      <c r="H917" s="40">
        <v>500</v>
      </c>
      <c r="J917">
        <v>5513</v>
      </c>
      <c r="K917" s="3" t="str">
        <f>VLOOKUP(Table2[[#This Row],[Konto]],Table5[[Konto]:[Konto nimetus]],2,FALSE)</f>
        <v>Sõidukite ülalpidamise kulud</v>
      </c>
      <c r="L917">
        <v>55</v>
      </c>
      <c r="M917" t="str">
        <f t="shared" si="29"/>
        <v>55</v>
      </c>
      <c r="N917" s="3" t="str">
        <f>VLOOKUP(Table2[[#This Row],[Tulu/kulu liik2]],Table5[[Tulu/kulu liik]:[Kontode koondnimetus]],4,FALSE)</f>
        <v>Muud tegevuskulud</v>
      </c>
      <c r="O917" s="3" t="str">
        <f>VLOOKUP(Table2[[#This Row],[Tulu/kulu liik2]],Table5[],6,FALSE)</f>
        <v>Majandamiskulud</v>
      </c>
      <c r="P917" s="3" t="str">
        <f>VLOOKUP(Table2[[#This Row],[Tulu/kulu liik2]],Table5[],5,FALSE)</f>
        <v>Põhitegevuse kulu</v>
      </c>
    </row>
    <row r="918" spans="1:16" hidden="1" x14ac:dyDescent="0.25">
      <c r="A918" t="str">
        <f t="shared" si="28"/>
        <v>09</v>
      </c>
      <c r="B918" t="s">
        <v>327</v>
      </c>
      <c r="C918" s="3" t="str">
        <f>VLOOKUP(Table2[[#This Row],[Tegevusala]],Table4[],2,FALSE)</f>
        <v xml:space="preserve"> Tudu kool</v>
      </c>
      <c r="D918" s="3" t="str">
        <f>VLOOKUP(Table2[[#This Row],[Tegevusala]],Table4[[Tegevusala kood]:[Tegevusala alanimetus]],4,FALSE)</f>
        <v>Põhihariduse otsekulud</v>
      </c>
      <c r="E918" s="3" t="str">
        <f>VLOOKUP(Table2[[#This Row],[Tegevusala nimetus2]],Table4[[Tegevusala nimetus]:[Tegevusala koondnimetus]],2,FALSE)</f>
        <v>Haridus</v>
      </c>
      <c r="F918" s="14" t="s">
        <v>1704</v>
      </c>
      <c r="G918" t="s">
        <v>198</v>
      </c>
      <c r="H918" s="40">
        <v>5000</v>
      </c>
      <c r="J918">
        <v>5513</v>
      </c>
      <c r="K918" s="3" t="str">
        <f>VLOOKUP(Table2[[#This Row],[Konto]],Table5[[Konto]:[Konto nimetus]],2,FALSE)</f>
        <v>Sõidukite ülalpidamise kulud</v>
      </c>
      <c r="L918">
        <v>55</v>
      </c>
      <c r="M918" t="str">
        <f t="shared" si="29"/>
        <v>55</v>
      </c>
      <c r="N918" s="3" t="str">
        <f>VLOOKUP(Table2[[#This Row],[Tulu/kulu liik2]],Table5[[Tulu/kulu liik]:[Kontode koondnimetus]],4,FALSE)</f>
        <v>Muud tegevuskulud</v>
      </c>
      <c r="O918" s="3" t="str">
        <f>VLOOKUP(Table2[[#This Row],[Tulu/kulu liik2]],Table5[],6,FALSE)</f>
        <v>Majandamiskulud</v>
      </c>
      <c r="P918" s="3" t="str">
        <f>VLOOKUP(Table2[[#This Row],[Tulu/kulu liik2]],Table5[],5,FALSE)</f>
        <v>Põhitegevuse kulu</v>
      </c>
    </row>
    <row r="919" spans="1:16" hidden="1" x14ac:dyDescent="0.25">
      <c r="A919" t="str">
        <f t="shared" si="28"/>
        <v>09</v>
      </c>
      <c r="B919" t="s">
        <v>327</v>
      </c>
      <c r="C919" s="3" t="str">
        <f>VLOOKUP(Table2[[#This Row],[Tegevusala]],Table4[],2,FALSE)</f>
        <v xml:space="preserve"> Tudu kool</v>
      </c>
      <c r="D919" s="3" t="str">
        <f>VLOOKUP(Table2[[#This Row],[Tegevusala]],Table4[[Tegevusala kood]:[Tegevusala alanimetus]],4,FALSE)</f>
        <v>Põhihariduse otsekulud</v>
      </c>
      <c r="E919" s="3" t="str">
        <f>VLOOKUP(Table2[[#This Row],[Tegevusala nimetus2]],Table4[[Tegevusala nimetus]:[Tegevusala koondnimetus]],2,FALSE)</f>
        <v>Haridus</v>
      </c>
      <c r="F919" s="14" t="s">
        <v>1704</v>
      </c>
      <c r="G919" t="s">
        <v>1729</v>
      </c>
      <c r="H919" s="40">
        <v>200</v>
      </c>
      <c r="J919">
        <v>5513</v>
      </c>
      <c r="K919" s="3" t="str">
        <f>VLOOKUP(Table2[[#This Row],[Konto]],Table5[[Konto]:[Konto nimetus]],2,FALSE)</f>
        <v>Sõidukite ülalpidamise kulud</v>
      </c>
      <c r="L919">
        <v>55</v>
      </c>
      <c r="M919" t="str">
        <f t="shared" si="29"/>
        <v>55</v>
      </c>
      <c r="N919" s="3" t="str">
        <f>VLOOKUP(Table2[[#This Row],[Tulu/kulu liik2]],Table5[[Tulu/kulu liik]:[Kontode koondnimetus]],4,FALSE)</f>
        <v>Muud tegevuskulud</v>
      </c>
      <c r="O919" s="3" t="str">
        <f>VLOOKUP(Table2[[#This Row],[Tulu/kulu liik2]],Table5[],6,FALSE)</f>
        <v>Majandamiskulud</v>
      </c>
      <c r="P919" s="3" t="str">
        <f>VLOOKUP(Table2[[#This Row],[Tulu/kulu liik2]],Table5[],5,FALSE)</f>
        <v>Põhitegevuse kulu</v>
      </c>
    </row>
    <row r="920" spans="1:16" hidden="1" x14ac:dyDescent="0.25">
      <c r="A920" t="str">
        <f t="shared" si="28"/>
        <v>09</v>
      </c>
      <c r="B920" t="s">
        <v>327</v>
      </c>
      <c r="C920" s="3" t="str">
        <f>VLOOKUP(Table2[[#This Row],[Tegevusala]],Table4[],2,FALSE)</f>
        <v xml:space="preserve"> Tudu kool</v>
      </c>
      <c r="D920" s="3" t="str">
        <f>VLOOKUP(Table2[[#This Row],[Tegevusala]],Table4[[Tegevusala kood]:[Tegevusala alanimetus]],4,FALSE)</f>
        <v>Põhihariduse otsekulud</v>
      </c>
      <c r="E920" s="3" t="str">
        <f>VLOOKUP(Table2[[#This Row],[Tegevusala nimetus2]],Table4[[Tegevusala nimetus]:[Tegevusala koondnimetus]],2,FALSE)</f>
        <v>Haridus</v>
      </c>
      <c r="F920" s="14" t="s">
        <v>1704</v>
      </c>
      <c r="G920" t="s">
        <v>882</v>
      </c>
      <c r="H920" s="40">
        <v>4824</v>
      </c>
      <c r="J920">
        <v>5513</v>
      </c>
      <c r="K920" s="3" t="str">
        <f>VLOOKUP(Table2[[#This Row],[Konto]],Table5[[Konto]:[Konto nimetus]],2,FALSE)</f>
        <v>Sõidukite ülalpidamise kulud</v>
      </c>
      <c r="L920">
        <v>55</v>
      </c>
      <c r="M920" t="str">
        <f t="shared" si="29"/>
        <v>55</v>
      </c>
      <c r="N920" s="3" t="str">
        <f>VLOOKUP(Table2[[#This Row],[Tulu/kulu liik2]],Table5[[Tulu/kulu liik]:[Kontode koondnimetus]],4,FALSE)</f>
        <v>Muud tegevuskulud</v>
      </c>
      <c r="O920" s="3" t="str">
        <f>VLOOKUP(Table2[[#This Row],[Tulu/kulu liik2]],Table5[],6,FALSE)</f>
        <v>Majandamiskulud</v>
      </c>
      <c r="P920" s="3" t="str">
        <f>VLOOKUP(Table2[[#This Row],[Tulu/kulu liik2]],Table5[],5,FALSE)</f>
        <v>Põhitegevuse kulu</v>
      </c>
    </row>
    <row r="921" spans="1:16" hidden="1" x14ac:dyDescent="0.25">
      <c r="A921" t="str">
        <f t="shared" si="28"/>
        <v>09</v>
      </c>
      <c r="B921" t="s">
        <v>327</v>
      </c>
      <c r="C921" s="3" t="str">
        <f>VLOOKUP(Table2[[#This Row],[Tegevusala]],Table4[],2,FALSE)</f>
        <v xml:space="preserve"> Tudu kool</v>
      </c>
      <c r="D921" s="3" t="str">
        <f>VLOOKUP(Table2[[#This Row],[Tegevusala]],Table4[[Tegevusala kood]:[Tegevusala alanimetus]],4,FALSE)</f>
        <v>Põhihariduse otsekulud</v>
      </c>
      <c r="E921" s="3" t="str">
        <f>VLOOKUP(Table2[[#This Row],[Tegevusala nimetus2]],Table4[[Tegevusala nimetus]:[Tegevusala koondnimetus]],2,FALSE)</f>
        <v>Haridus</v>
      </c>
      <c r="F921" s="14" t="s">
        <v>1704</v>
      </c>
      <c r="G921" t="s">
        <v>1730</v>
      </c>
      <c r="H921" s="40">
        <v>100</v>
      </c>
      <c r="J921">
        <v>5513</v>
      </c>
      <c r="K921" s="3" t="str">
        <f>VLOOKUP(Table2[[#This Row],[Konto]],Table5[[Konto]:[Konto nimetus]],2,FALSE)</f>
        <v>Sõidukite ülalpidamise kulud</v>
      </c>
      <c r="L921">
        <v>55</v>
      </c>
      <c r="M921" t="str">
        <f t="shared" si="29"/>
        <v>55</v>
      </c>
      <c r="N921" s="3" t="str">
        <f>VLOOKUP(Table2[[#This Row],[Tulu/kulu liik2]],Table5[[Tulu/kulu liik]:[Kontode koondnimetus]],4,FALSE)</f>
        <v>Muud tegevuskulud</v>
      </c>
      <c r="O921" s="3" t="str">
        <f>VLOOKUP(Table2[[#This Row],[Tulu/kulu liik2]],Table5[],6,FALSE)</f>
        <v>Majandamiskulud</v>
      </c>
      <c r="P921" s="3" t="str">
        <f>VLOOKUP(Table2[[#This Row],[Tulu/kulu liik2]],Table5[],5,FALSE)</f>
        <v>Põhitegevuse kulu</v>
      </c>
    </row>
    <row r="922" spans="1:16" hidden="1" x14ac:dyDescent="0.25">
      <c r="A922" t="str">
        <f t="shared" si="28"/>
        <v>09</v>
      </c>
      <c r="B922" t="s">
        <v>327</v>
      </c>
      <c r="C922" s="3" t="str">
        <f>VLOOKUP(Table2[[#This Row],[Tegevusala]],Table4[],2,FALSE)</f>
        <v xml:space="preserve"> Tudu kool</v>
      </c>
      <c r="D922" s="3" t="str">
        <f>VLOOKUP(Table2[[#This Row],[Tegevusala]],Table4[[Tegevusala kood]:[Tegevusala alanimetus]],4,FALSE)</f>
        <v>Põhihariduse otsekulud</v>
      </c>
      <c r="E922" s="3" t="str">
        <f>VLOOKUP(Table2[[#This Row],[Tegevusala nimetus2]],Table4[[Tegevusala nimetus]:[Tegevusala koondnimetus]],2,FALSE)</f>
        <v>Haridus</v>
      </c>
      <c r="F922" s="14" t="s">
        <v>1704</v>
      </c>
      <c r="G922" t="s">
        <v>1732</v>
      </c>
      <c r="H922" s="40">
        <v>160</v>
      </c>
      <c r="J922">
        <v>5524</v>
      </c>
      <c r="K922" s="3" t="str">
        <f>VLOOKUP(Table2[[#This Row],[Konto]],Table5[[Konto]:[Konto nimetus]],2,FALSE)</f>
        <v>Õppevahendid</v>
      </c>
      <c r="L922">
        <v>55</v>
      </c>
      <c r="M922" t="str">
        <f t="shared" si="29"/>
        <v>55</v>
      </c>
      <c r="N922" s="3" t="str">
        <f>VLOOKUP(Table2[[#This Row],[Tulu/kulu liik2]],Table5[[Tulu/kulu liik]:[Kontode koondnimetus]],4,FALSE)</f>
        <v>Muud tegevuskulud</v>
      </c>
      <c r="O922" s="3" t="str">
        <f>VLOOKUP(Table2[[#This Row],[Tulu/kulu liik2]],Table5[],6,FALSE)</f>
        <v>Majandamiskulud</v>
      </c>
      <c r="P922" s="3" t="str">
        <f>VLOOKUP(Table2[[#This Row],[Tulu/kulu liik2]],Table5[],5,FALSE)</f>
        <v>Põhitegevuse kulu</v>
      </c>
    </row>
    <row r="923" spans="1:16" hidden="1" x14ac:dyDescent="0.25">
      <c r="A923" t="str">
        <f t="shared" si="28"/>
        <v>09</v>
      </c>
      <c r="B923" t="s">
        <v>327</v>
      </c>
      <c r="C923" s="3" t="str">
        <f>VLOOKUP(Table2[[#This Row],[Tegevusala]],Table4[],2,FALSE)</f>
        <v xml:space="preserve"> Tudu kool</v>
      </c>
      <c r="D923" s="3" t="str">
        <f>VLOOKUP(Table2[[#This Row],[Tegevusala]],Table4[[Tegevusala kood]:[Tegevusala alanimetus]],4,FALSE)</f>
        <v>Põhihariduse otsekulud</v>
      </c>
      <c r="E923" s="3" t="str">
        <f>VLOOKUP(Table2[[#This Row],[Tegevusala nimetus2]],Table4[[Tegevusala nimetus]:[Tegevusala koondnimetus]],2,FALSE)</f>
        <v>Haridus</v>
      </c>
      <c r="F923" s="14" t="s">
        <v>1704</v>
      </c>
      <c r="G923" t="s">
        <v>1733</v>
      </c>
      <c r="H923" s="40">
        <v>250</v>
      </c>
      <c r="J923">
        <v>5515</v>
      </c>
      <c r="K923" s="3" t="str">
        <f>VLOOKUP(Table2[[#This Row],[Konto]],Table5[[Konto]:[Konto nimetus]],2,FALSE)</f>
        <v>Inventari kulud, v.a infotehnoloogia ja kaitseotstarbelised kulud</v>
      </c>
      <c r="L923">
        <v>55</v>
      </c>
      <c r="M923" t="str">
        <f t="shared" si="29"/>
        <v>55</v>
      </c>
      <c r="N923" s="3" t="str">
        <f>VLOOKUP(Table2[[#This Row],[Tulu/kulu liik2]],Table5[[Tulu/kulu liik]:[Kontode koondnimetus]],4,FALSE)</f>
        <v>Muud tegevuskulud</v>
      </c>
      <c r="O923" s="3" t="str">
        <f>VLOOKUP(Table2[[#This Row],[Tulu/kulu liik2]],Table5[],6,FALSE)</f>
        <v>Majandamiskulud</v>
      </c>
      <c r="P923" s="3" t="str">
        <f>VLOOKUP(Table2[[#This Row],[Tulu/kulu liik2]],Table5[],5,FALSE)</f>
        <v>Põhitegevuse kulu</v>
      </c>
    </row>
    <row r="924" spans="1:16" hidden="1" x14ac:dyDescent="0.25">
      <c r="A924" t="str">
        <f t="shared" si="28"/>
        <v>09</v>
      </c>
      <c r="B924" t="s">
        <v>327</v>
      </c>
      <c r="C924" s="3" t="str">
        <f>VLOOKUP(Table2[[#This Row],[Tegevusala]],Table4[],2,FALSE)</f>
        <v xml:space="preserve"> Tudu kool</v>
      </c>
      <c r="D924" s="3" t="str">
        <f>VLOOKUP(Table2[[#This Row],[Tegevusala]],Table4[[Tegevusala kood]:[Tegevusala alanimetus]],4,FALSE)</f>
        <v>Põhihariduse otsekulud</v>
      </c>
      <c r="E924" s="3" t="str">
        <f>VLOOKUP(Table2[[#This Row],[Tegevusala nimetus2]],Table4[[Tegevusala nimetus]:[Tegevusala koondnimetus]],2,FALSE)</f>
        <v>Haridus</v>
      </c>
      <c r="F924" s="14" t="s">
        <v>1704</v>
      </c>
      <c r="G924" t="s">
        <v>1734</v>
      </c>
      <c r="H924" s="40">
        <v>150</v>
      </c>
      <c r="J924">
        <v>5515</v>
      </c>
      <c r="K924" s="3" t="str">
        <f>VLOOKUP(Table2[[#This Row],[Konto]],Table5[[Konto]:[Konto nimetus]],2,FALSE)</f>
        <v>Inventari kulud, v.a infotehnoloogia ja kaitseotstarbelised kulud</v>
      </c>
      <c r="L924">
        <v>55</v>
      </c>
      <c r="M924" t="str">
        <f t="shared" si="29"/>
        <v>55</v>
      </c>
      <c r="N924" s="3" t="str">
        <f>VLOOKUP(Table2[[#This Row],[Tulu/kulu liik2]],Table5[[Tulu/kulu liik]:[Kontode koondnimetus]],4,FALSE)</f>
        <v>Muud tegevuskulud</v>
      </c>
      <c r="O924" s="3" t="str">
        <f>VLOOKUP(Table2[[#This Row],[Tulu/kulu liik2]],Table5[],6,FALSE)</f>
        <v>Majandamiskulud</v>
      </c>
      <c r="P924" s="3" t="str">
        <f>VLOOKUP(Table2[[#This Row],[Tulu/kulu liik2]],Table5[],5,FALSE)</f>
        <v>Põhitegevuse kulu</v>
      </c>
    </row>
    <row r="925" spans="1:16" hidden="1" x14ac:dyDescent="0.25">
      <c r="A925" t="str">
        <f t="shared" si="28"/>
        <v>09</v>
      </c>
      <c r="B925" t="s">
        <v>327</v>
      </c>
      <c r="C925" s="3" t="str">
        <f>VLOOKUP(Table2[[#This Row],[Tegevusala]],Table4[],2,FALSE)</f>
        <v xml:space="preserve"> Tudu kool</v>
      </c>
      <c r="D925" s="3" t="str">
        <f>VLOOKUP(Table2[[#This Row],[Tegevusala]],Table4[[Tegevusala kood]:[Tegevusala alanimetus]],4,FALSE)</f>
        <v>Põhihariduse otsekulud</v>
      </c>
      <c r="E925" s="3" t="str">
        <f>VLOOKUP(Table2[[#This Row],[Tegevusala nimetus2]],Table4[[Tegevusala nimetus]:[Tegevusala koondnimetus]],2,FALSE)</f>
        <v>Haridus</v>
      </c>
      <c r="F925" s="14" t="s">
        <v>1704</v>
      </c>
      <c r="G925" t="s">
        <v>1735</v>
      </c>
      <c r="H925" s="40">
        <v>100</v>
      </c>
      <c r="J925">
        <v>5515</v>
      </c>
      <c r="K925" s="3" t="str">
        <f>VLOOKUP(Table2[[#This Row],[Konto]],Table5[[Konto]:[Konto nimetus]],2,FALSE)</f>
        <v>Inventari kulud, v.a infotehnoloogia ja kaitseotstarbelised kulud</v>
      </c>
      <c r="L925">
        <v>55</v>
      </c>
      <c r="M925" t="str">
        <f t="shared" si="29"/>
        <v>55</v>
      </c>
      <c r="N925" s="3" t="str">
        <f>VLOOKUP(Table2[[#This Row],[Tulu/kulu liik2]],Table5[[Tulu/kulu liik]:[Kontode koondnimetus]],4,FALSE)</f>
        <v>Muud tegevuskulud</v>
      </c>
      <c r="O925" s="3" t="str">
        <f>VLOOKUP(Table2[[#This Row],[Tulu/kulu liik2]],Table5[],6,FALSE)</f>
        <v>Majandamiskulud</v>
      </c>
      <c r="P925" s="3" t="str">
        <f>VLOOKUP(Table2[[#This Row],[Tulu/kulu liik2]],Table5[],5,FALSE)</f>
        <v>Põhitegevuse kulu</v>
      </c>
    </row>
    <row r="926" spans="1:16" hidden="1" x14ac:dyDescent="0.25">
      <c r="A926" s="8" t="str">
        <f t="shared" si="28"/>
        <v>09</v>
      </c>
      <c r="B926" s="8" t="s">
        <v>327</v>
      </c>
      <c r="C926" s="32" t="str">
        <f>VLOOKUP(Table2[[#This Row],[Tegevusala]],Table4[],2,FALSE)</f>
        <v xml:space="preserve"> Tudu kool</v>
      </c>
      <c r="D926" s="32" t="str">
        <f>VLOOKUP(Table2[[#This Row],[Tegevusala]],Table4[[Tegevusala kood]:[Tegevusala alanimetus]],4,FALSE)</f>
        <v>Põhihariduse otsekulud</v>
      </c>
      <c r="E926" s="32" t="str">
        <f>VLOOKUP(Table2[[#This Row],[Tegevusala nimetus2]],Table4[[Tegevusala nimetus]:[Tegevusala koondnimetus]],2,FALSE)</f>
        <v>Haridus</v>
      </c>
      <c r="F926" s="37" t="s">
        <v>1704</v>
      </c>
      <c r="G926" s="8" t="s">
        <v>1738</v>
      </c>
      <c r="H926" s="43">
        <v>2275</v>
      </c>
      <c r="I926" s="9" t="s">
        <v>2175</v>
      </c>
      <c r="J926" s="8">
        <v>5521</v>
      </c>
      <c r="K926" s="32" t="str">
        <f>VLOOKUP(Table2[[#This Row],[Konto]],Table5[[Konto]:[Konto nimetus]],2,FALSE)</f>
        <v>Toiduained ja toitlustusteenused</v>
      </c>
      <c r="L926" s="8">
        <v>55</v>
      </c>
      <c r="M926" s="8" t="str">
        <f t="shared" si="29"/>
        <v>55</v>
      </c>
      <c r="N926" s="32" t="str">
        <f>VLOOKUP(Table2[[#This Row],[Tulu/kulu liik2]],Table5[[Tulu/kulu liik]:[Kontode koondnimetus]],4,FALSE)</f>
        <v>Muud tegevuskulud</v>
      </c>
      <c r="O926" s="32" t="str">
        <f>VLOOKUP(Table2[[#This Row],[Tulu/kulu liik2]],Table5[],6,FALSE)</f>
        <v>Majandamiskulud</v>
      </c>
      <c r="P926" s="32" t="str">
        <f>VLOOKUP(Table2[[#This Row],[Tulu/kulu liik2]],Table5[],5,FALSE)</f>
        <v>Põhitegevuse kulu</v>
      </c>
    </row>
    <row r="927" spans="1:16" hidden="1" x14ac:dyDescent="0.25">
      <c r="A927" t="str">
        <f t="shared" si="28"/>
        <v>09</v>
      </c>
      <c r="B927" t="s">
        <v>327</v>
      </c>
      <c r="C927" s="3" t="str">
        <f>VLOOKUP(Table2[[#This Row],[Tegevusala]],Table4[],2,FALSE)</f>
        <v xml:space="preserve"> Tudu kool</v>
      </c>
      <c r="D927" s="3" t="str">
        <f>VLOOKUP(Table2[[#This Row],[Tegevusala]],Table4[[Tegevusala kood]:[Tegevusala alanimetus]],4,FALSE)</f>
        <v>Põhihariduse otsekulud</v>
      </c>
      <c r="E927" s="3" t="str">
        <f>VLOOKUP(Table2[[#This Row],[Tegevusala nimetus2]],Table4[[Tegevusala nimetus]:[Tegevusala koondnimetus]],2,FALSE)</f>
        <v>Haridus</v>
      </c>
      <c r="F927" s="14" t="s">
        <v>1704</v>
      </c>
      <c r="G927" t="s">
        <v>408</v>
      </c>
      <c r="H927" s="40">
        <v>50</v>
      </c>
      <c r="J927">
        <v>5522</v>
      </c>
      <c r="K927" s="3" t="str">
        <f>VLOOKUP(Table2[[#This Row],[Konto]],Table5[[Konto]:[Konto nimetus]],2,FALSE)</f>
        <v>Meditsiinikulud ja hügieenitarbed</v>
      </c>
      <c r="L927">
        <v>55</v>
      </c>
      <c r="M927" t="str">
        <f t="shared" si="29"/>
        <v>55</v>
      </c>
      <c r="N927" s="3" t="str">
        <f>VLOOKUP(Table2[[#This Row],[Tulu/kulu liik2]],Table5[[Tulu/kulu liik]:[Kontode koondnimetus]],4,FALSE)</f>
        <v>Muud tegevuskulud</v>
      </c>
      <c r="O927" s="3" t="str">
        <f>VLOOKUP(Table2[[#This Row],[Tulu/kulu liik2]],Table5[],6,FALSE)</f>
        <v>Majandamiskulud</v>
      </c>
      <c r="P927" s="3" t="str">
        <f>VLOOKUP(Table2[[#This Row],[Tulu/kulu liik2]],Table5[],5,FALSE)</f>
        <v>Põhitegevuse kulu</v>
      </c>
    </row>
    <row r="928" spans="1:16" hidden="1" x14ac:dyDescent="0.25">
      <c r="A928" t="str">
        <f t="shared" si="28"/>
        <v>09</v>
      </c>
      <c r="B928" t="s">
        <v>327</v>
      </c>
      <c r="C928" s="3" t="str">
        <f>VLOOKUP(Table2[[#This Row],[Tegevusala]],Table4[],2,FALSE)</f>
        <v xml:space="preserve"> Tudu kool</v>
      </c>
      <c r="D928" s="3" t="str">
        <f>VLOOKUP(Table2[[#This Row],[Tegevusala]],Table4[[Tegevusala kood]:[Tegevusala alanimetus]],4,FALSE)</f>
        <v>Põhihariduse otsekulud</v>
      </c>
      <c r="E928" s="3" t="str">
        <f>VLOOKUP(Table2[[#This Row],[Tegevusala nimetus2]],Table4[[Tegevusala nimetus]:[Tegevusala koondnimetus]],2,FALSE)</f>
        <v>Haridus</v>
      </c>
      <c r="F928" s="14" t="s">
        <v>1704</v>
      </c>
      <c r="G928" t="s">
        <v>1739</v>
      </c>
      <c r="H928" s="40">
        <v>100</v>
      </c>
      <c r="J928">
        <v>5522</v>
      </c>
      <c r="K928" s="3" t="str">
        <f>VLOOKUP(Table2[[#This Row],[Konto]],Table5[[Konto]:[Konto nimetus]],2,FALSE)</f>
        <v>Meditsiinikulud ja hügieenitarbed</v>
      </c>
      <c r="L928">
        <v>55</v>
      </c>
      <c r="M928" t="str">
        <f t="shared" si="29"/>
        <v>55</v>
      </c>
      <c r="N928" s="3" t="str">
        <f>VLOOKUP(Table2[[#This Row],[Tulu/kulu liik2]],Table5[[Tulu/kulu liik]:[Kontode koondnimetus]],4,FALSE)</f>
        <v>Muud tegevuskulud</v>
      </c>
      <c r="O928" s="3" t="str">
        <f>VLOOKUP(Table2[[#This Row],[Tulu/kulu liik2]],Table5[],6,FALSE)</f>
        <v>Majandamiskulud</v>
      </c>
      <c r="P928" s="3" t="str">
        <f>VLOOKUP(Table2[[#This Row],[Tulu/kulu liik2]],Table5[],5,FALSE)</f>
        <v>Põhitegevuse kulu</v>
      </c>
    </row>
    <row r="929" spans="1:16" hidden="1" x14ac:dyDescent="0.25">
      <c r="A929" t="str">
        <f t="shared" si="28"/>
        <v>09</v>
      </c>
      <c r="B929" t="s">
        <v>327</v>
      </c>
      <c r="C929" s="3" t="str">
        <f>VLOOKUP(Table2[[#This Row],[Tegevusala]],Table4[],2,FALSE)</f>
        <v xml:space="preserve"> Tudu kool</v>
      </c>
      <c r="D929" s="3" t="str">
        <f>VLOOKUP(Table2[[#This Row],[Tegevusala]],Table4[[Tegevusala kood]:[Tegevusala alanimetus]],4,FALSE)</f>
        <v>Põhihariduse otsekulud</v>
      </c>
      <c r="E929" s="3" t="str">
        <f>VLOOKUP(Table2[[#This Row],[Tegevusala nimetus2]],Table4[[Tegevusala nimetus]:[Tegevusala koondnimetus]],2,FALSE)</f>
        <v>Haridus</v>
      </c>
      <c r="F929" s="14" t="s">
        <v>1704</v>
      </c>
      <c r="G929" t="s">
        <v>1743</v>
      </c>
      <c r="H929" s="40">
        <v>1200</v>
      </c>
      <c r="J929">
        <v>5524</v>
      </c>
      <c r="K929" s="3" t="str">
        <f>VLOOKUP(Table2[[#This Row],[Konto]],Table5[[Konto]:[Konto nimetus]],2,FALSE)</f>
        <v>Õppevahendid</v>
      </c>
      <c r="L929">
        <v>55</v>
      </c>
      <c r="M929" t="str">
        <f t="shared" si="29"/>
        <v>55</v>
      </c>
      <c r="N929" s="3" t="str">
        <f>VLOOKUP(Table2[[#This Row],[Tulu/kulu liik2]],Table5[[Tulu/kulu liik]:[Kontode koondnimetus]],4,FALSE)</f>
        <v>Muud tegevuskulud</v>
      </c>
      <c r="O929" s="3" t="str">
        <f>VLOOKUP(Table2[[#This Row],[Tulu/kulu liik2]],Table5[],6,FALSE)</f>
        <v>Majandamiskulud</v>
      </c>
      <c r="P929" s="3" t="str">
        <f>VLOOKUP(Table2[[#This Row],[Tulu/kulu liik2]],Table5[],5,FALSE)</f>
        <v>Põhitegevuse kulu</v>
      </c>
    </row>
    <row r="930" spans="1:16" hidden="1" x14ac:dyDescent="0.25">
      <c r="A930" t="str">
        <f t="shared" si="28"/>
        <v>09</v>
      </c>
      <c r="B930" t="s">
        <v>327</v>
      </c>
      <c r="C930" s="3" t="str">
        <f>VLOOKUP(Table2[[#This Row],[Tegevusala]],Table4[],2,FALSE)</f>
        <v xml:space="preserve"> Tudu kool</v>
      </c>
      <c r="D930" s="3" t="str">
        <f>VLOOKUP(Table2[[#This Row],[Tegevusala]],Table4[[Tegevusala kood]:[Tegevusala alanimetus]],4,FALSE)</f>
        <v>Põhihariduse otsekulud</v>
      </c>
      <c r="E930" s="3" t="str">
        <f>VLOOKUP(Table2[[#This Row],[Tegevusala nimetus2]],Table4[[Tegevusala nimetus]:[Tegevusala koondnimetus]],2,FALSE)</f>
        <v>Haridus</v>
      </c>
      <c r="F930" s="14" t="s">
        <v>1704</v>
      </c>
      <c r="G930" t="s">
        <v>218</v>
      </c>
      <c r="H930" s="40">
        <v>400</v>
      </c>
      <c r="J930">
        <v>5524</v>
      </c>
      <c r="K930" s="3" t="str">
        <f>VLOOKUP(Table2[[#This Row],[Konto]],Table5[[Konto]:[Konto nimetus]],2,FALSE)</f>
        <v>Õppevahendid</v>
      </c>
      <c r="L930">
        <v>55</v>
      </c>
      <c r="M930" t="str">
        <f t="shared" si="29"/>
        <v>55</v>
      </c>
      <c r="N930" s="3" t="str">
        <f>VLOOKUP(Table2[[#This Row],[Tulu/kulu liik2]],Table5[[Tulu/kulu liik]:[Kontode koondnimetus]],4,FALSE)</f>
        <v>Muud tegevuskulud</v>
      </c>
      <c r="O930" s="3" t="str">
        <f>VLOOKUP(Table2[[#This Row],[Tulu/kulu liik2]],Table5[],6,FALSE)</f>
        <v>Majandamiskulud</v>
      </c>
      <c r="P930" s="3" t="str">
        <f>VLOOKUP(Table2[[#This Row],[Tulu/kulu liik2]],Table5[],5,FALSE)</f>
        <v>Põhitegevuse kulu</v>
      </c>
    </row>
    <row r="931" spans="1:16" hidden="1" x14ac:dyDescent="0.25">
      <c r="A931" t="str">
        <f t="shared" si="28"/>
        <v>09</v>
      </c>
      <c r="B931" t="s">
        <v>327</v>
      </c>
      <c r="C931" s="3" t="str">
        <f>VLOOKUP(Table2[[#This Row],[Tegevusala]],Table4[],2,FALSE)</f>
        <v xml:space="preserve"> Tudu kool</v>
      </c>
      <c r="D931" s="3" t="str">
        <f>VLOOKUP(Table2[[#This Row],[Tegevusala]],Table4[[Tegevusala kood]:[Tegevusala alanimetus]],4,FALSE)</f>
        <v>Põhihariduse otsekulud</v>
      </c>
      <c r="E931" s="3" t="str">
        <f>VLOOKUP(Table2[[#This Row],[Tegevusala nimetus2]],Table4[[Tegevusala nimetus]:[Tegevusala koondnimetus]],2,FALSE)</f>
        <v>Haridus</v>
      </c>
      <c r="F931" s="14" t="s">
        <v>1704</v>
      </c>
      <c r="G931" t="s">
        <v>1744</v>
      </c>
      <c r="H931" s="40">
        <v>300</v>
      </c>
      <c r="J931">
        <v>5524</v>
      </c>
      <c r="K931" s="3" t="str">
        <f>VLOOKUP(Table2[[#This Row],[Konto]],Table5[[Konto]:[Konto nimetus]],2,FALSE)</f>
        <v>Õppevahendid</v>
      </c>
      <c r="L931">
        <v>55</v>
      </c>
      <c r="M931" t="str">
        <f t="shared" si="29"/>
        <v>55</v>
      </c>
      <c r="N931" s="3" t="str">
        <f>VLOOKUP(Table2[[#This Row],[Tulu/kulu liik2]],Table5[[Tulu/kulu liik]:[Kontode koondnimetus]],4,FALSE)</f>
        <v>Muud tegevuskulud</v>
      </c>
      <c r="O931" s="3" t="str">
        <f>VLOOKUP(Table2[[#This Row],[Tulu/kulu liik2]],Table5[],6,FALSE)</f>
        <v>Majandamiskulud</v>
      </c>
      <c r="P931" s="3" t="str">
        <f>VLOOKUP(Table2[[#This Row],[Tulu/kulu liik2]],Table5[],5,FALSE)</f>
        <v>Põhitegevuse kulu</v>
      </c>
    </row>
    <row r="932" spans="1:16" hidden="1" x14ac:dyDescent="0.25">
      <c r="A932" t="str">
        <f t="shared" si="28"/>
        <v>09</v>
      </c>
      <c r="B932" t="s">
        <v>327</v>
      </c>
      <c r="C932" s="3" t="str">
        <f>VLOOKUP(Table2[[#This Row],[Tegevusala]],Table4[],2,FALSE)</f>
        <v xml:space="preserve"> Tudu kool</v>
      </c>
      <c r="D932" s="3" t="str">
        <f>VLOOKUP(Table2[[#This Row],[Tegevusala]],Table4[[Tegevusala kood]:[Tegevusala alanimetus]],4,FALSE)</f>
        <v>Põhihariduse otsekulud</v>
      </c>
      <c r="E932" s="3" t="str">
        <f>VLOOKUP(Table2[[#This Row],[Tegevusala nimetus2]],Table4[[Tegevusala nimetus]:[Tegevusala koondnimetus]],2,FALSE)</f>
        <v>Haridus</v>
      </c>
      <c r="F932" s="14" t="s">
        <v>1704</v>
      </c>
      <c r="G932" t="s">
        <v>1745</v>
      </c>
      <c r="H932" s="40">
        <v>900</v>
      </c>
      <c r="J932">
        <v>5524</v>
      </c>
      <c r="K932" s="3" t="str">
        <f>VLOOKUP(Table2[[#This Row],[Konto]],Table5[[Konto]:[Konto nimetus]],2,FALSE)</f>
        <v>Õppevahendid</v>
      </c>
      <c r="L932">
        <v>55</v>
      </c>
      <c r="M932" t="str">
        <f t="shared" si="29"/>
        <v>55</v>
      </c>
      <c r="N932" s="3" t="str">
        <f>VLOOKUP(Table2[[#This Row],[Tulu/kulu liik2]],Table5[[Tulu/kulu liik]:[Kontode koondnimetus]],4,FALSE)</f>
        <v>Muud tegevuskulud</v>
      </c>
      <c r="O932" s="3" t="str">
        <f>VLOOKUP(Table2[[#This Row],[Tulu/kulu liik2]],Table5[],6,FALSE)</f>
        <v>Majandamiskulud</v>
      </c>
      <c r="P932" s="3" t="str">
        <f>VLOOKUP(Table2[[#This Row],[Tulu/kulu liik2]],Table5[],5,FALSE)</f>
        <v>Põhitegevuse kulu</v>
      </c>
    </row>
    <row r="933" spans="1:16" hidden="1" x14ac:dyDescent="0.25">
      <c r="A933" t="str">
        <f t="shared" si="28"/>
        <v>09</v>
      </c>
      <c r="B933" t="s">
        <v>327</v>
      </c>
      <c r="C933" s="3" t="str">
        <f>VLOOKUP(Table2[[#This Row],[Tegevusala]],Table4[],2,FALSE)</f>
        <v xml:space="preserve"> Tudu kool</v>
      </c>
      <c r="D933" s="3" t="str">
        <f>VLOOKUP(Table2[[#This Row],[Tegevusala]],Table4[[Tegevusala kood]:[Tegevusala alanimetus]],4,FALSE)</f>
        <v>Põhihariduse otsekulud</v>
      </c>
      <c r="E933" s="3" t="str">
        <f>VLOOKUP(Table2[[#This Row],[Tegevusala nimetus2]],Table4[[Tegevusala nimetus]:[Tegevusala koondnimetus]],2,FALSE)</f>
        <v>Haridus</v>
      </c>
      <c r="F933" s="14" t="s">
        <v>1704</v>
      </c>
      <c r="G933" t="s">
        <v>1746</v>
      </c>
      <c r="H933" s="40">
        <v>100</v>
      </c>
      <c r="J933">
        <v>5524</v>
      </c>
      <c r="K933" s="3" t="str">
        <f>VLOOKUP(Table2[[#This Row],[Konto]],Table5[[Konto]:[Konto nimetus]],2,FALSE)</f>
        <v>Õppevahendid</v>
      </c>
      <c r="L933">
        <v>55</v>
      </c>
      <c r="M933" t="str">
        <f t="shared" si="29"/>
        <v>55</v>
      </c>
      <c r="N933" s="3" t="str">
        <f>VLOOKUP(Table2[[#This Row],[Tulu/kulu liik2]],Table5[[Tulu/kulu liik]:[Kontode koondnimetus]],4,FALSE)</f>
        <v>Muud tegevuskulud</v>
      </c>
      <c r="O933" s="3" t="str">
        <f>VLOOKUP(Table2[[#This Row],[Tulu/kulu liik2]],Table5[],6,FALSE)</f>
        <v>Majandamiskulud</v>
      </c>
      <c r="P933" s="3" t="str">
        <f>VLOOKUP(Table2[[#This Row],[Tulu/kulu liik2]],Table5[],5,FALSE)</f>
        <v>Põhitegevuse kulu</v>
      </c>
    </row>
    <row r="934" spans="1:16" hidden="1" x14ac:dyDescent="0.25">
      <c r="A934" t="str">
        <f t="shared" si="28"/>
        <v>09</v>
      </c>
      <c r="B934" t="s">
        <v>327</v>
      </c>
      <c r="C934" s="3" t="str">
        <f>VLOOKUP(Table2[[#This Row],[Tegevusala]],Table4[],2,FALSE)</f>
        <v xml:space="preserve"> Tudu kool</v>
      </c>
      <c r="D934" s="3" t="str">
        <f>VLOOKUP(Table2[[#This Row],[Tegevusala]],Table4[[Tegevusala kood]:[Tegevusala alanimetus]],4,FALSE)</f>
        <v>Põhihariduse otsekulud</v>
      </c>
      <c r="E934" s="3" t="str">
        <f>VLOOKUP(Table2[[#This Row],[Tegevusala nimetus2]],Table4[[Tegevusala nimetus]:[Tegevusala koondnimetus]],2,FALSE)</f>
        <v>Haridus</v>
      </c>
      <c r="F934" s="14" t="s">
        <v>1704</v>
      </c>
      <c r="G934" t="s">
        <v>1747</v>
      </c>
      <c r="H934" s="40">
        <v>10</v>
      </c>
      <c r="J934">
        <v>5525</v>
      </c>
      <c r="K934" s="3" t="str">
        <f>VLOOKUP(Table2[[#This Row],[Konto]],Table5[[Konto]:[Konto nimetus]],2,FALSE)</f>
        <v>Kommunikatsiooni-, kultuuri- ja vaba aja sisustamise kulud</v>
      </c>
      <c r="L934">
        <v>55</v>
      </c>
      <c r="M934" t="str">
        <f t="shared" si="29"/>
        <v>55</v>
      </c>
      <c r="N934" s="3" t="str">
        <f>VLOOKUP(Table2[[#This Row],[Tulu/kulu liik2]],Table5[[Tulu/kulu liik]:[Kontode koondnimetus]],4,FALSE)</f>
        <v>Muud tegevuskulud</v>
      </c>
      <c r="O934" s="3" t="str">
        <f>VLOOKUP(Table2[[#This Row],[Tulu/kulu liik2]],Table5[],6,FALSE)</f>
        <v>Majandamiskulud</v>
      </c>
      <c r="P934" s="3" t="str">
        <f>VLOOKUP(Table2[[#This Row],[Tulu/kulu liik2]],Table5[],5,FALSE)</f>
        <v>Põhitegevuse kulu</v>
      </c>
    </row>
    <row r="935" spans="1:16" hidden="1" x14ac:dyDescent="0.25">
      <c r="A935" t="str">
        <f t="shared" si="28"/>
        <v>09</v>
      </c>
      <c r="B935" t="s">
        <v>327</v>
      </c>
      <c r="C935" s="3" t="str">
        <f>VLOOKUP(Table2[[#This Row],[Tegevusala]],Table4[],2,FALSE)</f>
        <v xml:space="preserve"> Tudu kool</v>
      </c>
      <c r="D935" s="3" t="str">
        <f>VLOOKUP(Table2[[#This Row],[Tegevusala]],Table4[[Tegevusala kood]:[Tegevusala alanimetus]],4,FALSE)</f>
        <v>Põhihariduse otsekulud</v>
      </c>
      <c r="E935" s="3" t="str">
        <f>VLOOKUP(Table2[[#This Row],[Tegevusala nimetus2]],Table4[[Tegevusala nimetus]:[Tegevusala koondnimetus]],2,FALSE)</f>
        <v>Haridus</v>
      </c>
      <c r="F935" s="14" t="s">
        <v>1704</v>
      </c>
      <c r="G935" t="s">
        <v>1748</v>
      </c>
      <c r="H935" s="40">
        <v>20</v>
      </c>
      <c r="J935">
        <v>5525</v>
      </c>
      <c r="K935" s="3" t="str">
        <f>VLOOKUP(Table2[[#This Row],[Konto]],Table5[[Konto]:[Konto nimetus]],2,FALSE)</f>
        <v>Kommunikatsiooni-, kultuuri- ja vaba aja sisustamise kulud</v>
      </c>
      <c r="L935">
        <v>55</v>
      </c>
      <c r="M935" t="str">
        <f t="shared" si="29"/>
        <v>55</v>
      </c>
      <c r="N935" s="3" t="str">
        <f>VLOOKUP(Table2[[#This Row],[Tulu/kulu liik2]],Table5[[Tulu/kulu liik]:[Kontode koondnimetus]],4,FALSE)</f>
        <v>Muud tegevuskulud</v>
      </c>
      <c r="O935" s="3" t="str">
        <f>VLOOKUP(Table2[[#This Row],[Tulu/kulu liik2]],Table5[],6,FALSE)</f>
        <v>Majandamiskulud</v>
      </c>
      <c r="P935" s="3" t="str">
        <f>VLOOKUP(Table2[[#This Row],[Tulu/kulu liik2]],Table5[],5,FALSE)</f>
        <v>Põhitegevuse kulu</v>
      </c>
    </row>
    <row r="936" spans="1:16" hidden="1" x14ac:dyDescent="0.25">
      <c r="A936" t="str">
        <f t="shared" si="28"/>
        <v>09</v>
      </c>
      <c r="B936" t="s">
        <v>327</v>
      </c>
      <c r="C936" s="3" t="str">
        <f>VLOOKUP(Table2[[#This Row],[Tegevusala]],Table4[],2,FALSE)</f>
        <v xml:space="preserve"> Tudu kool</v>
      </c>
      <c r="D936" s="3" t="str">
        <f>VLOOKUP(Table2[[#This Row],[Tegevusala]],Table4[[Tegevusala kood]:[Tegevusala alanimetus]],4,FALSE)</f>
        <v>Põhihariduse otsekulud</v>
      </c>
      <c r="E936" s="3" t="str">
        <f>VLOOKUP(Table2[[#This Row],[Tegevusala nimetus2]],Table4[[Tegevusala nimetus]:[Tegevusala koondnimetus]],2,FALSE)</f>
        <v>Haridus</v>
      </c>
      <c r="F936" s="14" t="s">
        <v>1704</v>
      </c>
      <c r="G936" t="s">
        <v>1749</v>
      </c>
      <c r="H936" s="40">
        <v>40</v>
      </c>
      <c r="J936">
        <v>5525</v>
      </c>
      <c r="K936" s="3" t="str">
        <f>VLOOKUP(Table2[[#This Row],[Konto]],Table5[[Konto]:[Konto nimetus]],2,FALSE)</f>
        <v>Kommunikatsiooni-, kultuuri- ja vaba aja sisustamise kulud</v>
      </c>
      <c r="L936">
        <v>55</v>
      </c>
      <c r="M936" t="str">
        <f t="shared" si="29"/>
        <v>55</v>
      </c>
      <c r="N936" s="3" t="str">
        <f>VLOOKUP(Table2[[#This Row],[Tulu/kulu liik2]],Table5[[Tulu/kulu liik]:[Kontode koondnimetus]],4,FALSE)</f>
        <v>Muud tegevuskulud</v>
      </c>
      <c r="O936" s="3" t="str">
        <f>VLOOKUP(Table2[[#This Row],[Tulu/kulu liik2]],Table5[],6,FALSE)</f>
        <v>Majandamiskulud</v>
      </c>
      <c r="P936" s="3" t="str">
        <f>VLOOKUP(Table2[[#This Row],[Tulu/kulu liik2]],Table5[],5,FALSE)</f>
        <v>Põhitegevuse kulu</v>
      </c>
    </row>
    <row r="937" spans="1:16" hidden="1" x14ac:dyDescent="0.25">
      <c r="A937" t="str">
        <f t="shared" si="28"/>
        <v>09</v>
      </c>
      <c r="B937" t="s">
        <v>327</v>
      </c>
      <c r="C937" s="3" t="str">
        <f>VLOOKUP(Table2[[#This Row],[Tegevusala]],Table4[],2,FALSE)</f>
        <v xml:space="preserve"> Tudu kool</v>
      </c>
      <c r="D937" s="3" t="str">
        <f>VLOOKUP(Table2[[#This Row],[Tegevusala]],Table4[[Tegevusala kood]:[Tegevusala alanimetus]],4,FALSE)</f>
        <v>Põhihariduse otsekulud</v>
      </c>
      <c r="E937" s="3" t="str">
        <f>VLOOKUP(Table2[[#This Row],[Tegevusala nimetus2]],Table4[[Tegevusala nimetus]:[Tegevusala koondnimetus]],2,FALSE)</f>
        <v>Haridus</v>
      </c>
      <c r="F937" s="14" t="s">
        <v>1704</v>
      </c>
      <c r="G937" t="s">
        <v>1750</v>
      </c>
      <c r="H937" s="40">
        <v>75</v>
      </c>
      <c r="J937">
        <v>5525</v>
      </c>
      <c r="K937" s="3" t="str">
        <f>VLOOKUP(Table2[[#This Row],[Konto]],Table5[[Konto]:[Konto nimetus]],2,FALSE)</f>
        <v>Kommunikatsiooni-, kultuuri- ja vaba aja sisustamise kulud</v>
      </c>
      <c r="L937">
        <v>55</v>
      </c>
      <c r="M937" t="str">
        <f t="shared" si="29"/>
        <v>55</v>
      </c>
      <c r="N937" s="3" t="str">
        <f>VLOOKUP(Table2[[#This Row],[Tulu/kulu liik2]],Table5[[Tulu/kulu liik]:[Kontode koondnimetus]],4,FALSE)</f>
        <v>Muud tegevuskulud</v>
      </c>
      <c r="O937" s="3" t="str">
        <f>VLOOKUP(Table2[[#This Row],[Tulu/kulu liik2]],Table5[],6,FALSE)</f>
        <v>Majandamiskulud</v>
      </c>
      <c r="P937" s="3" t="str">
        <f>VLOOKUP(Table2[[#This Row],[Tulu/kulu liik2]],Table5[],5,FALSE)</f>
        <v>Põhitegevuse kulu</v>
      </c>
    </row>
    <row r="938" spans="1:16" hidden="1" x14ac:dyDescent="0.25">
      <c r="A938" t="str">
        <f t="shared" si="28"/>
        <v>09</v>
      </c>
      <c r="B938" t="s">
        <v>327</v>
      </c>
      <c r="C938" s="3" t="str">
        <f>VLOOKUP(Table2[[#This Row],[Tegevusala]],Table4[],2,FALSE)</f>
        <v xml:space="preserve"> Tudu kool</v>
      </c>
      <c r="D938" s="3" t="str">
        <f>VLOOKUP(Table2[[#This Row],[Tegevusala]],Table4[[Tegevusala kood]:[Tegevusala alanimetus]],4,FALSE)</f>
        <v>Põhihariduse otsekulud</v>
      </c>
      <c r="E938" s="3" t="str">
        <f>VLOOKUP(Table2[[#This Row],[Tegevusala nimetus2]],Table4[[Tegevusala nimetus]:[Tegevusala koondnimetus]],2,FALSE)</f>
        <v>Haridus</v>
      </c>
      <c r="F938" s="14" t="s">
        <v>1704</v>
      </c>
      <c r="G938" t="s">
        <v>1751</v>
      </c>
      <c r="H938" s="40">
        <v>50</v>
      </c>
      <c r="J938">
        <v>5525</v>
      </c>
      <c r="K938" s="3" t="str">
        <f>VLOOKUP(Table2[[#This Row],[Konto]],Table5[[Konto]:[Konto nimetus]],2,FALSE)</f>
        <v>Kommunikatsiooni-, kultuuri- ja vaba aja sisustamise kulud</v>
      </c>
      <c r="L938">
        <v>55</v>
      </c>
      <c r="M938" t="str">
        <f t="shared" si="29"/>
        <v>55</v>
      </c>
      <c r="N938" s="3" t="str">
        <f>VLOOKUP(Table2[[#This Row],[Tulu/kulu liik2]],Table5[[Tulu/kulu liik]:[Kontode koondnimetus]],4,FALSE)</f>
        <v>Muud tegevuskulud</v>
      </c>
      <c r="O938" s="3" t="str">
        <f>VLOOKUP(Table2[[#This Row],[Tulu/kulu liik2]],Table5[],6,FALSE)</f>
        <v>Majandamiskulud</v>
      </c>
      <c r="P938" s="3" t="str">
        <f>VLOOKUP(Table2[[#This Row],[Tulu/kulu liik2]],Table5[],5,FALSE)</f>
        <v>Põhitegevuse kulu</v>
      </c>
    </row>
    <row r="939" spans="1:16" hidden="1" x14ac:dyDescent="0.25">
      <c r="A939" t="str">
        <f t="shared" si="28"/>
        <v>09</v>
      </c>
      <c r="B939" t="s">
        <v>327</v>
      </c>
      <c r="C939" s="3" t="str">
        <f>VLOOKUP(Table2[[#This Row],[Tegevusala]],Table4[],2,FALSE)</f>
        <v xml:space="preserve"> Tudu kool</v>
      </c>
      <c r="D939" s="3" t="str">
        <f>VLOOKUP(Table2[[#This Row],[Tegevusala]],Table4[[Tegevusala kood]:[Tegevusala alanimetus]],4,FALSE)</f>
        <v>Põhihariduse otsekulud</v>
      </c>
      <c r="E939" s="3" t="str">
        <f>VLOOKUP(Table2[[#This Row],[Tegevusala nimetus2]],Table4[[Tegevusala nimetus]:[Tegevusala koondnimetus]],2,FALSE)</f>
        <v>Haridus</v>
      </c>
      <c r="F939" s="14" t="s">
        <v>1704</v>
      </c>
      <c r="G939" t="s">
        <v>1752</v>
      </c>
      <c r="H939" s="40">
        <v>500</v>
      </c>
      <c r="J939">
        <v>5525</v>
      </c>
      <c r="K939" s="3" t="str">
        <f>VLOOKUP(Table2[[#This Row],[Konto]],Table5[[Konto]:[Konto nimetus]],2,FALSE)</f>
        <v>Kommunikatsiooni-, kultuuri- ja vaba aja sisustamise kulud</v>
      </c>
      <c r="L939">
        <v>55</v>
      </c>
      <c r="M939" t="str">
        <f t="shared" si="29"/>
        <v>55</v>
      </c>
      <c r="N939" s="3" t="str">
        <f>VLOOKUP(Table2[[#This Row],[Tulu/kulu liik2]],Table5[[Tulu/kulu liik]:[Kontode koondnimetus]],4,FALSE)</f>
        <v>Muud tegevuskulud</v>
      </c>
      <c r="O939" s="3" t="str">
        <f>VLOOKUP(Table2[[#This Row],[Tulu/kulu liik2]],Table5[],6,FALSE)</f>
        <v>Majandamiskulud</v>
      </c>
      <c r="P939" s="3" t="str">
        <f>VLOOKUP(Table2[[#This Row],[Tulu/kulu liik2]],Table5[],5,FALSE)</f>
        <v>Põhitegevuse kulu</v>
      </c>
    </row>
    <row r="940" spans="1:16" hidden="1" x14ac:dyDescent="0.25">
      <c r="A940" t="str">
        <f t="shared" si="28"/>
        <v>09</v>
      </c>
      <c r="B940" t="s">
        <v>327</v>
      </c>
      <c r="C940" s="3" t="str">
        <f>VLOOKUP(Table2[[#This Row],[Tegevusala]],Table4[],2,FALSE)</f>
        <v xml:space="preserve"> Tudu kool</v>
      </c>
      <c r="D940" s="3" t="str">
        <f>VLOOKUP(Table2[[#This Row],[Tegevusala]],Table4[[Tegevusala kood]:[Tegevusala alanimetus]],4,FALSE)</f>
        <v>Põhihariduse otsekulud</v>
      </c>
      <c r="E940" s="3" t="str">
        <f>VLOOKUP(Table2[[#This Row],[Tegevusala nimetus2]],Table4[[Tegevusala nimetus]:[Tegevusala koondnimetus]],2,FALSE)</f>
        <v>Haridus</v>
      </c>
      <c r="F940" s="14" t="s">
        <v>1704</v>
      </c>
      <c r="G940" t="s">
        <v>1753</v>
      </c>
      <c r="H940" s="40">
        <v>30</v>
      </c>
      <c r="J940">
        <v>5525</v>
      </c>
      <c r="K940" s="3" t="str">
        <f>VLOOKUP(Table2[[#This Row],[Konto]],Table5[[Konto]:[Konto nimetus]],2,FALSE)</f>
        <v>Kommunikatsiooni-, kultuuri- ja vaba aja sisustamise kulud</v>
      </c>
      <c r="L940">
        <v>55</v>
      </c>
      <c r="M940" t="str">
        <f t="shared" si="29"/>
        <v>55</v>
      </c>
      <c r="N940" s="3" t="str">
        <f>VLOOKUP(Table2[[#This Row],[Tulu/kulu liik2]],Table5[[Tulu/kulu liik]:[Kontode koondnimetus]],4,FALSE)</f>
        <v>Muud tegevuskulud</v>
      </c>
      <c r="O940" s="3" t="str">
        <f>VLOOKUP(Table2[[#This Row],[Tulu/kulu liik2]],Table5[],6,FALSE)</f>
        <v>Majandamiskulud</v>
      </c>
      <c r="P940" s="3" t="str">
        <f>VLOOKUP(Table2[[#This Row],[Tulu/kulu liik2]],Table5[],5,FALSE)</f>
        <v>Põhitegevuse kulu</v>
      </c>
    </row>
    <row r="941" spans="1:16" hidden="1" x14ac:dyDescent="0.25">
      <c r="A941" t="str">
        <f t="shared" si="28"/>
        <v>09</v>
      </c>
      <c r="B941" t="s">
        <v>327</v>
      </c>
      <c r="C941" s="3" t="str">
        <f>VLOOKUP(Table2[[#This Row],[Tegevusala]],Table4[],2,FALSE)</f>
        <v xml:space="preserve"> Tudu kool</v>
      </c>
      <c r="D941" s="3" t="str">
        <f>VLOOKUP(Table2[[#This Row],[Tegevusala]],Table4[[Tegevusala kood]:[Tegevusala alanimetus]],4,FALSE)</f>
        <v>Põhihariduse otsekulud</v>
      </c>
      <c r="E941" s="3" t="str">
        <f>VLOOKUP(Table2[[#This Row],[Tegevusala nimetus2]],Table4[[Tegevusala nimetus]:[Tegevusala koondnimetus]],2,FALSE)</f>
        <v>Haridus</v>
      </c>
      <c r="F941" s="14" t="s">
        <v>1704</v>
      </c>
      <c r="G941" t="s">
        <v>1754</v>
      </c>
      <c r="H941" s="40">
        <v>20</v>
      </c>
      <c r="J941">
        <v>5525</v>
      </c>
      <c r="K941" s="3" t="str">
        <f>VLOOKUP(Table2[[#This Row],[Konto]],Table5[[Konto]:[Konto nimetus]],2,FALSE)</f>
        <v>Kommunikatsiooni-, kultuuri- ja vaba aja sisustamise kulud</v>
      </c>
      <c r="L941">
        <v>55</v>
      </c>
      <c r="M941" t="str">
        <f t="shared" si="29"/>
        <v>55</v>
      </c>
      <c r="N941" s="3" t="str">
        <f>VLOOKUP(Table2[[#This Row],[Tulu/kulu liik2]],Table5[[Tulu/kulu liik]:[Kontode koondnimetus]],4,FALSE)</f>
        <v>Muud tegevuskulud</v>
      </c>
      <c r="O941" s="3" t="str">
        <f>VLOOKUP(Table2[[#This Row],[Tulu/kulu liik2]],Table5[],6,FALSE)</f>
        <v>Majandamiskulud</v>
      </c>
      <c r="P941" s="3" t="str">
        <f>VLOOKUP(Table2[[#This Row],[Tulu/kulu liik2]],Table5[],5,FALSE)</f>
        <v>Põhitegevuse kulu</v>
      </c>
    </row>
    <row r="942" spans="1:16" hidden="1" x14ac:dyDescent="0.25">
      <c r="A942" t="str">
        <f t="shared" si="28"/>
        <v>09</v>
      </c>
      <c r="B942" t="s">
        <v>327</v>
      </c>
      <c r="C942" s="3" t="str">
        <f>VLOOKUP(Table2[[#This Row],[Tegevusala]],Table4[],2,FALSE)</f>
        <v xml:space="preserve"> Tudu kool</v>
      </c>
      <c r="D942" s="3" t="str">
        <f>VLOOKUP(Table2[[#This Row],[Tegevusala]],Table4[[Tegevusala kood]:[Tegevusala alanimetus]],4,FALSE)</f>
        <v>Põhihariduse otsekulud</v>
      </c>
      <c r="E942" s="3" t="str">
        <f>VLOOKUP(Table2[[#This Row],[Tegevusala nimetus2]],Table4[[Tegevusala nimetus]:[Tegevusala koondnimetus]],2,FALSE)</f>
        <v>Haridus</v>
      </c>
      <c r="F942" s="14" t="s">
        <v>1704</v>
      </c>
      <c r="G942" t="s">
        <v>1755</v>
      </c>
      <c r="H942" s="40">
        <v>200</v>
      </c>
      <c r="J942">
        <v>5525</v>
      </c>
      <c r="K942" s="3" t="str">
        <f>VLOOKUP(Table2[[#This Row],[Konto]],Table5[[Konto]:[Konto nimetus]],2,FALSE)</f>
        <v>Kommunikatsiooni-, kultuuri- ja vaba aja sisustamise kulud</v>
      </c>
      <c r="L942">
        <v>55</v>
      </c>
      <c r="M942" t="str">
        <f t="shared" si="29"/>
        <v>55</v>
      </c>
      <c r="N942" s="3" t="str">
        <f>VLOOKUP(Table2[[#This Row],[Tulu/kulu liik2]],Table5[[Tulu/kulu liik]:[Kontode koondnimetus]],4,FALSE)</f>
        <v>Muud tegevuskulud</v>
      </c>
      <c r="O942" s="3" t="str">
        <f>VLOOKUP(Table2[[#This Row],[Tulu/kulu liik2]],Table5[],6,FALSE)</f>
        <v>Majandamiskulud</v>
      </c>
      <c r="P942" s="3" t="str">
        <f>VLOOKUP(Table2[[#This Row],[Tulu/kulu liik2]],Table5[],5,FALSE)</f>
        <v>Põhitegevuse kulu</v>
      </c>
    </row>
    <row r="943" spans="1:16" hidden="1" x14ac:dyDescent="0.25">
      <c r="A943" t="str">
        <f t="shared" si="28"/>
        <v>09</v>
      </c>
      <c r="B943" t="s">
        <v>327</v>
      </c>
      <c r="C943" s="3" t="str">
        <f>VLOOKUP(Table2[[#This Row],[Tegevusala]],Table4[],2,FALSE)</f>
        <v xml:space="preserve"> Tudu kool</v>
      </c>
      <c r="D943" s="3" t="str">
        <f>VLOOKUP(Table2[[#This Row],[Tegevusala]],Table4[[Tegevusala kood]:[Tegevusala alanimetus]],4,FALSE)</f>
        <v>Põhihariduse otsekulud</v>
      </c>
      <c r="E943" s="3" t="str">
        <f>VLOOKUP(Table2[[#This Row],[Tegevusala nimetus2]],Table4[[Tegevusala nimetus]:[Tegevusala koondnimetus]],2,FALSE)</f>
        <v>Haridus</v>
      </c>
      <c r="F943" s="14" t="s">
        <v>1704</v>
      </c>
      <c r="G943" t="s">
        <v>177</v>
      </c>
      <c r="H943" s="40">
        <v>6500</v>
      </c>
      <c r="J943">
        <v>5511</v>
      </c>
      <c r="K943" s="3" t="str">
        <f>VLOOKUP(Table2[[#This Row],[Konto]],Table5[[Konto]:[Konto nimetus]],2,FALSE)</f>
        <v>Kinnistute, hoonete ja ruumide majandamiskulud</v>
      </c>
      <c r="L943">
        <v>55</v>
      </c>
      <c r="M943" t="str">
        <f t="shared" si="29"/>
        <v>55</v>
      </c>
      <c r="N943" s="3" t="str">
        <f>VLOOKUP(Table2[[#This Row],[Tulu/kulu liik2]],Table5[[Tulu/kulu liik]:[Kontode koondnimetus]],4,FALSE)</f>
        <v>Muud tegevuskulud</v>
      </c>
      <c r="O943" s="3" t="str">
        <f>VLOOKUP(Table2[[#This Row],[Tulu/kulu liik2]],Table5[],6,FALSE)</f>
        <v>Majandamiskulud</v>
      </c>
      <c r="P943" s="3" t="str">
        <f>VLOOKUP(Table2[[#This Row],[Tulu/kulu liik2]],Table5[],5,FALSE)</f>
        <v>Põhitegevuse kulu</v>
      </c>
    </row>
    <row r="944" spans="1:16" hidden="1" x14ac:dyDescent="0.25">
      <c r="A944" t="str">
        <f t="shared" si="28"/>
        <v>09</v>
      </c>
      <c r="B944" t="s">
        <v>327</v>
      </c>
      <c r="C944" s="3" t="str">
        <f>VLOOKUP(Table2[[#This Row],[Tegevusala]],Table4[],2,FALSE)</f>
        <v xml:space="preserve"> Tudu kool</v>
      </c>
      <c r="D944" s="3" t="str">
        <f>VLOOKUP(Table2[[#This Row],[Tegevusala]],Table4[[Tegevusala kood]:[Tegevusala alanimetus]],4,FALSE)</f>
        <v>Põhihariduse otsekulud</v>
      </c>
      <c r="E944" s="3" t="str">
        <f>VLOOKUP(Table2[[#This Row],[Tegevusala nimetus2]],Table4[[Tegevusala nimetus]:[Tegevusala koondnimetus]],2,FALSE)</f>
        <v>Haridus</v>
      </c>
      <c r="F944" s="14" t="s">
        <v>1704</v>
      </c>
      <c r="G944" t="s">
        <v>178</v>
      </c>
      <c r="H944" s="40">
        <v>2700</v>
      </c>
      <c r="J944">
        <v>5511</v>
      </c>
      <c r="K944" s="3" t="str">
        <f>VLOOKUP(Table2[[#This Row],[Konto]],Table5[[Konto]:[Konto nimetus]],2,FALSE)</f>
        <v>Kinnistute, hoonete ja ruumide majandamiskulud</v>
      </c>
      <c r="L944">
        <v>55</v>
      </c>
      <c r="M944" t="str">
        <f t="shared" si="29"/>
        <v>55</v>
      </c>
      <c r="N944" s="3" t="str">
        <f>VLOOKUP(Table2[[#This Row],[Tulu/kulu liik2]],Table5[[Tulu/kulu liik]:[Kontode koondnimetus]],4,FALSE)</f>
        <v>Muud tegevuskulud</v>
      </c>
      <c r="O944" s="3" t="str">
        <f>VLOOKUP(Table2[[#This Row],[Tulu/kulu liik2]],Table5[],6,FALSE)</f>
        <v>Majandamiskulud</v>
      </c>
      <c r="P944" s="3" t="str">
        <f>VLOOKUP(Table2[[#This Row],[Tulu/kulu liik2]],Table5[],5,FALSE)</f>
        <v>Põhitegevuse kulu</v>
      </c>
    </row>
    <row r="945" spans="1:16" hidden="1" x14ac:dyDescent="0.25">
      <c r="A945" t="str">
        <f t="shared" si="28"/>
        <v>09</v>
      </c>
      <c r="B945" t="s">
        <v>327</v>
      </c>
      <c r="C945" s="3" t="str">
        <f>VLOOKUP(Table2[[#This Row],[Tegevusala]],Table4[],2,FALSE)</f>
        <v xml:space="preserve"> Tudu kool</v>
      </c>
      <c r="D945" s="3" t="str">
        <f>VLOOKUP(Table2[[#This Row],[Tegevusala]],Table4[[Tegevusala kood]:[Tegevusala alanimetus]],4,FALSE)</f>
        <v>Põhihariduse otsekulud</v>
      </c>
      <c r="E945" s="3" t="str">
        <f>VLOOKUP(Table2[[#This Row],[Tegevusala nimetus2]],Table4[[Tegevusala nimetus]:[Tegevusala koondnimetus]],2,FALSE)</f>
        <v>Haridus</v>
      </c>
      <c r="F945" s="14" t="s">
        <v>1704</v>
      </c>
      <c r="G945" t="s">
        <v>194</v>
      </c>
      <c r="H945" s="40">
        <v>300</v>
      </c>
      <c r="J945">
        <v>5511</v>
      </c>
      <c r="K945" s="3" t="str">
        <f>VLOOKUP(Table2[[#This Row],[Konto]],Table5[[Konto]:[Konto nimetus]],2,FALSE)</f>
        <v>Kinnistute, hoonete ja ruumide majandamiskulud</v>
      </c>
      <c r="L945">
        <v>55</v>
      </c>
      <c r="M945" t="str">
        <f t="shared" si="29"/>
        <v>55</v>
      </c>
      <c r="N945" s="3" t="str">
        <f>VLOOKUP(Table2[[#This Row],[Tulu/kulu liik2]],Table5[[Tulu/kulu liik]:[Kontode koondnimetus]],4,FALSE)</f>
        <v>Muud tegevuskulud</v>
      </c>
      <c r="O945" s="3" t="str">
        <f>VLOOKUP(Table2[[#This Row],[Tulu/kulu liik2]],Table5[],6,FALSE)</f>
        <v>Majandamiskulud</v>
      </c>
      <c r="P945" s="3" t="str">
        <f>VLOOKUP(Table2[[#This Row],[Tulu/kulu liik2]],Table5[],5,FALSE)</f>
        <v>Põhitegevuse kulu</v>
      </c>
    </row>
    <row r="946" spans="1:16" hidden="1" x14ac:dyDescent="0.25">
      <c r="A946" t="str">
        <f t="shared" si="28"/>
        <v>09</v>
      </c>
      <c r="B946" t="s">
        <v>327</v>
      </c>
      <c r="C946" s="3" t="str">
        <f>VLOOKUP(Table2[[#This Row],[Tegevusala]],Table4[],2,FALSE)</f>
        <v xml:space="preserve"> Tudu kool</v>
      </c>
      <c r="D946" s="3" t="str">
        <f>VLOOKUP(Table2[[#This Row],[Tegevusala]],Table4[[Tegevusala kood]:[Tegevusala alanimetus]],4,FALSE)</f>
        <v>Põhihariduse otsekulud</v>
      </c>
      <c r="E946" s="3" t="str">
        <f>VLOOKUP(Table2[[#This Row],[Tegevusala nimetus2]],Table4[[Tegevusala nimetus]:[Tegevusala koondnimetus]],2,FALSE)</f>
        <v>Haridus</v>
      </c>
      <c r="F946" s="14" t="s">
        <v>1704</v>
      </c>
      <c r="G946" t="s">
        <v>1720</v>
      </c>
      <c r="H946" s="40">
        <v>500</v>
      </c>
      <c r="J946">
        <v>5511</v>
      </c>
      <c r="K946" s="3" t="str">
        <f>VLOOKUP(Table2[[#This Row],[Konto]],Table5[[Konto]:[Konto nimetus]],2,FALSE)</f>
        <v>Kinnistute, hoonete ja ruumide majandamiskulud</v>
      </c>
      <c r="L946">
        <v>55</v>
      </c>
      <c r="M946" t="str">
        <f t="shared" si="29"/>
        <v>55</v>
      </c>
      <c r="N946" s="3" t="str">
        <f>VLOOKUP(Table2[[#This Row],[Tulu/kulu liik2]],Table5[[Tulu/kulu liik]:[Kontode koondnimetus]],4,FALSE)</f>
        <v>Muud tegevuskulud</v>
      </c>
      <c r="O946" s="3" t="str">
        <f>VLOOKUP(Table2[[#This Row],[Tulu/kulu liik2]],Table5[],6,FALSE)</f>
        <v>Majandamiskulud</v>
      </c>
      <c r="P946" s="3" t="str">
        <f>VLOOKUP(Table2[[#This Row],[Tulu/kulu liik2]],Table5[],5,FALSE)</f>
        <v>Põhitegevuse kulu</v>
      </c>
    </row>
    <row r="947" spans="1:16" hidden="1" x14ac:dyDescent="0.25">
      <c r="A947" t="str">
        <f t="shared" si="28"/>
        <v>09</v>
      </c>
      <c r="B947" t="s">
        <v>327</v>
      </c>
      <c r="C947" s="3" t="str">
        <f>VLOOKUP(Table2[[#This Row],[Tegevusala]],Table4[],2,FALSE)</f>
        <v xml:space="preserve"> Tudu kool</v>
      </c>
      <c r="D947" s="3" t="str">
        <f>VLOOKUP(Table2[[#This Row],[Tegevusala]],Table4[[Tegevusala kood]:[Tegevusala alanimetus]],4,FALSE)</f>
        <v>Põhihariduse otsekulud</v>
      </c>
      <c r="E947" s="3" t="str">
        <f>VLOOKUP(Table2[[#This Row],[Tegevusala nimetus2]],Table4[[Tegevusala nimetus]:[Tegevusala koondnimetus]],2,FALSE)</f>
        <v>Haridus</v>
      </c>
      <c r="F947" s="14" t="s">
        <v>1704</v>
      </c>
      <c r="G947" t="s">
        <v>180</v>
      </c>
      <c r="H947" s="40">
        <v>400</v>
      </c>
      <c r="J947">
        <v>5511</v>
      </c>
      <c r="K947" s="3" t="str">
        <f>VLOOKUP(Table2[[#This Row],[Konto]],Table5[[Konto]:[Konto nimetus]],2,FALSE)</f>
        <v>Kinnistute, hoonete ja ruumide majandamiskulud</v>
      </c>
      <c r="L947">
        <v>55</v>
      </c>
      <c r="M947" t="str">
        <f t="shared" si="29"/>
        <v>55</v>
      </c>
      <c r="N947" s="3" t="str">
        <f>VLOOKUP(Table2[[#This Row],[Tulu/kulu liik2]],Table5[[Tulu/kulu liik]:[Kontode koondnimetus]],4,FALSE)</f>
        <v>Muud tegevuskulud</v>
      </c>
      <c r="O947" s="3" t="str">
        <f>VLOOKUP(Table2[[#This Row],[Tulu/kulu liik2]],Table5[],6,FALSE)</f>
        <v>Majandamiskulud</v>
      </c>
      <c r="P947" s="3" t="str">
        <f>VLOOKUP(Table2[[#This Row],[Tulu/kulu liik2]],Table5[],5,FALSE)</f>
        <v>Põhitegevuse kulu</v>
      </c>
    </row>
    <row r="948" spans="1:16" hidden="1" x14ac:dyDescent="0.25">
      <c r="A948" t="str">
        <f t="shared" si="28"/>
        <v>09</v>
      </c>
      <c r="B948" t="s">
        <v>327</v>
      </c>
      <c r="C948" s="3" t="str">
        <f>VLOOKUP(Table2[[#This Row],[Tegevusala]],Table4[],2,FALSE)</f>
        <v xml:space="preserve"> Tudu kool</v>
      </c>
      <c r="D948" s="3" t="str">
        <f>VLOOKUP(Table2[[#This Row],[Tegevusala]],Table4[[Tegevusala kood]:[Tegevusala alanimetus]],4,FALSE)</f>
        <v>Põhihariduse otsekulud</v>
      </c>
      <c r="E948" s="3" t="str">
        <f>VLOOKUP(Table2[[#This Row],[Tegevusala nimetus2]],Table4[[Tegevusala nimetus]:[Tegevusala koondnimetus]],2,FALSE)</f>
        <v>Haridus</v>
      </c>
      <c r="F948" s="14" t="s">
        <v>1704</v>
      </c>
      <c r="G948" t="s">
        <v>1721</v>
      </c>
      <c r="H948" s="40">
        <v>600</v>
      </c>
      <c r="J948">
        <v>5511</v>
      </c>
      <c r="K948" s="3" t="str">
        <f>VLOOKUP(Table2[[#This Row],[Konto]],Table5[[Konto]:[Konto nimetus]],2,FALSE)</f>
        <v>Kinnistute, hoonete ja ruumide majandamiskulud</v>
      </c>
      <c r="L948">
        <v>55</v>
      </c>
      <c r="M948" t="str">
        <f t="shared" si="29"/>
        <v>55</v>
      </c>
      <c r="N948" s="3" t="str">
        <f>VLOOKUP(Table2[[#This Row],[Tulu/kulu liik2]],Table5[[Tulu/kulu liik]:[Kontode koondnimetus]],4,FALSE)</f>
        <v>Muud tegevuskulud</v>
      </c>
      <c r="O948" s="3" t="str">
        <f>VLOOKUP(Table2[[#This Row],[Tulu/kulu liik2]],Table5[],6,FALSE)</f>
        <v>Majandamiskulud</v>
      </c>
      <c r="P948" s="3" t="str">
        <f>VLOOKUP(Table2[[#This Row],[Tulu/kulu liik2]],Table5[],5,FALSE)</f>
        <v>Põhitegevuse kulu</v>
      </c>
    </row>
    <row r="949" spans="1:16" hidden="1" x14ac:dyDescent="0.25">
      <c r="A949" t="str">
        <f t="shared" si="28"/>
        <v>09</v>
      </c>
      <c r="B949" t="s">
        <v>327</v>
      </c>
      <c r="C949" s="3" t="str">
        <f>VLOOKUP(Table2[[#This Row],[Tegevusala]],Table4[],2,FALSE)</f>
        <v xml:space="preserve"> Tudu kool</v>
      </c>
      <c r="D949" s="3" t="str">
        <f>VLOOKUP(Table2[[#This Row],[Tegevusala]],Table4[[Tegevusala kood]:[Tegevusala alanimetus]],4,FALSE)</f>
        <v>Põhihariduse otsekulud</v>
      </c>
      <c r="E949" s="3" t="str">
        <f>VLOOKUP(Table2[[#This Row],[Tegevusala nimetus2]],Table4[[Tegevusala nimetus]:[Tegevusala koondnimetus]],2,FALSE)</f>
        <v>Haridus</v>
      </c>
      <c r="F949" s="14" t="s">
        <v>1704</v>
      </c>
      <c r="G949" t="s">
        <v>1722</v>
      </c>
      <c r="H949" s="40">
        <v>200</v>
      </c>
      <c r="J949">
        <v>5511</v>
      </c>
      <c r="K949" s="3" t="str">
        <f>VLOOKUP(Table2[[#This Row],[Konto]],Table5[[Konto]:[Konto nimetus]],2,FALSE)</f>
        <v>Kinnistute, hoonete ja ruumide majandamiskulud</v>
      </c>
      <c r="L949">
        <v>55</v>
      </c>
      <c r="M949" t="str">
        <f t="shared" si="29"/>
        <v>55</v>
      </c>
      <c r="N949" s="3" t="str">
        <f>VLOOKUP(Table2[[#This Row],[Tulu/kulu liik2]],Table5[[Tulu/kulu liik]:[Kontode koondnimetus]],4,FALSE)</f>
        <v>Muud tegevuskulud</v>
      </c>
      <c r="O949" s="3" t="str">
        <f>VLOOKUP(Table2[[#This Row],[Tulu/kulu liik2]],Table5[],6,FALSE)</f>
        <v>Majandamiskulud</v>
      </c>
      <c r="P949" s="3" t="str">
        <f>VLOOKUP(Table2[[#This Row],[Tulu/kulu liik2]],Table5[],5,FALSE)</f>
        <v>Põhitegevuse kulu</v>
      </c>
    </row>
    <row r="950" spans="1:16" hidden="1" x14ac:dyDescent="0.25">
      <c r="A950" t="str">
        <f t="shared" si="28"/>
        <v>09</v>
      </c>
      <c r="B950" t="s">
        <v>327</v>
      </c>
      <c r="C950" s="3" t="str">
        <f>VLOOKUP(Table2[[#This Row],[Tegevusala]],Table4[],2,FALSE)</f>
        <v xml:space="preserve"> Tudu kool</v>
      </c>
      <c r="D950" s="3" t="str">
        <f>VLOOKUP(Table2[[#This Row],[Tegevusala]],Table4[[Tegevusala kood]:[Tegevusala alanimetus]],4,FALSE)</f>
        <v>Põhihariduse otsekulud</v>
      </c>
      <c r="E950" s="3" t="str">
        <f>VLOOKUP(Table2[[#This Row],[Tegevusala nimetus2]],Table4[[Tegevusala nimetus]:[Tegevusala koondnimetus]],2,FALSE)</f>
        <v>Haridus</v>
      </c>
      <c r="F950" s="14" t="s">
        <v>1704</v>
      </c>
      <c r="G950" t="s">
        <v>1588</v>
      </c>
      <c r="H950" s="40">
        <v>80</v>
      </c>
      <c r="J950">
        <v>5511</v>
      </c>
      <c r="K950" s="3" t="str">
        <f>VLOOKUP(Table2[[#This Row],[Konto]],Table5[[Konto]:[Konto nimetus]],2,FALSE)</f>
        <v>Kinnistute, hoonete ja ruumide majandamiskulud</v>
      </c>
      <c r="L950">
        <v>55</v>
      </c>
      <c r="M950" t="str">
        <f t="shared" si="29"/>
        <v>55</v>
      </c>
      <c r="N950" s="3" t="str">
        <f>VLOOKUP(Table2[[#This Row],[Tulu/kulu liik2]],Table5[[Tulu/kulu liik]:[Kontode koondnimetus]],4,FALSE)</f>
        <v>Muud tegevuskulud</v>
      </c>
      <c r="O950" s="3" t="str">
        <f>VLOOKUP(Table2[[#This Row],[Tulu/kulu liik2]],Table5[],6,FALSE)</f>
        <v>Majandamiskulud</v>
      </c>
      <c r="P950" s="3" t="str">
        <f>VLOOKUP(Table2[[#This Row],[Tulu/kulu liik2]],Table5[],5,FALSE)</f>
        <v>Põhitegevuse kulu</v>
      </c>
    </row>
    <row r="951" spans="1:16" hidden="1" x14ac:dyDescent="0.25">
      <c r="A951" t="str">
        <f t="shared" si="28"/>
        <v>09</v>
      </c>
      <c r="B951" t="s">
        <v>327</v>
      </c>
      <c r="C951" s="3" t="str">
        <f>VLOOKUP(Table2[[#This Row],[Tegevusala]],Table4[],2,FALSE)</f>
        <v xml:space="preserve"> Tudu kool</v>
      </c>
      <c r="D951" s="3" t="str">
        <f>VLOOKUP(Table2[[#This Row],[Tegevusala]],Table4[[Tegevusala kood]:[Tegevusala alanimetus]],4,FALSE)</f>
        <v>Põhihariduse otsekulud</v>
      </c>
      <c r="E951" s="3" t="str">
        <f>VLOOKUP(Table2[[#This Row],[Tegevusala nimetus2]],Table4[[Tegevusala nimetus]:[Tegevusala koondnimetus]],2,FALSE)</f>
        <v>Haridus</v>
      </c>
      <c r="F951" s="14" t="s">
        <v>1704</v>
      </c>
      <c r="G951" t="s">
        <v>1723</v>
      </c>
      <c r="H951" s="40">
        <v>1100</v>
      </c>
      <c r="J951">
        <v>5511</v>
      </c>
      <c r="K951" s="3" t="str">
        <f>VLOOKUP(Table2[[#This Row],[Konto]],Table5[[Konto]:[Konto nimetus]],2,FALSE)</f>
        <v>Kinnistute, hoonete ja ruumide majandamiskulud</v>
      </c>
      <c r="L951">
        <v>55</v>
      </c>
      <c r="M951" t="str">
        <f t="shared" si="29"/>
        <v>55</v>
      </c>
      <c r="N951" s="3" t="str">
        <f>VLOOKUP(Table2[[#This Row],[Tulu/kulu liik2]],Table5[[Tulu/kulu liik]:[Kontode koondnimetus]],4,FALSE)</f>
        <v>Muud tegevuskulud</v>
      </c>
      <c r="O951" s="3" t="str">
        <f>VLOOKUP(Table2[[#This Row],[Tulu/kulu liik2]],Table5[],6,FALSE)</f>
        <v>Majandamiskulud</v>
      </c>
      <c r="P951" s="3" t="str">
        <f>VLOOKUP(Table2[[#This Row],[Tulu/kulu liik2]],Table5[],5,FALSE)</f>
        <v>Põhitegevuse kulu</v>
      </c>
    </row>
    <row r="952" spans="1:16" hidden="1" x14ac:dyDescent="0.25">
      <c r="A952" t="str">
        <f t="shared" si="28"/>
        <v>09</v>
      </c>
      <c r="B952" t="s">
        <v>327</v>
      </c>
      <c r="C952" s="3" t="str">
        <f>VLOOKUP(Table2[[#This Row],[Tegevusala]],Table4[],2,FALSE)</f>
        <v xml:space="preserve"> Tudu kool</v>
      </c>
      <c r="D952" s="3" t="str">
        <f>VLOOKUP(Table2[[#This Row],[Tegevusala]],Table4[[Tegevusala kood]:[Tegevusala alanimetus]],4,FALSE)</f>
        <v>Põhihariduse otsekulud</v>
      </c>
      <c r="E952" s="3" t="str">
        <f>VLOOKUP(Table2[[#This Row],[Tegevusala nimetus2]],Table4[[Tegevusala nimetus]:[Tegevusala koondnimetus]],2,FALSE)</f>
        <v>Haridus</v>
      </c>
      <c r="F952" s="14" t="s">
        <v>1704</v>
      </c>
      <c r="G952" t="s">
        <v>1724</v>
      </c>
      <c r="H952" s="40">
        <v>600</v>
      </c>
      <c r="J952">
        <v>5511</v>
      </c>
      <c r="K952" s="3" t="str">
        <f>VLOOKUP(Table2[[#This Row],[Konto]],Table5[[Konto]:[Konto nimetus]],2,FALSE)</f>
        <v>Kinnistute, hoonete ja ruumide majandamiskulud</v>
      </c>
      <c r="L952">
        <v>55</v>
      </c>
      <c r="M952" t="str">
        <f t="shared" si="29"/>
        <v>55</v>
      </c>
      <c r="N952" s="3" t="str">
        <f>VLOOKUP(Table2[[#This Row],[Tulu/kulu liik2]],Table5[[Tulu/kulu liik]:[Kontode koondnimetus]],4,FALSE)</f>
        <v>Muud tegevuskulud</v>
      </c>
      <c r="O952" s="3" t="str">
        <f>VLOOKUP(Table2[[#This Row],[Tulu/kulu liik2]],Table5[],6,FALSE)</f>
        <v>Majandamiskulud</v>
      </c>
      <c r="P952" s="3" t="str">
        <f>VLOOKUP(Table2[[#This Row],[Tulu/kulu liik2]],Table5[],5,FALSE)</f>
        <v>Põhitegevuse kulu</v>
      </c>
    </row>
    <row r="953" spans="1:16" hidden="1" x14ac:dyDescent="0.25">
      <c r="A953" t="str">
        <f t="shared" si="28"/>
        <v>09</v>
      </c>
      <c r="B953" t="s">
        <v>327</v>
      </c>
      <c r="C953" s="3" t="str">
        <f>VLOOKUP(Table2[[#This Row],[Tegevusala]],Table4[],2,FALSE)</f>
        <v xml:space="preserve"> Tudu kool</v>
      </c>
      <c r="D953" s="3" t="str">
        <f>VLOOKUP(Table2[[#This Row],[Tegevusala]],Table4[[Tegevusala kood]:[Tegevusala alanimetus]],4,FALSE)</f>
        <v>Põhihariduse otsekulud</v>
      </c>
      <c r="E953" s="3" t="str">
        <f>VLOOKUP(Table2[[#This Row],[Tegevusala nimetus2]],Table4[[Tegevusala nimetus]:[Tegevusala koondnimetus]],2,FALSE)</f>
        <v>Haridus</v>
      </c>
      <c r="F953" s="14" t="s">
        <v>1704</v>
      </c>
      <c r="G953" t="s">
        <v>1725</v>
      </c>
      <c r="H953" s="40">
        <v>150</v>
      </c>
      <c r="J953">
        <v>5511</v>
      </c>
      <c r="K953" s="3" t="str">
        <f>VLOOKUP(Table2[[#This Row],[Konto]],Table5[[Konto]:[Konto nimetus]],2,FALSE)</f>
        <v>Kinnistute, hoonete ja ruumide majandamiskulud</v>
      </c>
      <c r="L953">
        <v>55</v>
      </c>
      <c r="M953" t="str">
        <f t="shared" si="29"/>
        <v>55</v>
      </c>
      <c r="N953" s="3" t="str">
        <f>VLOOKUP(Table2[[#This Row],[Tulu/kulu liik2]],Table5[[Tulu/kulu liik]:[Kontode koondnimetus]],4,FALSE)</f>
        <v>Muud tegevuskulud</v>
      </c>
      <c r="O953" s="3" t="str">
        <f>VLOOKUP(Table2[[#This Row],[Tulu/kulu liik2]],Table5[],6,FALSE)</f>
        <v>Majandamiskulud</v>
      </c>
      <c r="P953" s="3" t="str">
        <f>VLOOKUP(Table2[[#This Row],[Tulu/kulu liik2]],Table5[],5,FALSE)</f>
        <v>Põhitegevuse kulu</v>
      </c>
    </row>
    <row r="954" spans="1:16" hidden="1" x14ac:dyDescent="0.25">
      <c r="A954" t="str">
        <f t="shared" si="28"/>
        <v>09</v>
      </c>
      <c r="B954" t="s">
        <v>327</v>
      </c>
      <c r="C954" s="3" t="str">
        <f>VLOOKUP(Table2[[#This Row],[Tegevusala]],Table4[],2,FALSE)</f>
        <v xml:space="preserve"> Tudu kool</v>
      </c>
      <c r="D954" s="3" t="str">
        <f>VLOOKUP(Table2[[#This Row],[Tegevusala]],Table4[[Tegevusala kood]:[Tegevusala alanimetus]],4,FALSE)</f>
        <v>Põhihariduse otsekulud</v>
      </c>
      <c r="E954" s="3" t="str">
        <f>VLOOKUP(Table2[[#This Row],[Tegevusala nimetus2]],Table4[[Tegevusala nimetus]:[Tegevusala koondnimetus]],2,FALSE)</f>
        <v>Haridus</v>
      </c>
      <c r="F954" s="14" t="s">
        <v>1704</v>
      </c>
      <c r="G954" t="s">
        <v>1726</v>
      </c>
      <c r="H954" s="40">
        <v>150</v>
      </c>
      <c r="J954">
        <v>5511</v>
      </c>
      <c r="K954" s="3" t="str">
        <f>VLOOKUP(Table2[[#This Row],[Konto]],Table5[[Konto]:[Konto nimetus]],2,FALSE)</f>
        <v>Kinnistute, hoonete ja ruumide majandamiskulud</v>
      </c>
      <c r="L954">
        <v>55</v>
      </c>
      <c r="M954" t="str">
        <f t="shared" si="29"/>
        <v>55</v>
      </c>
      <c r="N954" s="3" t="str">
        <f>VLOOKUP(Table2[[#This Row],[Tulu/kulu liik2]],Table5[[Tulu/kulu liik]:[Kontode koondnimetus]],4,FALSE)</f>
        <v>Muud tegevuskulud</v>
      </c>
      <c r="O954" s="3" t="str">
        <f>VLOOKUP(Table2[[#This Row],[Tulu/kulu liik2]],Table5[],6,FALSE)</f>
        <v>Majandamiskulud</v>
      </c>
      <c r="P954" s="3" t="str">
        <f>VLOOKUP(Table2[[#This Row],[Tulu/kulu liik2]],Table5[],5,FALSE)</f>
        <v>Põhitegevuse kulu</v>
      </c>
    </row>
    <row r="955" spans="1:16" hidden="1" x14ac:dyDescent="0.25">
      <c r="A955" t="str">
        <f t="shared" si="28"/>
        <v>09</v>
      </c>
      <c r="B955" t="s">
        <v>327</v>
      </c>
      <c r="C955" s="3" t="str">
        <f>VLOOKUP(Table2[[#This Row],[Tegevusala]],Table4[],2,FALSE)</f>
        <v xml:space="preserve"> Tudu kool</v>
      </c>
      <c r="D955" s="3" t="str">
        <f>VLOOKUP(Table2[[#This Row],[Tegevusala]],Table4[[Tegevusala kood]:[Tegevusala alanimetus]],4,FALSE)</f>
        <v>Põhihariduse otsekulud</v>
      </c>
      <c r="E955" s="3" t="str">
        <f>VLOOKUP(Table2[[#This Row],[Tegevusala nimetus2]],Table4[[Tegevusala nimetus]:[Tegevusala koondnimetus]],2,FALSE)</f>
        <v>Haridus</v>
      </c>
      <c r="F955" s="14" t="s">
        <v>1704</v>
      </c>
      <c r="G955" t="s">
        <v>1727</v>
      </c>
      <c r="H955" s="40">
        <v>200</v>
      </c>
      <c r="J955">
        <v>5511</v>
      </c>
      <c r="K955" s="3" t="str">
        <f>VLOOKUP(Table2[[#This Row],[Konto]],Table5[[Konto]:[Konto nimetus]],2,FALSE)</f>
        <v>Kinnistute, hoonete ja ruumide majandamiskulud</v>
      </c>
      <c r="L955">
        <v>55</v>
      </c>
      <c r="M955" t="str">
        <f t="shared" si="29"/>
        <v>55</v>
      </c>
      <c r="N955" s="3" t="str">
        <f>VLOOKUP(Table2[[#This Row],[Tulu/kulu liik2]],Table5[[Tulu/kulu liik]:[Kontode koondnimetus]],4,FALSE)</f>
        <v>Muud tegevuskulud</v>
      </c>
      <c r="O955" s="3" t="str">
        <f>VLOOKUP(Table2[[#This Row],[Tulu/kulu liik2]],Table5[],6,FALSE)</f>
        <v>Majandamiskulud</v>
      </c>
      <c r="P955" s="3" t="str">
        <f>VLOOKUP(Table2[[#This Row],[Tulu/kulu liik2]],Table5[],5,FALSE)</f>
        <v>Põhitegevuse kulu</v>
      </c>
    </row>
    <row r="956" spans="1:16" hidden="1" x14ac:dyDescent="0.25">
      <c r="A956" t="str">
        <f t="shared" si="28"/>
        <v>09</v>
      </c>
      <c r="B956" t="s">
        <v>327</v>
      </c>
      <c r="C956" s="3" t="str">
        <f>VLOOKUP(Table2[[#This Row],[Tegevusala]],Table4[],2,FALSE)</f>
        <v xml:space="preserve"> Tudu kool</v>
      </c>
      <c r="D956" s="3" t="str">
        <f>VLOOKUP(Table2[[#This Row],[Tegevusala]],Table4[[Tegevusala kood]:[Tegevusala alanimetus]],4,FALSE)</f>
        <v>Põhihariduse otsekulud</v>
      </c>
      <c r="E956" s="3" t="str">
        <f>VLOOKUP(Table2[[#This Row],[Tegevusala nimetus2]],Table4[[Tegevusala nimetus]:[Tegevusala koondnimetus]],2,FALSE)</f>
        <v>Haridus</v>
      </c>
      <c r="F956" s="14" t="s">
        <v>1704</v>
      </c>
      <c r="G956" t="s">
        <v>1268</v>
      </c>
      <c r="H956" s="40">
        <v>500</v>
      </c>
      <c r="J956">
        <v>5511</v>
      </c>
      <c r="K956" s="3" t="str">
        <f>VLOOKUP(Table2[[#This Row],[Konto]],Table5[[Konto]:[Konto nimetus]],2,FALSE)</f>
        <v>Kinnistute, hoonete ja ruumide majandamiskulud</v>
      </c>
      <c r="L956">
        <v>55</v>
      </c>
      <c r="M956" t="str">
        <f t="shared" si="29"/>
        <v>55</v>
      </c>
      <c r="N956" s="3" t="str">
        <f>VLOOKUP(Table2[[#This Row],[Tulu/kulu liik2]],Table5[[Tulu/kulu liik]:[Kontode koondnimetus]],4,FALSE)</f>
        <v>Muud tegevuskulud</v>
      </c>
      <c r="O956" s="3" t="str">
        <f>VLOOKUP(Table2[[#This Row],[Tulu/kulu liik2]],Table5[],6,FALSE)</f>
        <v>Majandamiskulud</v>
      </c>
      <c r="P956" s="3" t="str">
        <f>VLOOKUP(Table2[[#This Row],[Tulu/kulu liik2]],Table5[],5,FALSE)</f>
        <v>Põhitegevuse kulu</v>
      </c>
    </row>
    <row r="957" spans="1:16" hidden="1" x14ac:dyDescent="0.25">
      <c r="A957" t="str">
        <f t="shared" si="28"/>
        <v>09</v>
      </c>
      <c r="B957" t="s">
        <v>327</v>
      </c>
      <c r="C957" s="3" t="str">
        <f>VLOOKUP(Table2[[#This Row],[Tegevusala]],Table4[],2,FALSE)</f>
        <v xml:space="preserve"> Tudu kool</v>
      </c>
      <c r="D957" s="3" t="str">
        <f>VLOOKUP(Table2[[#This Row],[Tegevusala]],Table4[[Tegevusala kood]:[Tegevusala alanimetus]],4,FALSE)</f>
        <v>Põhihariduse otsekulud</v>
      </c>
      <c r="E957" s="3" t="str">
        <f>VLOOKUP(Table2[[#This Row],[Tegevusala nimetus2]],Table4[[Tegevusala nimetus]:[Tegevusala koondnimetus]],2,FALSE)</f>
        <v>Haridus</v>
      </c>
      <c r="F957" s="14" t="s">
        <v>1704</v>
      </c>
      <c r="G957" t="s">
        <v>242</v>
      </c>
      <c r="H957" s="40">
        <v>650</v>
      </c>
      <c r="J957">
        <v>5514</v>
      </c>
      <c r="K957" s="3" t="str">
        <f>VLOOKUP(Table2[[#This Row],[Konto]],Table5[[Konto]:[Konto nimetus]],2,FALSE)</f>
        <v>Info- ja kommunikatsioonitehnoliigised kulud</v>
      </c>
      <c r="L957">
        <v>55</v>
      </c>
      <c r="M957" t="str">
        <f t="shared" si="29"/>
        <v>55</v>
      </c>
      <c r="N957" s="3" t="str">
        <f>VLOOKUP(Table2[[#This Row],[Tulu/kulu liik2]],Table5[[Tulu/kulu liik]:[Kontode koondnimetus]],4,FALSE)</f>
        <v>Muud tegevuskulud</v>
      </c>
      <c r="O957" s="3" t="str">
        <f>VLOOKUP(Table2[[#This Row],[Tulu/kulu liik2]],Table5[],6,FALSE)</f>
        <v>Majandamiskulud</v>
      </c>
      <c r="P957" s="3" t="str">
        <f>VLOOKUP(Table2[[#This Row],[Tulu/kulu liik2]],Table5[],5,FALSE)</f>
        <v>Põhitegevuse kulu</v>
      </c>
    </row>
    <row r="958" spans="1:16" hidden="1" x14ac:dyDescent="0.25">
      <c r="A958" t="str">
        <f t="shared" ref="A958:A1021" si="30">LEFT(B958,2)</f>
        <v>09</v>
      </c>
      <c r="B958" t="s">
        <v>327</v>
      </c>
      <c r="C958" s="3" t="str">
        <f>VLOOKUP(Table2[[#This Row],[Tegevusala]],Table4[],2,FALSE)</f>
        <v xml:space="preserve"> Tudu kool</v>
      </c>
      <c r="D958" s="3" t="str">
        <f>VLOOKUP(Table2[[#This Row],[Tegevusala]],Table4[[Tegevusala kood]:[Tegevusala alanimetus]],4,FALSE)</f>
        <v>Põhihariduse otsekulud</v>
      </c>
      <c r="E958" s="3" t="str">
        <f>VLOOKUP(Table2[[#This Row],[Tegevusala nimetus2]],Table4[[Tegevusala nimetus]:[Tegevusala koondnimetus]],2,FALSE)</f>
        <v>Haridus</v>
      </c>
      <c r="F958" s="14" t="s">
        <v>1704</v>
      </c>
      <c r="G958" t="s">
        <v>1731</v>
      </c>
      <c r="H958" s="40">
        <v>150</v>
      </c>
      <c r="J958">
        <v>5514</v>
      </c>
      <c r="K958" s="3" t="str">
        <f>VLOOKUP(Table2[[#This Row],[Konto]],Table5[[Konto]:[Konto nimetus]],2,FALSE)</f>
        <v>Info- ja kommunikatsioonitehnoliigised kulud</v>
      </c>
      <c r="L958">
        <v>55</v>
      </c>
      <c r="M958" t="str">
        <f t="shared" ref="M958:M1021" si="31">LEFT(J958,2)</f>
        <v>55</v>
      </c>
      <c r="N958" s="3" t="str">
        <f>VLOOKUP(Table2[[#This Row],[Tulu/kulu liik2]],Table5[[Tulu/kulu liik]:[Kontode koondnimetus]],4,FALSE)</f>
        <v>Muud tegevuskulud</v>
      </c>
      <c r="O958" s="3" t="str">
        <f>VLOOKUP(Table2[[#This Row],[Tulu/kulu liik2]],Table5[],6,FALSE)</f>
        <v>Majandamiskulud</v>
      </c>
      <c r="P958" s="3" t="str">
        <f>VLOOKUP(Table2[[#This Row],[Tulu/kulu liik2]],Table5[],5,FALSE)</f>
        <v>Põhitegevuse kulu</v>
      </c>
    </row>
    <row r="959" spans="1:16" hidden="1" x14ac:dyDescent="0.25">
      <c r="A959" t="str">
        <f t="shared" si="30"/>
        <v>09</v>
      </c>
      <c r="B959" t="s">
        <v>327</v>
      </c>
      <c r="C959" s="3" t="str">
        <f>VLOOKUP(Table2[[#This Row],[Tegevusala]],Table4[],2,FALSE)</f>
        <v xml:space="preserve"> Tudu kool</v>
      </c>
      <c r="D959" s="3" t="str">
        <f>VLOOKUP(Table2[[#This Row],[Tegevusala]],Table4[[Tegevusala kood]:[Tegevusala alanimetus]],4,FALSE)</f>
        <v>Põhihariduse otsekulud</v>
      </c>
      <c r="E959" s="3" t="str">
        <f>VLOOKUP(Table2[[#This Row],[Tegevusala nimetus2]],Table4[[Tegevusala nimetus]:[Tegevusala koondnimetus]],2,FALSE)</f>
        <v>Haridus</v>
      </c>
      <c r="F959" s="14" t="s">
        <v>1704</v>
      </c>
      <c r="G959" t="s">
        <v>1736</v>
      </c>
      <c r="H959" s="40">
        <v>100</v>
      </c>
      <c r="J959">
        <v>5514</v>
      </c>
      <c r="K959" s="3" t="str">
        <f>VLOOKUP(Table2[[#This Row],[Konto]],Table5[[Konto]:[Konto nimetus]],2,FALSE)</f>
        <v>Info- ja kommunikatsioonitehnoliigised kulud</v>
      </c>
      <c r="L959">
        <v>55</v>
      </c>
      <c r="M959" t="str">
        <f t="shared" si="31"/>
        <v>55</v>
      </c>
      <c r="N959" s="3" t="str">
        <f>VLOOKUP(Table2[[#This Row],[Tulu/kulu liik2]],Table5[[Tulu/kulu liik]:[Kontode koondnimetus]],4,FALSE)</f>
        <v>Muud tegevuskulud</v>
      </c>
      <c r="O959" s="3" t="str">
        <f>VLOOKUP(Table2[[#This Row],[Tulu/kulu liik2]],Table5[],6,FALSE)</f>
        <v>Majandamiskulud</v>
      </c>
      <c r="P959" s="3" t="str">
        <f>VLOOKUP(Table2[[#This Row],[Tulu/kulu liik2]],Table5[],5,FALSE)</f>
        <v>Põhitegevuse kulu</v>
      </c>
    </row>
    <row r="960" spans="1:16" hidden="1" x14ac:dyDescent="0.25">
      <c r="A960" s="101" t="str">
        <f t="shared" si="30"/>
        <v>09</v>
      </c>
      <c r="B960" s="101" t="s">
        <v>327</v>
      </c>
      <c r="C960" s="102" t="str">
        <f>VLOOKUP(Table2[[#This Row],[Tegevusala]],Table4[],2,FALSE)</f>
        <v xml:space="preserve"> Tudu kool</v>
      </c>
      <c r="D960" s="102" t="str">
        <f>VLOOKUP(Table2[[#This Row],[Tegevusala]],Table4[[Tegevusala kood]:[Tegevusala alanimetus]],4,FALSE)</f>
        <v>Põhihariduse otsekulud</v>
      </c>
      <c r="E960" s="102" t="str">
        <f>VLOOKUP(Table2[[#This Row],[Tegevusala nimetus2]],Table4[[Tegevusala nimetus]:[Tegevusala koondnimetus]],2,FALSE)</f>
        <v>Haridus</v>
      </c>
      <c r="F960" s="103" t="s">
        <v>1704</v>
      </c>
      <c r="G960" s="101" t="s">
        <v>2171</v>
      </c>
      <c r="H960" s="104">
        <v>200</v>
      </c>
      <c r="I960" s="105" t="s">
        <v>2175</v>
      </c>
      <c r="J960" s="101">
        <v>5504</v>
      </c>
      <c r="K960" s="102" t="str">
        <f>VLOOKUP(Table2[[#This Row],[Konto]],Table5[[Konto]:[Konto nimetus]],2,FALSE)</f>
        <v>Koolituskulud</v>
      </c>
      <c r="L960" s="101">
        <v>55</v>
      </c>
      <c r="M960" s="101" t="str">
        <f t="shared" si="31"/>
        <v>55</v>
      </c>
      <c r="N960" s="102" t="str">
        <f>VLOOKUP(Table2[[#This Row],[Tulu/kulu liik2]],Table5[[Tulu/kulu liik]:[Kontode koondnimetus]],4,FALSE)</f>
        <v>Muud tegevuskulud</v>
      </c>
      <c r="O960" s="102" t="str">
        <f>VLOOKUP(Table2[[#This Row],[Tulu/kulu liik2]],Table5[],6,FALSE)</f>
        <v>Majandamiskulud</v>
      </c>
      <c r="P960" s="102" t="str">
        <f>VLOOKUP(Table2[[#This Row],[Tulu/kulu liik2]],Table5[],5,FALSE)</f>
        <v>Põhitegevuse kulu</v>
      </c>
    </row>
    <row r="961" spans="1:16" hidden="1" x14ac:dyDescent="0.25">
      <c r="A961" s="101" t="str">
        <f t="shared" si="30"/>
        <v>09</v>
      </c>
      <c r="B961" s="101" t="s">
        <v>327</v>
      </c>
      <c r="C961" s="102" t="str">
        <f>VLOOKUP(Table2[[#This Row],[Tegevusala]],Table4[],2,FALSE)</f>
        <v xml:space="preserve"> Tudu kool</v>
      </c>
      <c r="D961" s="102" t="str">
        <f>VLOOKUP(Table2[[#This Row],[Tegevusala]],Table4[[Tegevusala kood]:[Tegevusala alanimetus]],4,FALSE)</f>
        <v>Põhihariduse otsekulud</v>
      </c>
      <c r="E961" s="102" t="str">
        <f>VLOOKUP(Table2[[#This Row],[Tegevusala nimetus2]],Table4[[Tegevusala nimetus]:[Tegevusala koondnimetus]],2,FALSE)</f>
        <v>Haridus</v>
      </c>
      <c r="F961" s="103" t="s">
        <v>1704</v>
      </c>
      <c r="G961" s="101" t="s">
        <v>2172</v>
      </c>
      <c r="H961" s="104">
        <v>741</v>
      </c>
      <c r="I961" s="105" t="s">
        <v>2175</v>
      </c>
      <c r="J961" s="101">
        <v>5524</v>
      </c>
      <c r="K961" s="102" t="str">
        <f>VLOOKUP(Table2[[#This Row],[Konto]],Table5[[Konto]:[Konto nimetus]],2,FALSE)</f>
        <v>Õppevahendid</v>
      </c>
      <c r="L961" s="101">
        <v>55</v>
      </c>
      <c r="M961" s="101" t="str">
        <f t="shared" si="31"/>
        <v>55</v>
      </c>
      <c r="N961" s="102" t="str">
        <f>VLOOKUP(Table2[[#This Row],[Tulu/kulu liik2]],Table5[[Tulu/kulu liik]:[Kontode koondnimetus]],4,FALSE)</f>
        <v>Muud tegevuskulud</v>
      </c>
      <c r="O961" s="102" t="str">
        <f>VLOOKUP(Table2[[#This Row],[Tulu/kulu liik2]],Table5[],6,FALSE)</f>
        <v>Majandamiskulud</v>
      </c>
      <c r="P961" s="102" t="str">
        <f>VLOOKUP(Table2[[#This Row],[Tulu/kulu liik2]],Table5[],5,FALSE)</f>
        <v>Põhitegevuse kulu</v>
      </c>
    </row>
    <row r="962" spans="1:16" hidden="1" x14ac:dyDescent="0.25">
      <c r="A962" t="str">
        <f t="shared" si="30"/>
        <v>09</v>
      </c>
      <c r="B962" t="s">
        <v>329</v>
      </c>
      <c r="C962" s="3" t="str">
        <f>VLOOKUP(Table2[[#This Row],[Tegevusala]],Table4[],2,FALSE)</f>
        <v xml:space="preserve"> Vinni-Pajusti Gümnaasium</v>
      </c>
      <c r="D962" s="3" t="str">
        <f>VLOOKUP(Table2[[#This Row],[Tegevusala]],Table4[[Tegevusala kood]:[Tegevusala alanimetus]],4,FALSE)</f>
        <v>Põhihariduse otsekulud</v>
      </c>
      <c r="E962" s="3" t="str">
        <f>VLOOKUP(Table2[[#This Row],[Tegevusala nimetus2]],Table4[[Tegevusala nimetus]:[Tegevusala koondnimetus]],2,FALSE)</f>
        <v>Haridus</v>
      </c>
      <c r="F962" t="s">
        <v>1428</v>
      </c>
      <c r="G962" t="s">
        <v>1443</v>
      </c>
      <c r="H962" s="40">
        <v>5940</v>
      </c>
      <c r="I962" s="2" t="s">
        <v>1449</v>
      </c>
      <c r="J962">
        <v>5500</v>
      </c>
      <c r="K962" s="3" t="str">
        <f>VLOOKUP(Table2[[#This Row],[Konto]],Table5[[Konto]:[Konto nimetus]],2,FALSE)</f>
        <v>Administreerimiskulud</v>
      </c>
      <c r="L962">
        <v>55</v>
      </c>
      <c r="M962" t="str">
        <f t="shared" si="31"/>
        <v>55</v>
      </c>
      <c r="N962" s="3" t="str">
        <f>VLOOKUP(Table2[[#This Row],[Tulu/kulu liik2]],Table5[[Tulu/kulu liik]:[Kontode koondnimetus]],4,FALSE)</f>
        <v>Muud tegevuskulud</v>
      </c>
      <c r="O962" s="3" t="str">
        <f>VLOOKUP(Table2[[#This Row],[Tulu/kulu liik2]],Table5[],6,FALSE)</f>
        <v>Majandamiskulud</v>
      </c>
      <c r="P962" s="3" t="str">
        <f>VLOOKUP(Table2[[#This Row],[Tulu/kulu liik2]],Table5[],5,FALSE)</f>
        <v>Põhitegevuse kulu</v>
      </c>
    </row>
    <row r="963" spans="1:16" hidden="1" x14ac:dyDescent="0.25">
      <c r="A963" t="str">
        <f t="shared" si="30"/>
        <v>09</v>
      </c>
      <c r="B963" t="s">
        <v>329</v>
      </c>
      <c r="C963" s="3" t="str">
        <f>VLOOKUP(Table2[[#This Row],[Tegevusala]],Table4[],2,FALSE)</f>
        <v xml:space="preserve"> Vinni-Pajusti Gümnaasium</v>
      </c>
      <c r="D963" s="3" t="str">
        <f>VLOOKUP(Table2[[#This Row],[Tegevusala]],Table4[[Tegevusala kood]:[Tegevusala alanimetus]],4,FALSE)</f>
        <v>Põhihariduse otsekulud</v>
      </c>
      <c r="E963" s="3" t="str">
        <f>VLOOKUP(Table2[[#This Row],[Tegevusala nimetus2]],Table4[[Tegevusala nimetus]:[Tegevusala koondnimetus]],2,FALSE)</f>
        <v>Haridus</v>
      </c>
      <c r="F963" t="s">
        <v>1428</v>
      </c>
      <c r="G963" t="s">
        <v>1444</v>
      </c>
      <c r="H963" s="40">
        <v>210</v>
      </c>
      <c r="I963" s="2" t="s">
        <v>1450</v>
      </c>
      <c r="J963">
        <v>5500</v>
      </c>
      <c r="K963" s="3" t="str">
        <f>VLOOKUP(Table2[[#This Row],[Konto]],Table5[[Konto]:[Konto nimetus]],2,FALSE)</f>
        <v>Administreerimiskulud</v>
      </c>
      <c r="L963">
        <v>55</v>
      </c>
      <c r="M963" t="str">
        <f t="shared" si="31"/>
        <v>55</v>
      </c>
      <c r="N963" s="3" t="str">
        <f>VLOOKUP(Table2[[#This Row],[Tulu/kulu liik2]],Table5[[Tulu/kulu liik]:[Kontode koondnimetus]],4,FALSE)</f>
        <v>Muud tegevuskulud</v>
      </c>
      <c r="O963" s="3" t="str">
        <f>VLOOKUP(Table2[[#This Row],[Tulu/kulu liik2]],Table5[],6,FALSE)</f>
        <v>Majandamiskulud</v>
      </c>
      <c r="P963" s="3" t="str">
        <f>VLOOKUP(Table2[[#This Row],[Tulu/kulu liik2]],Table5[],5,FALSE)</f>
        <v>Põhitegevuse kulu</v>
      </c>
    </row>
    <row r="964" spans="1:16" hidden="1" x14ac:dyDescent="0.25">
      <c r="A964" t="str">
        <f t="shared" si="30"/>
        <v>09</v>
      </c>
      <c r="B964" t="s">
        <v>329</v>
      </c>
      <c r="C964" s="3" t="str">
        <f>VLOOKUP(Table2[[#This Row],[Tegevusala]],Table4[],2,FALSE)</f>
        <v xml:space="preserve"> Vinni-Pajusti Gümnaasium</v>
      </c>
      <c r="D964" s="3" t="str">
        <f>VLOOKUP(Table2[[#This Row],[Tegevusala]],Table4[[Tegevusala kood]:[Tegevusala alanimetus]],4,FALSE)</f>
        <v>Põhihariduse otsekulud</v>
      </c>
      <c r="E964" s="3" t="str">
        <f>VLOOKUP(Table2[[#This Row],[Tegevusala nimetus2]],Table4[[Tegevusala nimetus]:[Tegevusala koondnimetus]],2,FALSE)</f>
        <v>Haridus</v>
      </c>
      <c r="F964" t="s">
        <v>1428</v>
      </c>
      <c r="G964" t="s">
        <v>813</v>
      </c>
      <c r="H964" s="40">
        <v>250</v>
      </c>
      <c r="I964" s="2" t="s">
        <v>1451</v>
      </c>
      <c r="J964">
        <v>5500</v>
      </c>
      <c r="K964" s="3" t="str">
        <f>VLOOKUP(Table2[[#This Row],[Konto]],Table5[[Konto]:[Konto nimetus]],2,FALSE)</f>
        <v>Administreerimiskulud</v>
      </c>
      <c r="L964">
        <v>55</v>
      </c>
      <c r="M964" t="str">
        <f t="shared" si="31"/>
        <v>55</v>
      </c>
      <c r="N964" s="3" t="str">
        <f>VLOOKUP(Table2[[#This Row],[Tulu/kulu liik2]],Table5[[Tulu/kulu liik]:[Kontode koondnimetus]],4,FALSE)</f>
        <v>Muud tegevuskulud</v>
      </c>
      <c r="O964" s="3" t="str">
        <f>VLOOKUP(Table2[[#This Row],[Tulu/kulu liik2]],Table5[],6,FALSE)</f>
        <v>Majandamiskulud</v>
      </c>
      <c r="P964" s="3" t="str">
        <f>VLOOKUP(Table2[[#This Row],[Tulu/kulu liik2]],Table5[],5,FALSE)</f>
        <v>Põhitegevuse kulu</v>
      </c>
    </row>
    <row r="965" spans="1:16" hidden="1" x14ac:dyDescent="0.25">
      <c r="A965" t="str">
        <f t="shared" si="30"/>
        <v>09</v>
      </c>
      <c r="B965" t="s">
        <v>329</v>
      </c>
      <c r="C965" s="3" t="str">
        <f>VLOOKUP(Table2[[#This Row],[Tegevusala]],Table4[],2,FALSE)</f>
        <v xml:space="preserve"> Vinni-Pajusti Gümnaasium</v>
      </c>
      <c r="D965" s="3" t="str">
        <f>VLOOKUP(Table2[[#This Row],[Tegevusala]],Table4[[Tegevusala kood]:[Tegevusala alanimetus]],4,FALSE)</f>
        <v>Põhihariduse otsekulud</v>
      </c>
      <c r="E965" s="3" t="str">
        <f>VLOOKUP(Table2[[#This Row],[Tegevusala nimetus2]],Table4[[Tegevusala nimetus]:[Tegevusala koondnimetus]],2,FALSE)</f>
        <v>Haridus</v>
      </c>
      <c r="F965" t="s">
        <v>1428</v>
      </c>
      <c r="G965" t="s">
        <v>1445</v>
      </c>
      <c r="H965" s="40">
        <v>750</v>
      </c>
      <c r="I965" s="2" t="s">
        <v>1452</v>
      </c>
      <c r="J965">
        <v>5500</v>
      </c>
      <c r="K965" s="3" t="str">
        <f>VLOOKUP(Table2[[#This Row],[Konto]],Table5[[Konto]:[Konto nimetus]],2,FALSE)</f>
        <v>Administreerimiskulud</v>
      </c>
      <c r="L965">
        <v>55</v>
      </c>
      <c r="M965" t="str">
        <f t="shared" si="31"/>
        <v>55</v>
      </c>
      <c r="N965" s="3" t="str">
        <f>VLOOKUP(Table2[[#This Row],[Tulu/kulu liik2]],Table5[[Tulu/kulu liik]:[Kontode koondnimetus]],4,FALSE)</f>
        <v>Muud tegevuskulud</v>
      </c>
      <c r="O965" s="3" t="str">
        <f>VLOOKUP(Table2[[#This Row],[Tulu/kulu liik2]],Table5[],6,FALSE)</f>
        <v>Majandamiskulud</v>
      </c>
      <c r="P965" s="3" t="str">
        <f>VLOOKUP(Table2[[#This Row],[Tulu/kulu liik2]],Table5[],5,FALSE)</f>
        <v>Põhitegevuse kulu</v>
      </c>
    </row>
    <row r="966" spans="1:16" hidden="1" x14ac:dyDescent="0.25">
      <c r="A966" t="str">
        <f t="shared" si="30"/>
        <v>09</v>
      </c>
      <c r="B966" t="s">
        <v>329</v>
      </c>
      <c r="C966" s="3" t="str">
        <f>VLOOKUP(Table2[[#This Row],[Tegevusala]],Table4[],2,FALSE)</f>
        <v xml:space="preserve"> Vinni-Pajusti Gümnaasium</v>
      </c>
      <c r="D966" s="3" t="str">
        <f>VLOOKUP(Table2[[#This Row],[Tegevusala]],Table4[[Tegevusala kood]:[Tegevusala alanimetus]],4,FALSE)</f>
        <v>Põhihariduse otsekulud</v>
      </c>
      <c r="E966" s="3" t="str">
        <f>VLOOKUP(Table2[[#This Row],[Tegevusala nimetus2]],Table4[[Tegevusala nimetus]:[Tegevusala koondnimetus]],2,FALSE)</f>
        <v>Haridus</v>
      </c>
      <c r="F966" t="s">
        <v>1428</v>
      </c>
      <c r="G966" t="s">
        <v>1446</v>
      </c>
      <c r="H966" s="40">
        <v>350</v>
      </c>
      <c r="I966" s="2" t="s">
        <v>1453</v>
      </c>
      <c r="J966">
        <v>5500</v>
      </c>
      <c r="K966" s="3" t="str">
        <f>VLOOKUP(Table2[[#This Row],[Konto]],Table5[[Konto]:[Konto nimetus]],2,FALSE)</f>
        <v>Administreerimiskulud</v>
      </c>
      <c r="L966">
        <v>55</v>
      </c>
      <c r="M966" t="str">
        <f t="shared" si="31"/>
        <v>55</v>
      </c>
      <c r="N966" s="3" t="str">
        <f>VLOOKUP(Table2[[#This Row],[Tulu/kulu liik2]],Table5[[Tulu/kulu liik]:[Kontode koondnimetus]],4,FALSE)</f>
        <v>Muud tegevuskulud</v>
      </c>
      <c r="O966" s="3" t="str">
        <f>VLOOKUP(Table2[[#This Row],[Tulu/kulu liik2]],Table5[],6,FALSE)</f>
        <v>Majandamiskulud</v>
      </c>
      <c r="P966" s="3" t="str">
        <f>VLOOKUP(Table2[[#This Row],[Tulu/kulu liik2]],Table5[],5,FALSE)</f>
        <v>Põhitegevuse kulu</v>
      </c>
    </row>
    <row r="967" spans="1:16" hidden="1" x14ac:dyDescent="0.25">
      <c r="A967" t="str">
        <f t="shared" si="30"/>
        <v>09</v>
      </c>
      <c r="B967" t="s">
        <v>329</v>
      </c>
      <c r="C967" s="3" t="str">
        <f>VLOOKUP(Table2[[#This Row],[Tegevusala]],Table4[],2,FALSE)</f>
        <v xml:space="preserve"> Vinni-Pajusti Gümnaasium</v>
      </c>
      <c r="D967" s="3" t="str">
        <f>VLOOKUP(Table2[[#This Row],[Tegevusala]],Table4[[Tegevusala kood]:[Tegevusala alanimetus]],4,FALSE)</f>
        <v>Põhihariduse otsekulud</v>
      </c>
      <c r="E967" s="3" t="str">
        <f>VLOOKUP(Table2[[#This Row],[Tegevusala nimetus2]],Table4[[Tegevusala nimetus]:[Tegevusala koondnimetus]],2,FALSE)</f>
        <v>Haridus</v>
      </c>
      <c r="F967" t="s">
        <v>1428</v>
      </c>
      <c r="G967" t="s">
        <v>171</v>
      </c>
      <c r="H967" s="40">
        <v>1320</v>
      </c>
      <c r="I967" s="2" t="s">
        <v>1454</v>
      </c>
      <c r="J967">
        <v>5500</v>
      </c>
      <c r="K967" s="3" t="str">
        <f>VLOOKUP(Table2[[#This Row],[Konto]],Table5[[Konto]:[Konto nimetus]],2,FALSE)</f>
        <v>Administreerimiskulud</v>
      </c>
      <c r="L967">
        <v>55</v>
      </c>
      <c r="M967" t="str">
        <f t="shared" si="31"/>
        <v>55</v>
      </c>
      <c r="N967" s="3" t="str">
        <f>VLOOKUP(Table2[[#This Row],[Tulu/kulu liik2]],Table5[[Tulu/kulu liik]:[Kontode koondnimetus]],4,FALSE)</f>
        <v>Muud tegevuskulud</v>
      </c>
      <c r="O967" s="3" t="str">
        <f>VLOOKUP(Table2[[#This Row],[Tulu/kulu liik2]],Table5[],6,FALSE)</f>
        <v>Majandamiskulud</v>
      </c>
      <c r="P967" s="3" t="str">
        <f>VLOOKUP(Table2[[#This Row],[Tulu/kulu liik2]],Table5[],5,FALSE)</f>
        <v>Põhitegevuse kulu</v>
      </c>
    </row>
    <row r="968" spans="1:16" hidden="1" x14ac:dyDescent="0.25">
      <c r="A968" t="str">
        <f t="shared" si="30"/>
        <v>09</v>
      </c>
      <c r="B968" t="s">
        <v>329</v>
      </c>
      <c r="C968" s="3" t="str">
        <f>VLOOKUP(Table2[[#This Row],[Tegevusala]],Table4[],2,FALSE)</f>
        <v xml:space="preserve"> Vinni-Pajusti Gümnaasium</v>
      </c>
      <c r="D968" s="3" t="str">
        <f>VLOOKUP(Table2[[#This Row],[Tegevusala]],Table4[[Tegevusala kood]:[Tegevusala alanimetus]],4,FALSE)</f>
        <v>Põhihariduse otsekulud</v>
      </c>
      <c r="E968" s="3" t="str">
        <f>VLOOKUP(Table2[[#This Row],[Tegevusala nimetus2]],Table4[[Tegevusala nimetus]:[Tegevusala koondnimetus]],2,FALSE)</f>
        <v>Haridus</v>
      </c>
      <c r="F968" t="s">
        <v>1428</v>
      </c>
      <c r="G968" t="s">
        <v>390</v>
      </c>
      <c r="H968" s="40">
        <v>550</v>
      </c>
      <c r="I968" s="2" t="s">
        <v>1455</v>
      </c>
      <c r="J968">
        <v>5500</v>
      </c>
      <c r="K968" s="3" t="str">
        <f>VLOOKUP(Table2[[#This Row],[Konto]],Table5[[Konto]:[Konto nimetus]],2,FALSE)</f>
        <v>Administreerimiskulud</v>
      </c>
      <c r="L968">
        <v>55</v>
      </c>
      <c r="M968" t="str">
        <f t="shared" si="31"/>
        <v>55</v>
      </c>
      <c r="N968" s="3" t="str">
        <f>VLOOKUP(Table2[[#This Row],[Tulu/kulu liik2]],Table5[[Tulu/kulu liik]:[Kontode koondnimetus]],4,FALSE)</f>
        <v>Muud tegevuskulud</v>
      </c>
      <c r="O968" s="3" t="str">
        <f>VLOOKUP(Table2[[#This Row],[Tulu/kulu liik2]],Table5[],6,FALSE)</f>
        <v>Majandamiskulud</v>
      </c>
      <c r="P968" s="3" t="str">
        <f>VLOOKUP(Table2[[#This Row],[Tulu/kulu liik2]],Table5[],5,FALSE)</f>
        <v>Põhitegevuse kulu</v>
      </c>
    </row>
    <row r="969" spans="1:16" hidden="1" x14ac:dyDescent="0.25">
      <c r="A969" t="str">
        <f t="shared" si="30"/>
        <v>09</v>
      </c>
      <c r="B969" t="s">
        <v>329</v>
      </c>
      <c r="C969" s="3" t="str">
        <f>VLOOKUP(Table2[[#This Row],[Tegevusala]],Table4[],2,FALSE)</f>
        <v xml:space="preserve"> Vinni-Pajusti Gümnaasium</v>
      </c>
      <c r="D969" s="3" t="str">
        <f>VLOOKUP(Table2[[#This Row],[Tegevusala]],Table4[[Tegevusala kood]:[Tegevusala alanimetus]],4,FALSE)</f>
        <v>Põhihariduse otsekulud</v>
      </c>
      <c r="E969" s="3" t="str">
        <f>VLOOKUP(Table2[[#This Row],[Tegevusala nimetus2]],Table4[[Tegevusala nimetus]:[Tegevusala koondnimetus]],2,FALSE)</f>
        <v>Haridus</v>
      </c>
      <c r="F969" t="s">
        <v>1428</v>
      </c>
      <c r="G969" t="s">
        <v>1071</v>
      </c>
      <c r="H969" s="40">
        <v>4000</v>
      </c>
      <c r="I969" s="2" t="s">
        <v>1456</v>
      </c>
      <c r="J969">
        <v>5500</v>
      </c>
      <c r="K969" s="3" t="str">
        <f>VLOOKUP(Table2[[#This Row],[Konto]],Table5[[Konto]:[Konto nimetus]],2,FALSE)</f>
        <v>Administreerimiskulud</v>
      </c>
      <c r="L969">
        <v>55</v>
      </c>
      <c r="M969" t="str">
        <f t="shared" si="31"/>
        <v>55</v>
      </c>
      <c r="N969" s="3" t="str">
        <f>VLOOKUP(Table2[[#This Row],[Tulu/kulu liik2]],Table5[[Tulu/kulu liik]:[Kontode koondnimetus]],4,FALSE)</f>
        <v>Muud tegevuskulud</v>
      </c>
      <c r="O969" s="3" t="str">
        <f>VLOOKUP(Table2[[#This Row],[Tulu/kulu liik2]],Table5[],6,FALSE)</f>
        <v>Majandamiskulud</v>
      </c>
      <c r="P969" s="3" t="str">
        <f>VLOOKUP(Table2[[#This Row],[Tulu/kulu liik2]],Table5[],5,FALSE)</f>
        <v>Põhitegevuse kulu</v>
      </c>
    </row>
    <row r="970" spans="1:16" hidden="1" x14ac:dyDescent="0.25">
      <c r="A970" t="str">
        <f t="shared" si="30"/>
        <v>09</v>
      </c>
      <c r="B970" t="s">
        <v>329</v>
      </c>
      <c r="C970" s="3" t="str">
        <f>VLOOKUP(Table2[[#This Row],[Tegevusala]],Table4[],2,FALSE)</f>
        <v xml:space="preserve"> Vinni-Pajusti Gümnaasium</v>
      </c>
      <c r="D970" s="3" t="str">
        <f>VLOOKUP(Table2[[#This Row],[Tegevusala]],Table4[[Tegevusala kood]:[Tegevusala alanimetus]],4,FALSE)</f>
        <v>Põhihariduse otsekulud</v>
      </c>
      <c r="E970" s="3" t="str">
        <f>VLOOKUP(Table2[[#This Row],[Tegevusala nimetus2]],Table4[[Tegevusala nimetus]:[Tegevusala koondnimetus]],2,FALSE)</f>
        <v>Haridus</v>
      </c>
      <c r="F970" t="s">
        <v>1428</v>
      </c>
      <c r="G970" t="s">
        <v>1447</v>
      </c>
      <c r="H970" s="40">
        <v>960</v>
      </c>
      <c r="I970" s="2" t="s">
        <v>1457</v>
      </c>
      <c r="J970">
        <v>5500</v>
      </c>
      <c r="K970" s="3" t="str">
        <f>VLOOKUP(Table2[[#This Row],[Konto]],Table5[[Konto]:[Konto nimetus]],2,FALSE)</f>
        <v>Administreerimiskulud</v>
      </c>
      <c r="L970">
        <v>55</v>
      </c>
      <c r="M970" t="str">
        <f t="shared" si="31"/>
        <v>55</v>
      </c>
      <c r="N970" s="3" t="str">
        <f>VLOOKUP(Table2[[#This Row],[Tulu/kulu liik2]],Table5[[Tulu/kulu liik]:[Kontode koondnimetus]],4,FALSE)</f>
        <v>Muud tegevuskulud</v>
      </c>
      <c r="O970" s="3" t="str">
        <f>VLOOKUP(Table2[[#This Row],[Tulu/kulu liik2]],Table5[],6,FALSE)</f>
        <v>Majandamiskulud</v>
      </c>
      <c r="P970" s="3" t="str">
        <f>VLOOKUP(Table2[[#This Row],[Tulu/kulu liik2]],Table5[],5,FALSE)</f>
        <v>Põhitegevuse kulu</v>
      </c>
    </row>
    <row r="971" spans="1:16" hidden="1" x14ac:dyDescent="0.25">
      <c r="A971" t="str">
        <f t="shared" si="30"/>
        <v>09</v>
      </c>
      <c r="B971" t="s">
        <v>329</v>
      </c>
      <c r="C971" s="3" t="str">
        <f>VLOOKUP(Table2[[#This Row],[Tegevusala]],Table4[],2,FALSE)</f>
        <v xml:space="preserve"> Vinni-Pajusti Gümnaasium</v>
      </c>
      <c r="D971" s="3" t="str">
        <f>VLOOKUP(Table2[[#This Row],[Tegevusala]],Table4[[Tegevusala kood]:[Tegevusala alanimetus]],4,FALSE)</f>
        <v>Põhihariduse otsekulud</v>
      </c>
      <c r="E971" s="3" t="str">
        <f>VLOOKUP(Table2[[#This Row],[Tegevusala nimetus2]],Table4[[Tegevusala nimetus]:[Tegevusala koondnimetus]],2,FALSE)</f>
        <v>Haridus</v>
      </c>
      <c r="F971" t="s">
        <v>1428</v>
      </c>
      <c r="G971" t="s">
        <v>1448</v>
      </c>
      <c r="H971" s="40">
        <v>150</v>
      </c>
      <c r="I971" s="2" t="s">
        <v>1458</v>
      </c>
      <c r="J971">
        <v>5500</v>
      </c>
      <c r="K971" s="3" t="str">
        <f>VLOOKUP(Table2[[#This Row],[Konto]],Table5[[Konto]:[Konto nimetus]],2,FALSE)</f>
        <v>Administreerimiskulud</v>
      </c>
      <c r="L971">
        <v>55</v>
      </c>
      <c r="M971" t="str">
        <f t="shared" si="31"/>
        <v>55</v>
      </c>
      <c r="N971" s="3" t="str">
        <f>VLOOKUP(Table2[[#This Row],[Tulu/kulu liik2]],Table5[[Tulu/kulu liik]:[Kontode koondnimetus]],4,FALSE)</f>
        <v>Muud tegevuskulud</v>
      </c>
      <c r="O971" s="3" t="str">
        <f>VLOOKUP(Table2[[#This Row],[Tulu/kulu liik2]],Table5[],6,FALSE)</f>
        <v>Majandamiskulud</v>
      </c>
      <c r="P971" s="3" t="str">
        <f>VLOOKUP(Table2[[#This Row],[Tulu/kulu liik2]],Table5[],5,FALSE)</f>
        <v>Põhitegevuse kulu</v>
      </c>
    </row>
    <row r="972" spans="1:16" hidden="1" x14ac:dyDescent="0.25">
      <c r="A972" t="str">
        <f t="shared" si="30"/>
        <v>09</v>
      </c>
      <c r="B972" t="s">
        <v>329</v>
      </c>
      <c r="C972" s="3" t="str">
        <f>VLOOKUP(Table2[[#This Row],[Tegevusala]],Table4[],2,FALSE)</f>
        <v xml:space="preserve"> Vinni-Pajusti Gümnaasium</v>
      </c>
      <c r="D972" s="3" t="str">
        <f>VLOOKUP(Table2[[#This Row],[Tegevusala]],Table4[[Tegevusala kood]:[Tegevusala alanimetus]],4,FALSE)</f>
        <v>Põhihariduse otsekulud</v>
      </c>
      <c r="E972" s="3" t="str">
        <f>VLOOKUP(Table2[[#This Row],[Tegevusala nimetus2]],Table4[[Tegevusala nimetus]:[Tegevusala koondnimetus]],2,FALSE)</f>
        <v>Haridus</v>
      </c>
      <c r="F972" t="s">
        <v>1428</v>
      </c>
      <c r="G972" t="s">
        <v>176</v>
      </c>
      <c r="H972" s="40">
        <v>800</v>
      </c>
      <c r="I972" s="2" t="s">
        <v>1459</v>
      </c>
      <c r="J972">
        <v>5504</v>
      </c>
      <c r="K972" s="3" t="str">
        <f>VLOOKUP(Table2[[#This Row],[Konto]],Table5[[Konto]:[Konto nimetus]],2,FALSE)</f>
        <v>Koolituskulud</v>
      </c>
      <c r="L972">
        <v>55</v>
      </c>
      <c r="M972" t="str">
        <f t="shared" si="31"/>
        <v>55</v>
      </c>
      <c r="N972" s="3" t="str">
        <f>VLOOKUP(Table2[[#This Row],[Tulu/kulu liik2]],Table5[[Tulu/kulu liik]:[Kontode koondnimetus]],4,FALSE)</f>
        <v>Muud tegevuskulud</v>
      </c>
      <c r="O972" s="3" t="str">
        <f>VLOOKUP(Table2[[#This Row],[Tulu/kulu liik2]],Table5[],6,FALSE)</f>
        <v>Majandamiskulud</v>
      </c>
      <c r="P972" s="3" t="str">
        <f>VLOOKUP(Table2[[#This Row],[Tulu/kulu liik2]],Table5[],5,FALSE)</f>
        <v>Põhitegevuse kulu</v>
      </c>
    </row>
    <row r="973" spans="1:16" hidden="1" x14ac:dyDescent="0.25">
      <c r="A973" t="str">
        <f t="shared" si="30"/>
        <v>09</v>
      </c>
      <c r="B973" t="s">
        <v>329</v>
      </c>
      <c r="C973" s="3" t="str">
        <f>VLOOKUP(Table2[[#This Row],[Tegevusala]],Table4[],2,FALSE)</f>
        <v xml:space="preserve"> Vinni-Pajusti Gümnaasium</v>
      </c>
      <c r="D973" s="3" t="str">
        <f>VLOOKUP(Table2[[#This Row],[Tegevusala]],Table4[[Tegevusala kood]:[Tegevusala alanimetus]],4,FALSE)</f>
        <v>Põhihariduse otsekulud</v>
      </c>
      <c r="E973" s="3" t="str">
        <f>VLOOKUP(Table2[[#This Row],[Tegevusala nimetus2]],Table4[[Tegevusala nimetus]:[Tegevusala koondnimetus]],2,FALSE)</f>
        <v>Haridus</v>
      </c>
      <c r="F973" t="s">
        <v>1428</v>
      </c>
      <c r="G973" t="s">
        <v>1484</v>
      </c>
      <c r="H973" s="40">
        <v>7000</v>
      </c>
      <c r="I973" s="2" t="s">
        <v>1479</v>
      </c>
      <c r="J973">
        <v>5513</v>
      </c>
      <c r="K973" s="3" t="str">
        <f>VLOOKUP(Table2[[#This Row],[Konto]],Table5[[Konto]:[Konto nimetus]],2,FALSE)</f>
        <v>Sõidukite ülalpidamise kulud</v>
      </c>
      <c r="L973">
        <v>55</v>
      </c>
      <c r="M973" t="str">
        <f t="shared" si="31"/>
        <v>55</v>
      </c>
      <c r="N973" s="3" t="str">
        <f>VLOOKUP(Table2[[#This Row],[Tulu/kulu liik2]],Table5[[Tulu/kulu liik]:[Kontode koondnimetus]],4,FALSE)</f>
        <v>Muud tegevuskulud</v>
      </c>
      <c r="O973" s="3" t="str">
        <f>VLOOKUP(Table2[[#This Row],[Tulu/kulu liik2]],Table5[],6,FALSE)</f>
        <v>Majandamiskulud</v>
      </c>
      <c r="P973" s="3" t="str">
        <f>VLOOKUP(Table2[[#This Row],[Tulu/kulu liik2]],Table5[],5,FALSE)</f>
        <v>Põhitegevuse kulu</v>
      </c>
    </row>
    <row r="974" spans="1:16" hidden="1" x14ac:dyDescent="0.25">
      <c r="A974" t="str">
        <f t="shared" si="30"/>
        <v>09</v>
      </c>
      <c r="B974" t="s">
        <v>329</v>
      </c>
      <c r="C974" s="3" t="str">
        <f>VLOOKUP(Table2[[#This Row],[Tegevusala]],Table4[],2,FALSE)</f>
        <v xml:space="preserve"> Vinni-Pajusti Gümnaasium</v>
      </c>
      <c r="D974" s="3" t="str">
        <f>VLOOKUP(Table2[[#This Row],[Tegevusala]],Table4[[Tegevusala kood]:[Tegevusala alanimetus]],4,FALSE)</f>
        <v>Põhihariduse otsekulud</v>
      </c>
      <c r="E974" s="3" t="str">
        <f>VLOOKUP(Table2[[#This Row],[Tegevusala nimetus2]],Table4[[Tegevusala nimetus]:[Tegevusala koondnimetus]],2,FALSE)</f>
        <v>Haridus</v>
      </c>
      <c r="F974" t="s">
        <v>1428</v>
      </c>
      <c r="G974" t="s">
        <v>1476</v>
      </c>
      <c r="H974" s="40">
        <v>11000</v>
      </c>
      <c r="I974" s="2" t="s">
        <v>1480</v>
      </c>
      <c r="J974">
        <v>5513</v>
      </c>
      <c r="K974" s="3" t="str">
        <f>VLOOKUP(Table2[[#This Row],[Konto]],Table5[[Konto]:[Konto nimetus]],2,FALSE)</f>
        <v>Sõidukite ülalpidamise kulud</v>
      </c>
      <c r="L974">
        <v>55</v>
      </c>
      <c r="M974" t="str">
        <f t="shared" si="31"/>
        <v>55</v>
      </c>
      <c r="N974" s="3" t="str">
        <f>VLOOKUP(Table2[[#This Row],[Tulu/kulu liik2]],Table5[[Tulu/kulu liik]:[Kontode koondnimetus]],4,FALSE)</f>
        <v>Muud tegevuskulud</v>
      </c>
      <c r="O974" s="3" t="str">
        <f>VLOOKUP(Table2[[#This Row],[Tulu/kulu liik2]],Table5[],6,FALSE)</f>
        <v>Majandamiskulud</v>
      </c>
      <c r="P974" s="3" t="str">
        <f>VLOOKUP(Table2[[#This Row],[Tulu/kulu liik2]],Table5[],5,FALSE)</f>
        <v>Põhitegevuse kulu</v>
      </c>
    </row>
    <row r="975" spans="1:16" hidden="1" x14ac:dyDescent="0.25">
      <c r="A975" t="str">
        <f t="shared" si="30"/>
        <v>09</v>
      </c>
      <c r="B975" t="s">
        <v>329</v>
      </c>
      <c r="C975" s="3" t="str">
        <f>VLOOKUP(Table2[[#This Row],[Tegevusala]],Table4[],2,FALSE)</f>
        <v xml:space="preserve"> Vinni-Pajusti Gümnaasium</v>
      </c>
      <c r="D975" s="3" t="str">
        <f>VLOOKUP(Table2[[#This Row],[Tegevusala]],Table4[[Tegevusala kood]:[Tegevusala alanimetus]],4,FALSE)</f>
        <v>Põhihariduse otsekulud</v>
      </c>
      <c r="E975" s="3" t="str">
        <f>VLOOKUP(Table2[[#This Row],[Tegevusala nimetus2]],Table4[[Tegevusala nimetus]:[Tegevusala koondnimetus]],2,FALSE)</f>
        <v>Haridus</v>
      </c>
      <c r="F975" t="s">
        <v>1428</v>
      </c>
      <c r="G975" t="s">
        <v>397</v>
      </c>
      <c r="H975" s="40">
        <v>1750</v>
      </c>
      <c r="I975" s="2" t="s">
        <v>1481</v>
      </c>
      <c r="J975">
        <v>5513</v>
      </c>
      <c r="K975" s="3" t="str">
        <f>VLOOKUP(Table2[[#This Row],[Konto]],Table5[[Konto]:[Konto nimetus]],2,FALSE)</f>
        <v>Sõidukite ülalpidamise kulud</v>
      </c>
      <c r="L975">
        <v>55</v>
      </c>
      <c r="M975" t="str">
        <f t="shared" si="31"/>
        <v>55</v>
      </c>
      <c r="N975" s="3" t="str">
        <f>VLOOKUP(Table2[[#This Row],[Tulu/kulu liik2]],Table5[[Tulu/kulu liik]:[Kontode koondnimetus]],4,FALSE)</f>
        <v>Muud tegevuskulud</v>
      </c>
      <c r="O975" s="3" t="str">
        <f>VLOOKUP(Table2[[#This Row],[Tulu/kulu liik2]],Table5[],6,FALSE)</f>
        <v>Majandamiskulud</v>
      </c>
      <c r="P975" s="3" t="str">
        <f>VLOOKUP(Table2[[#This Row],[Tulu/kulu liik2]],Table5[],5,FALSE)</f>
        <v>Põhitegevuse kulu</v>
      </c>
    </row>
    <row r="976" spans="1:16" hidden="1" x14ac:dyDescent="0.25">
      <c r="A976" t="str">
        <f t="shared" si="30"/>
        <v>09</v>
      </c>
      <c r="B976" t="s">
        <v>329</v>
      </c>
      <c r="C976" s="3" t="str">
        <f>VLOOKUP(Table2[[#This Row],[Tegevusala]],Table4[],2,FALSE)</f>
        <v xml:space="preserve"> Vinni-Pajusti Gümnaasium</v>
      </c>
      <c r="D976" s="3" t="str">
        <f>VLOOKUP(Table2[[#This Row],[Tegevusala]],Table4[[Tegevusala kood]:[Tegevusala alanimetus]],4,FALSE)</f>
        <v>Põhihariduse otsekulud</v>
      </c>
      <c r="E976" s="3" t="str">
        <f>VLOOKUP(Table2[[#This Row],[Tegevusala nimetus2]],Table4[[Tegevusala nimetus]:[Tegevusala koondnimetus]],2,FALSE)</f>
        <v>Haridus</v>
      </c>
      <c r="F976" t="s">
        <v>1428</v>
      </c>
      <c r="G976" t="s">
        <v>1477</v>
      </c>
      <c r="H976" s="40">
        <v>1900</v>
      </c>
      <c r="I976" s="2" t="s">
        <v>1482</v>
      </c>
      <c r="J976">
        <v>5513</v>
      </c>
      <c r="K976" s="3" t="str">
        <f>VLOOKUP(Table2[[#This Row],[Konto]],Table5[[Konto]:[Konto nimetus]],2,FALSE)</f>
        <v>Sõidukite ülalpidamise kulud</v>
      </c>
      <c r="L976">
        <v>55</v>
      </c>
      <c r="M976" t="str">
        <f t="shared" si="31"/>
        <v>55</v>
      </c>
      <c r="N976" s="3" t="str">
        <f>VLOOKUP(Table2[[#This Row],[Tulu/kulu liik2]],Table5[[Tulu/kulu liik]:[Kontode koondnimetus]],4,FALSE)</f>
        <v>Muud tegevuskulud</v>
      </c>
      <c r="O976" s="3" t="str">
        <f>VLOOKUP(Table2[[#This Row],[Tulu/kulu liik2]],Table5[],6,FALSE)</f>
        <v>Majandamiskulud</v>
      </c>
      <c r="P976" s="3" t="str">
        <f>VLOOKUP(Table2[[#This Row],[Tulu/kulu liik2]],Table5[],5,FALSE)</f>
        <v>Põhitegevuse kulu</v>
      </c>
    </row>
    <row r="977" spans="1:16" hidden="1" x14ac:dyDescent="0.25">
      <c r="A977" t="str">
        <f t="shared" si="30"/>
        <v>09</v>
      </c>
      <c r="B977" t="s">
        <v>329</v>
      </c>
      <c r="C977" s="3" t="str">
        <f>VLOOKUP(Table2[[#This Row],[Tegevusala]],Table4[],2,FALSE)</f>
        <v xml:space="preserve"> Vinni-Pajusti Gümnaasium</v>
      </c>
      <c r="D977" s="3" t="str">
        <f>VLOOKUP(Table2[[#This Row],[Tegevusala]],Table4[[Tegevusala kood]:[Tegevusala alanimetus]],4,FALSE)</f>
        <v>Põhihariduse otsekulud</v>
      </c>
      <c r="E977" s="3" t="str">
        <f>VLOOKUP(Table2[[#This Row],[Tegevusala nimetus2]],Table4[[Tegevusala nimetus]:[Tegevusala koondnimetus]],2,FALSE)</f>
        <v>Haridus</v>
      </c>
      <c r="F977" t="s">
        <v>1428</v>
      </c>
      <c r="G977" t="s">
        <v>1478</v>
      </c>
      <c r="H977" s="40">
        <v>850</v>
      </c>
      <c r="I977" s="2" t="s">
        <v>1483</v>
      </c>
      <c r="J977">
        <v>5513</v>
      </c>
      <c r="K977" s="3" t="str">
        <f>VLOOKUP(Table2[[#This Row],[Konto]],Table5[[Konto]:[Konto nimetus]],2,FALSE)</f>
        <v>Sõidukite ülalpidamise kulud</v>
      </c>
      <c r="L977">
        <v>55</v>
      </c>
      <c r="M977" t="str">
        <f t="shared" si="31"/>
        <v>55</v>
      </c>
      <c r="N977" s="3" t="str">
        <f>VLOOKUP(Table2[[#This Row],[Tulu/kulu liik2]],Table5[[Tulu/kulu liik]:[Kontode koondnimetus]],4,FALSE)</f>
        <v>Muud tegevuskulud</v>
      </c>
      <c r="O977" s="3" t="str">
        <f>VLOOKUP(Table2[[#This Row],[Tulu/kulu liik2]],Table5[],6,FALSE)</f>
        <v>Majandamiskulud</v>
      </c>
      <c r="P977" s="3" t="str">
        <f>VLOOKUP(Table2[[#This Row],[Tulu/kulu liik2]],Table5[],5,FALSE)</f>
        <v>Põhitegevuse kulu</v>
      </c>
    </row>
    <row r="978" spans="1:16" hidden="1" x14ac:dyDescent="0.25">
      <c r="A978" t="str">
        <f t="shared" si="30"/>
        <v>09</v>
      </c>
      <c r="B978" t="s">
        <v>329</v>
      </c>
      <c r="C978" s="3" t="str">
        <f>VLOOKUP(Table2[[#This Row],[Tegevusala]],Table4[],2,FALSE)</f>
        <v xml:space="preserve"> Vinni-Pajusti Gümnaasium</v>
      </c>
      <c r="D978" s="3" t="str">
        <f>VLOOKUP(Table2[[#This Row],[Tegevusala]],Table4[[Tegevusala kood]:[Tegevusala alanimetus]],4,FALSE)</f>
        <v>Põhihariduse otsekulud</v>
      </c>
      <c r="E978" s="3" t="str">
        <f>VLOOKUP(Table2[[#This Row],[Tegevusala nimetus2]],Table4[[Tegevusala nimetus]:[Tegevusala koondnimetus]],2,FALSE)</f>
        <v>Haridus</v>
      </c>
      <c r="F978" t="s">
        <v>1428</v>
      </c>
      <c r="G978" t="s">
        <v>1487</v>
      </c>
      <c r="H978" s="40">
        <v>5000</v>
      </c>
      <c r="J978">
        <v>5515</v>
      </c>
      <c r="K978" s="3" t="str">
        <f>VLOOKUP(Table2[[#This Row],[Konto]],Table5[[Konto]:[Konto nimetus]],2,FALSE)</f>
        <v>Inventari kulud, v.a infotehnoloogia ja kaitseotstarbelised kulud</v>
      </c>
      <c r="L978">
        <v>55</v>
      </c>
      <c r="M978" t="str">
        <f t="shared" si="31"/>
        <v>55</v>
      </c>
      <c r="N978" s="3" t="str">
        <f>VLOOKUP(Table2[[#This Row],[Tulu/kulu liik2]],Table5[[Tulu/kulu liik]:[Kontode koondnimetus]],4,FALSE)</f>
        <v>Muud tegevuskulud</v>
      </c>
      <c r="O978" s="3" t="str">
        <f>VLOOKUP(Table2[[#This Row],[Tulu/kulu liik2]],Table5[],6,FALSE)</f>
        <v>Majandamiskulud</v>
      </c>
      <c r="P978" s="3" t="str">
        <f>VLOOKUP(Table2[[#This Row],[Tulu/kulu liik2]],Table5[],5,FALSE)</f>
        <v>Põhitegevuse kulu</v>
      </c>
    </row>
    <row r="979" spans="1:16" hidden="1" x14ac:dyDescent="0.25">
      <c r="A979" t="str">
        <f t="shared" si="30"/>
        <v>09</v>
      </c>
      <c r="B979" t="s">
        <v>329</v>
      </c>
      <c r="C979" s="3" t="str">
        <f>VLOOKUP(Table2[[#This Row],[Tegevusala]],Table4[],2,FALSE)</f>
        <v xml:space="preserve"> Vinni-Pajusti Gümnaasium</v>
      </c>
      <c r="D979" s="3" t="str">
        <f>VLOOKUP(Table2[[#This Row],[Tegevusala]],Table4[[Tegevusala kood]:[Tegevusala alanimetus]],4,FALSE)</f>
        <v>Põhihariduse otsekulud</v>
      </c>
      <c r="E979" s="3" t="str">
        <f>VLOOKUP(Table2[[#This Row],[Tegevusala nimetus2]],Table4[[Tegevusala nimetus]:[Tegevusala koondnimetus]],2,FALSE)</f>
        <v>Haridus</v>
      </c>
      <c r="F979" t="s">
        <v>1428</v>
      </c>
      <c r="G979" t="s">
        <v>1488</v>
      </c>
      <c r="H979" s="40">
        <v>1500</v>
      </c>
      <c r="I979" s="2" t="s">
        <v>1492</v>
      </c>
      <c r="J979">
        <v>5522</v>
      </c>
      <c r="K979" s="3" t="str">
        <f>VLOOKUP(Table2[[#This Row],[Konto]],Table5[[Konto]:[Konto nimetus]],2,FALSE)</f>
        <v>Meditsiinikulud ja hügieenitarbed</v>
      </c>
      <c r="L979">
        <v>55</v>
      </c>
      <c r="M979" t="str">
        <f t="shared" si="31"/>
        <v>55</v>
      </c>
      <c r="N979" s="3" t="str">
        <f>VLOOKUP(Table2[[#This Row],[Tulu/kulu liik2]],Table5[[Tulu/kulu liik]:[Kontode koondnimetus]],4,FALSE)</f>
        <v>Muud tegevuskulud</v>
      </c>
      <c r="O979" s="3" t="str">
        <f>VLOOKUP(Table2[[#This Row],[Tulu/kulu liik2]],Table5[],6,FALSE)</f>
        <v>Majandamiskulud</v>
      </c>
      <c r="P979" s="3" t="str">
        <f>VLOOKUP(Table2[[#This Row],[Tulu/kulu liik2]],Table5[],5,FALSE)</f>
        <v>Põhitegevuse kulu</v>
      </c>
    </row>
    <row r="980" spans="1:16" hidden="1" x14ac:dyDescent="0.25">
      <c r="A980" t="str">
        <f t="shared" si="30"/>
        <v>09</v>
      </c>
      <c r="B980" t="s">
        <v>329</v>
      </c>
      <c r="C980" s="3" t="str">
        <f>VLOOKUP(Table2[[#This Row],[Tegevusala]],Table4[],2,FALSE)</f>
        <v xml:space="preserve"> Vinni-Pajusti Gümnaasium</v>
      </c>
      <c r="D980" s="3" t="str">
        <f>VLOOKUP(Table2[[#This Row],[Tegevusala]],Table4[[Tegevusala kood]:[Tegevusala alanimetus]],4,FALSE)</f>
        <v>Põhihariduse otsekulud</v>
      </c>
      <c r="E980" s="3" t="str">
        <f>VLOOKUP(Table2[[#This Row],[Tegevusala nimetus2]],Table4[[Tegevusala nimetus]:[Tegevusala koondnimetus]],2,FALSE)</f>
        <v>Haridus</v>
      </c>
      <c r="F980" t="s">
        <v>1428</v>
      </c>
      <c r="G980" t="s">
        <v>1489</v>
      </c>
      <c r="H980" s="40">
        <v>35000</v>
      </c>
      <c r="J980">
        <v>5524</v>
      </c>
      <c r="K980" s="3" t="str">
        <f>VLOOKUP(Table2[[#This Row],[Konto]],Table5[[Konto]:[Konto nimetus]],2,FALSE)</f>
        <v>Õppevahendid</v>
      </c>
      <c r="L980">
        <v>55</v>
      </c>
      <c r="M980" t="str">
        <f t="shared" si="31"/>
        <v>55</v>
      </c>
      <c r="N980" s="3" t="str">
        <f>VLOOKUP(Table2[[#This Row],[Tulu/kulu liik2]],Table5[[Tulu/kulu liik]:[Kontode koondnimetus]],4,FALSE)</f>
        <v>Muud tegevuskulud</v>
      </c>
      <c r="O980" s="3" t="str">
        <f>VLOOKUP(Table2[[#This Row],[Tulu/kulu liik2]],Table5[],6,FALSE)</f>
        <v>Majandamiskulud</v>
      </c>
      <c r="P980" s="3" t="str">
        <f>VLOOKUP(Table2[[#This Row],[Tulu/kulu liik2]],Table5[],5,FALSE)</f>
        <v>Põhitegevuse kulu</v>
      </c>
    </row>
    <row r="981" spans="1:16" hidden="1" x14ac:dyDescent="0.25">
      <c r="A981" t="str">
        <f t="shared" si="30"/>
        <v>09</v>
      </c>
      <c r="B981" t="s">
        <v>329</v>
      </c>
      <c r="C981" s="3" t="str">
        <f>VLOOKUP(Table2[[#This Row],[Tegevusala]],Table4[],2,FALSE)</f>
        <v xml:space="preserve"> Vinni-Pajusti Gümnaasium</v>
      </c>
      <c r="D981" s="3" t="str">
        <f>VLOOKUP(Table2[[#This Row],[Tegevusala]],Table4[[Tegevusala kood]:[Tegevusala alanimetus]],4,FALSE)</f>
        <v>Põhihariduse otsekulud</v>
      </c>
      <c r="E981" s="3" t="str">
        <f>VLOOKUP(Table2[[#This Row],[Tegevusala nimetus2]],Table4[[Tegevusala nimetus]:[Tegevusala koondnimetus]],2,FALSE)</f>
        <v>Haridus</v>
      </c>
      <c r="F981" t="s">
        <v>1428</v>
      </c>
      <c r="G981" t="s">
        <v>1490</v>
      </c>
      <c r="H981" s="40">
        <v>1700</v>
      </c>
      <c r="J981">
        <v>5524</v>
      </c>
      <c r="K981" s="3" t="str">
        <f>VLOOKUP(Table2[[#This Row],[Konto]],Table5[[Konto]:[Konto nimetus]],2,FALSE)</f>
        <v>Õppevahendid</v>
      </c>
      <c r="L981">
        <v>55</v>
      </c>
      <c r="M981" t="str">
        <f t="shared" si="31"/>
        <v>55</v>
      </c>
      <c r="N981" s="3" t="str">
        <f>VLOOKUP(Table2[[#This Row],[Tulu/kulu liik2]],Table5[[Tulu/kulu liik]:[Kontode koondnimetus]],4,FALSE)</f>
        <v>Muud tegevuskulud</v>
      </c>
      <c r="O981" s="3" t="str">
        <f>VLOOKUP(Table2[[#This Row],[Tulu/kulu liik2]],Table5[],6,FALSE)</f>
        <v>Majandamiskulud</v>
      </c>
      <c r="P981" s="3" t="str">
        <f>VLOOKUP(Table2[[#This Row],[Tulu/kulu liik2]],Table5[],5,FALSE)</f>
        <v>Põhitegevuse kulu</v>
      </c>
    </row>
    <row r="982" spans="1:16" hidden="1" x14ac:dyDescent="0.25">
      <c r="A982" t="str">
        <f t="shared" si="30"/>
        <v>09</v>
      </c>
      <c r="B982" t="s">
        <v>329</v>
      </c>
      <c r="C982" s="3" t="str">
        <f>VLOOKUP(Table2[[#This Row],[Tegevusala]],Table4[],2,FALSE)</f>
        <v xml:space="preserve"> Vinni-Pajusti Gümnaasium</v>
      </c>
      <c r="D982" s="3" t="str">
        <f>VLOOKUP(Table2[[#This Row],[Tegevusala]],Table4[[Tegevusala kood]:[Tegevusala alanimetus]],4,FALSE)</f>
        <v>Põhihariduse otsekulud</v>
      </c>
      <c r="E982" s="3" t="str">
        <f>VLOOKUP(Table2[[#This Row],[Tegevusala nimetus2]],Table4[[Tegevusala nimetus]:[Tegevusala koondnimetus]],2,FALSE)</f>
        <v>Haridus</v>
      </c>
      <c r="F982" t="s">
        <v>1428</v>
      </c>
      <c r="G982" t="s">
        <v>1491</v>
      </c>
      <c r="H982" s="40">
        <v>20000</v>
      </c>
      <c r="J982">
        <v>5524</v>
      </c>
      <c r="K982" s="3" t="str">
        <f>VLOOKUP(Table2[[#This Row],[Konto]],Table5[[Konto]:[Konto nimetus]],2,FALSE)</f>
        <v>Õppevahendid</v>
      </c>
      <c r="L982">
        <v>55</v>
      </c>
      <c r="M982" t="str">
        <f t="shared" si="31"/>
        <v>55</v>
      </c>
      <c r="N982" s="3" t="str">
        <f>VLOOKUP(Table2[[#This Row],[Tulu/kulu liik2]],Table5[[Tulu/kulu liik]:[Kontode koondnimetus]],4,FALSE)</f>
        <v>Muud tegevuskulud</v>
      </c>
      <c r="O982" s="3" t="str">
        <f>VLOOKUP(Table2[[#This Row],[Tulu/kulu liik2]],Table5[],6,FALSE)</f>
        <v>Majandamiskulud</v>
      </c>
      <c r="P982" s="3" t="str">
        <f>VLOOKUP(Table2[[#This Row],[Tulu/kulu liik2]],Table5[],5,FALSE)</f>
        <v>Põhitegevuse kulu</v>
      </c>
    </row>
    <row r="983" spans="1:16" hidden="1" x14ac:dyDescent="0.25">
      <c r="A983" t="str">
        <f t="shared" si="30"/>
        <v>09</v>
      </c>
      <c r="B983" t="s">
        <v>329</v>
      </c>
      <c r="C983" s="3" t="str">
        <f>VLOOKUP(Table2[[#This Row],[Tegevusala]],Table4[],2,FALSE)</f>
        <v xml:space="preserve"> Vinni-Pajusti Gümnaasium</v>
      </c>
      <c r="D983" s="3" t="str">
        <f>VLOOKUP(Table2[[#This Row],[Tegevusala]],Table4[[Tegevusala kood]:[Tegevusala alanimetus]],4,FALSE)</f>
        <v>Põhihariduse otsekulud</v>
      </c>
      <c r="E983" s="3" t="str">
        <f>VLOOKUP(Table2[[#This Row],[Tegevusala nimetus2]],Table4[[Tegevusala nimetus]:[Tegevusala koondnimetus]],2,FALSE)</f>
        <v>Haridus</v>
      </c>
      <c r="F983" t="s">
        <v>1428</v>
      </c>
      <c r="G983" t="s">
        <v>1493</v>
      </c>
      <c r="H983" s="40">
        <v>13000</v>
      </c>
      <c r="J983">
        <v>5525</v>
      </c>
      <c r="K983" s="3" t="str">
        <f>VLOOKUP(Table2[[#This Row],[Konto]],Table5[[Konto]:[Konto nimetus]],2,FALSE)</f>
        <v>Kommunikatsiooni-, kultuuri- ja vaba aja sisustamise kulud</v>
      </c>
      <c r="L983">
        <v>55</v>
      </c>
      <c r="M983" t="str">
        <f t="shared" si="31"/>
        <v>55</v>
      </c>
      <c r="N983" s="3" t="str">
        <f>VLOOKUP(Table2[[#This Row],[Tulu/kulu liik2]],Table5[[Tulu/kulu liik]:[Kontode koondnimetus]],4,FALSE)</f>
        <v>Muud tegevuskulud</v>
      </c>
      <c r="O983" s="3" t="str">
        <f>VLOOKUP(Table2[[#This Row],[Tulu/kulu liik2]],Table5[],6,FALSE)</f>
        <v>Majandamiskulud</v>
      </c>
      <c r="P983" s="3" t="str">
        <f>VLOOKUP(Table2[[#This Row],[Tulu/kulu liik2]],Table5[],5,FALSE)</f>
        <v>Põhitegevuse kulu</v>
      </c>
    </row>
    <row r="984" spans="1:16" hidden="1" x14ac:dyDescent="0.25">
      <c r="A984" t="str">
        <f t="shared" si="30"/>
        <v>09</v>
      </c>
      <c r="B984" t="s">
        <v>329</v>
      </c>
      <c r="C984" s="3" t="str">
        <f>VLOOKUP(Table2[[#This Row],[Tegevusala]],Table4[],2,FALSE)</f>
        <v xml:space="preserve"> Vinni-Pajusti Gümnaasium</v>
      </c>
      <c r="D984" s="3" t="str">
        <f>VLOOKUP(Table2[[#This Row],[Tegevusala]],Table4[[Tegevusala kood]:[Tegevusala alanimetus]],4,FALSE)</f>
        <v>Põhihariduse otsekulud</v>
      </c>
      <c r="E984" s="3" t="str">
        <f>VLOOKUP(Table2[[#This Row],[Tegevusala nimetus2]],Table4[[Tegevusala nimetus]:[Tegevusala koondnimetus]],2,FALSE)</f>
        <v>Haridus</v>
      </c>
      <c r="F984" t="s">
        <v>1428</v>
      </c>
      <c r="G984" t="s">
        <v>1494</v>
      </c>
      <c r="H984" s="40">
        <v>3500</v>
      </c>
      <c r="J984">
        <v>5525</v>
      </c>
      <c r="K984" s="3" t="str">
        <f>VLOOKUP(Table2[[#This Row],[Konto]],Table5[[Konto]:[Konto nimetus]],2,FALSE)</f>
        <v>Kommunikatsiooni-, kultuuri- ja vaba aja sisustamise kulud</v>
      </c>
      <c r="L984">
        <v>55</v>
      </c>
      <c r="M984" t="str">
        <f t="shared" si="31"/>
        <v>55</v>
      </c>
      <c r="N984" s="3" t="str">
        <f>VLOOKUP(Table2[[#This Row],[Tulu/kulu liik2]],Table5[[Tulu/kulu liik]:[Kontode koondnimetus]],4,FALSE)</f>
        <v>Muud tegevuskulud</v>
      </c>
      <c r="O984" s="3" t="str">
        <f>VLOOKUP(Table2[[#This Row],[Tulu/kulu liik2]],Table5[],6,FALSE)</f>
        <v>Majandamiskulud</v>
      </c>
      <c r="P984" s="3" t="str">
        <f>VLOOKUP(Table2[[#This Row],[Tulu/kulu liik2]],Table5[],5,FALSE)</f>
        <v>Põhitegevuse kulu</v>
      </c>
    </row>
    <row r="985" spans="1:16" hidden="1" x14ac:dyDescent="0.25">
      <c r="A985" t="str">
        <f t="shared" si="30"/>
        <v>09</v>
      </c>
      <c r="B985" t="s">
        <v>329</v>
      </c>
      <c r="C985" s="3" t="str">
        <f>VLOOKUP(Table2[[#This Row],[Tegevusala]],Table4[],2,FALSE)</f>
        <v xml:space="preserve"> Vinni-Pajusti Gümnaasium</v>
      </c>
      <c r="D985" s="3" t="str">
        <f>VLOOKUP(Table2[[#This Row],[Tegevusala]],Table4[[Tegevusala kood]:[Tegevusala alanimetus]],4,FALSE)</f>
        <v>Põhihariduse otsekulud</v>
      </c>
      <c r="E985" s="3" t="str">
        <f>VLOOKUP(Table2[[#This Row],[Tegevusala nimetus2]],Table4[[Tegevusala nimetus]:[Tegevusala koondnimetus]],2,FALSE)</f>
        <v>Haridus</v>
      </c>
      <c r="F985" t="s">
        <v>1428</v>
      </c>
      <c r="G985" t="s">
        <v>177</v>
      </c>
      <c r="H985" s="40">
        <v>115000</v>
      </c>
      <c r="I985" s="2" t="s">
        <v>1469</v>
      </c>
      <c r="J985">
        <v>5511</v>
      </c>
      <c r="K985" s="3" t="str">
        <f>VLOOKUP(Table2[[#This Row],[Konto]],Table5[[Konto]:[Konto nimetus]],2,FALSE)</f>
        <v>Kinnistute, hoonete ja ruumide majandamiskulud</v>
      </c>
      <c r="L985">
        <v>55</v>
      </c>
      <c r="M985" t="str">
        <f t="shared" si="31"/>
        <v>55</v>
      </c>
      <c r="N985" s="3" t="str">
        <f>VLOOKUP(Table2[[#This Row],[Tulu/kulu liik2]],Table5[[Tulu/kulu liik]:[Kontode koondnimetus]],4,FALSE)</f>
        <v>Muud tegevuskulud</v>
      </c>
      <c r="O985" s="3" t="str">
        <f>VLOOKUP(Table2[[#This Row],[Tulu/kulu liik2]],Table5[],6,FALSE)</f>
        <v>Majandamiskulud</v>
      </c>
      <c r="P985" s="3" t="str">
        <f>VLOOKUP(Table2[[#This Row],[Tulu/kulu liik2]],Table5[],5,FALSE)</f>
        <v>Põhitegevuse kulu</v>
      </c>
    </row>
    <row r="986" spans="1:16" hidden="1" x14ac:dyDescent="0.25">
      <c r="A986" t="str">
        <f t="shared" si="30"/>
        <v>09</v>
      </c>
      <c r="B986" t="s">
        <v>329</v>
      </c>
      <c r="C986" s="3" t="str">
        <f>VLOOKUP(Table2[[#This Row],[Tegevusala]],Table4[],2,FALSE)</f>
        <v xml:space="preserve"> Vinni-Pajusti Gümnaasium</v>
      </c>
      <c r="D986" s="3" t="str">
        <f>VLOOKUP(Table2[[#This Row],[Tegevusala]],Table4[[Tegevusala kood]:[Tegevusala alanimetus]],4,FALSE)</f>
        <v>Põhihariduse otsekulud</v>
      </c>
      <c r="E986" s="3" t="str">
        <f>VLOOKUP(Table2[[#This Row],[Tegevusala nimetus2]],Table4[[Tegevusala nimetus]:[Tegevusala koondnimetus]],2,FALSE)</f>
        <v>Haridus</v>
      </c>
      <c r="F986" t="s">
        <v>1428</v>
      </c>
      <c r="G986" t="s">
        <v>178</v>
      </c>
      <c r="H986" s="40">
        <v>37894</v>
      </c>
      <c r="I986" s="2" t="s">
        <v>1470</v>
      </c>
      <c r="J986">
        <v>5511</v>
      </c>
      <c r="K986" s="3" t="str">
        <f>VLOOKUP(Table2[[#This Row],[Konto]],Table5[[Konto]:[Konto nimetus]],2,FALSE)</f>
        <v>Kinnistute, hoonete ja ruumide majandamiskulud</v>
      </c>
      <c r="L986">
        <v>55</v>
      </c>
      <c r="M986" t="str">
        <f t="shared" si="31"/>
        <v>55</v>
      </c>
      <c r="N986" s="3" t="str">
        <f>VLOOKUP(Table2[[#This Row],[Tulu/kulu liik2]],Table5[[Tulu/kulu liik]:[Kontode koondnimetus]],4,FALSE)</f>
        <v>Muud tegevuskulud</v>
      </c>
      <c r="O986" s="3" t="str">
        <f>VLOOKUP(Table2[[#This Row],[Tulu/kulu liik2]],Table5[],6,FALSE)</f>
        <v>Majandamiskulud</v>
      </c>
      <c r="P986" s="3" t="str">
        <f>VLOOKUP(Table2[[#This Row],[Tulu/kulu liik2]],Table5[],5,FALSE)</f>
        <v>Põhitegevuse kulu</v>
      </c>
    </row>
    <row r="987" spans="1:16" hidden="1" x14ac:dyDescent="0.25">
      <c r="A987" t="str">
        <f t="shared" si="30"/>
        <v>09</v>
      </c>
      <c r="B987" t="s">
        <v>329</v>
      </c>
      <c r="C987" s="3" t="str">
        <f>VLOOKUP(Table2[[#This Row],[Tegevusala]],Table4[],2,FALSE)</f>
        <v xml:space="preserve"> Vinni-Pajusti Gümnaasium</v>
      </c>
      <c r="D987" s="3" t="str">
        <f>VLOOKUP(Table2[[#This Row],[Tegevusala]],Table4[[Tegevusala kood]:[Tegevusala alanimetus]],4,FALSE)</f>
        <v>Põhihariduse otsekulud</v>
      </c>
      <c r="E987" s="3" t="str">
        <f>VLOOKUP(Table2[[#This Row],[Tegevusala nimetus2]],Table4[[Tegevusala nimetus]:[Tegevusala koondnimetus]],2,FALSE)</f>
        <v>Haridus</v>
      </c>
      <c r="F987" t="s">
        <v>1428</v>
      </c>
      <c r="G987" t="s">
        <v>1460</v>
      </c>
      <c r="H987" s="40">
        <v>11000</v>
      </c>
      <c r="I987" s="2" t="s">
        <v>1471</v>
      </c>
      <c r="J987">
        <v>5511</v>
      </c>
      <c r="K987" s="3" t="str">
        <f>VLOOKUP(Table2[[#This Row],[Konto]],Table5[[Konto]:[Konto nimetus]],2,FALSE)</f>
        <v>Kinnistute, hoonete ja ruumide majandamiskulud</v>
      </c>
      <c r="L987">
        <v>55</v>
      </c>
      <c r="M987" t="str">
        <f t="shared" si="31"/>
        <v>55</v>
      </c>
      <c r="N987" s="3" t="str">
        <f>VLOOKUP(Table2[[#This Row],[Tulu/kulu liik2]],Table5[[Tulu/kulu liik]:[Kontode koondnimetus]],4,FALSE)</f>
        <v>Muud tegevuskulud</v>
      </c>
      <c r="O987" s="3" t="str">
        <f>VLOOKUP(Table2[[#This Row],[Tulu/kulu liik2]],Table5[],6,FALSE)</f>
        <v>Majandamiskulud</v>
      </c>
      <c r="P987" s="3" t="str">
        <f>VLOOKUP(Table2[[#This Row],[Tulu/kulu liik2]],Table5[],5,FALSE)</f>
        <v>Põhitegevuse kulu</v>
      </c>
    </row>
    <row r="988" spans="1:16" hidden="1" x14ac:dyDescent="0.25">
      <c r="A988" t="str">
        <f t="shared" si="30"/>
        <v>09</v>
      </c>
      <c r="B988" t="s">
        <v>329</v>
      </c>
      <c r="C988" s="3" t="str">
        <f>VLOOKUP(Table2[[#This Row],[Tegevusala]],Table4[],2,FALSE)</f>
        <v xml:space="preserve"> Vinni-Pajusti Gümnaasium</v>
      </c>
      <c r="D988" s="3" t="str">
        <f>VLOOKUP(Table2[[#This Row],[Tegevusala]],Table4[[Tegevusala kood]:[Tegevusala alanimetus]],4,FALSE)</f>
        <v>Põhihariduse otsekulud</v>
      </c>
      <c r="E988" s="3" t="str">
        <f>VLOOKUP(Table2[[#This Row],[Tegevusala nimetus2]],Table4[[Tegevusala nimetus]:[Tegevusala koondnimetus]],2,FALSE)</f>
        <v>Haridus</v>
      </c>
      <c r="F988" t="s">
        <v>1428</v>
      </c>
      <c r="G988" t="s">
        <v>194</v>
      </c>
      <c r="H988" s="40">
        <v>10000</v>
      </c>
      <c r="I988" s="2" t="s">
        <v>1472</v>
      </c>
      <c r="J988">
        <v>5511</v>
      </c>
      <c r="K988" s="3" t="str">
        <f>VLOOKUP(Table2[[#This Row],[Konto]],Table5[[Konto]:[Konto nimetus]],2,FALSE)</f>
        <v>Kinnistute, hoonete ja ruumide majandamiskulud</v>
      </c>
      <c r="L988">
        <v>55</v>
      </c>
      <c r="M988" t="str">
        <f t="shared" si="31"/>
        <v>55</v>
      </c>
      <c r="N988" s="3" t="str">
        <f>VLOOKUP(Table2[[#This Row],[Tulu/kulu liik2]],Table5[[Tulu/kulu liik]:[Kontode koondnimetus]],4,FALSE)</f>
        <v>Muud tegevuskulud</v>
      </c>
      <c r="O988" s="3" t="str">
        <f>VLOOKUP(Table2[[#This Row],[Tulu/kulu liik2]],Table5[],6,FALSE)</f>
        <v>Majandamiskulud</v>
      </c>
      <c r="P988" s="3" t="str">
        <f>VLOOKUP(Table2[[#This Row],[Tulu/kulu liik2]],Table5[],5,FALSE)</f>
        <v>Põhitegevuse kulu</v>
      </c>
    </row>
    <row r="989" spans="1:16" hidden="1" x14ac:dyDescent="0.25">
      <c r="A989" t="str">
        <f t="shared" si="30"/>
        <v>09</v>
      </c>
      <c r="B989" t="s">
        <v>329</v>
      </c>
      <c r="C989" s="3" t="str">
        <f>VLOOKUP(Table2[[#This Row],[Tegevusala]],Table4[],2,FALSE)</f>
        <v xml:space="preserve"> Vinni-Pajusti Gümnaasium</v>
      </c>
      <c r="D989" s="3" t="str">
        <f>VLOOKUP(Table2[[#This Row],[Tegevusala]],Table4[[Tegevusala kood]:[Tegevusala alanimetus]],4,FALSE)</f>
        <v>Põhihariduse otsekulud</v>
      </c>
      <c r="E989" s="3" t="str">
        <f>VLOOKUP(Table2[[#This Row],[Tegevusala nimetus2]],Table4[[Tegevusala nimetus]:[Tegevusala koondnimetus]],2,FALSE)</f>
        <v>Haridus</v>
      </c>
      <c r="F989" t="s">
        <v>1428</v>
      </c>
      <c r="G989" t="s">
        <v>1461</v>
      </c>
      <c r="H989" s="40">
        <v>850</v>
      </c>
      <c r="J989">
        <v>5511</v>
      </c>
      <c r="K989" s="3" t="str">
        <f>VLOOKUP(Table2[[#This Row],[Konto]],Table5[[Konto]:[Konto nimetus]],2,FALSE)</f>
        <v>Kinnistute, hoonete ja ruumide majandamiskulud</v>
      </c>
      <c r="L989">
        <v>55</v>
      </c>
      <c r="M989" t="str">
        <f t="shared" si="31"/>
        <v>55</v>
      </c>
      <c r="N989" s="3" t="str">
        <f>VLOOKUP(Table2[[#This Row],[Tulu/kulu liik2]],Table5[[Tulu/kulu liik]:[Kontode koondnimetus]],4,FALSE)</f>
        <v>Muud tegevuskulud</v>
      </c>
      <c r="O989" s="3" t="str">
        <f>VLOOKUP(Table2[[#This Row],[Tulu/kulu liik2]],Table5[],6,FALSE)</f>
        <v>Majandamiskulud</v>
      </c>
      <c r="P989" s="3" t="str">
        <f>VLOOKUP(Table2[[#This Row],[Tulu/kulu liik2]],Table5[],5,FALSE)</f>
        <v>Põhitegevuse kulu</v>
      </c>
    </row>
    <row r="990" spans="1:16" hidden="1" x14ac:dyDescent="0.25">
      <c r="A990" t="str">
        <f t="shared" si="30"/>
        <v>09</v>
      </c>
      <c r="B990" t="s">
        <v>329</v>
      </c>
      <c r="C990" s="3" t="str">
        <f>VLOOKUP(Table2[[#This Row],[Tegevusala]],Table4[],2,FALSE)</f>
        <v xml:space="preserve"> Vinni-Pajusti Gümnaasium</v>
      </c>
      <c r="D990" s="3" t="str">
        <f>VLOOKUP(Table2[[#This Row],[Tegevusala]],Table4[[Tegevusala kood]:[Tegevusala alanimetus]],4,FALSE)</f>
        <v>Põhihariduse otsekulud</v>
      </c>
      <c r="E990" s="3" t="str">
        <f>VLOOKUP(Table2[[#This Row],[Tegevusala nimetus2]],Table4[[Tegevusala nimetus]:[Tegevusala koondnimetus]],2,FALSE)</f>
        <v>Haridus</v>
      </c>
      <c r="F990" t="s">
        <v>1428</v>
      </c>
      <c r="G990" t="s">
        <v>1462</v>
      </c>
      <c r="H990" s="40">
        <v>986</v>
      </c>
      <c r="J990">
        <v>5511</v>
      </c>
      <c r="K990" s="3" t="str">
        <f>VLOOKUP(Table2[[#This Row],[Konto]],Table5[[Konto]:[Konto nimetus]],2,FALSE)</f>
        <v>Kinnistute, hoonete ja ruumide majandamiskulud</v>
      </c>
      <c r="L990">
        <v>55</v>
      </c>
      <c r="M990" t="str">
        <f t="shared" si="31"/>
        <v>55</v>
      </c>
      <c r="N990" s="3" t="str">
        <f>VLOOKUP(Table2[[#This Row],[Tulu/kulu liik2]],Table5[[Tulu/kulu liik]:[Kontode koondnimetus]],4,FALSE)</f>
        <v>Muud tegevuskulud</v>
      </c>
      <c r="O990" s="3" t="str">
        <f>VLOOKUP(Table2[[#This Row],[Tulu/kulu liik2]],Table5[],6,FALSE)</f>
        <v>Majandamiskulud</v>
      </c>
      <c r="P990" s="3" t="str">
        <f>VLOOKUP(Table2[[#This Row],[Tulu/kulu liik2]],Table5[],5,FALSE)</f>
        <v>Põhitegevuse kulu</v>
      </c>
    </row>
    <row r="991" spans="1:16" hidden="1" x14ac:dyDescent="0.25">
      <c r="A991" t="str">
        <f t="shared" si="30"/>
        <v>09</v>
      </c>
      <c r="B991" t="s">
        <v>329</v>
      </c>
      <c r="C991" s="3" t="str">
        <f>VLOOKUP(Table2[[#This Row],[Tegevusala]],Table4[],2,FALSE)</f>
        <v xml:space="preserve"> Vinni-Pajusti Gümnaasium</v>
      </c>
      <c r="D991" s="3" t="str">
        <f>VLOOKUP(Table2[[#This Row],[Tegevusala]],Table4[[Tegevusala kood]:[Tegevusala alanimetus]],4,FALSE)</f>
        <v>Põhihariduse otsekulud</v>
      </c>
      <c r="E991" s="3" t="str">
        <f>VLOOKUP(Table2[[#This Row],[Tegevusala nimetus2]],Table4[[Tegevusala nimetus]:[Tegevusala koondnimetus]],2,FALSE)</f>
        <v>Haridus</v>
      </c>
      <c r="F991" t="s">
        <v>1428</v>
      </c>
      <c r="G991" t="s">
        <v>1268</v>
      </c>
      <c r="H991" s="40">
        <v>1420</v>
      </c>
      <c r="I991" s="2" t="s">
        <v>1473</v>
      </c>
      <c r="J991">
        <v>5511</v>
      </c>
      <c r="K991" s="3" t="str">
        <f>VLOOKUP(Table2[[#This Row],[Konto]],Table5[[Konto]:[Konto nimetus]],2,FALSE)</f>
        <v>Kinnistute, hoonete ja ruumide majandamiskulud</v>
      </c>
      <c r="L991">
        <v>55</v>
      </c>
      <c r="M991" t="str">
        <f t="shared" si="31"/>
        <v>55</v>
      </c>
      <c r="N991" s="3" t="str">
        <f>VLOOKUP(Table2[[#This Row],[Tulu/kulu liik2]],Table5[[Tulu/kulu liik]:[Kontode koondnimetus]],4,FALSE)</f>
        <v>Muud tegevuskulud</v>
      </c>
      <c r="O991" s="3" t="str">
        <f>VLOOKUP(Table2[[#This Row],[Tulu/kulu liik2]],Table5[],6,FALSE)</f>
        <v>Majandamiskulud</v>
      </c>
      <c r="P991" s="3" t="str">
        <f>VLOOKUP(Table2[[#This Row],[Tulu/kulu liik2]],Table5[],5,FALSE)</f>
        <v>Põhitegevuse kulu</v>
      </c>
    </row>
    <row r="992" spans="1:16" hidden="1" x14ac:dyDescent="0.25">
      <c r="A992" t="str">
        <f t="shared" si="30"/>
        <v>09</v>
      </c>
      <c r="B992" t="s">
        <v>329</v>
      </c>
      <c r="C992" s="3" t="str">
        <f>VLOOKUP(Table2[[#This Row],[Tegevusala]],Table4[],2,FALSE)</f>
        <v xml:space="preserve"> Vinni-Pajusti Gümnaasium</v>
      </c>
      <c r="D992" s="3" t="str">
        <f>VLOOKUP(Table2[[#This Row],[Tegevusala]],Table4[[Tegevusala kood]:[Tegevusala alanimetus]],4,FALSE)</f>
        <v>Põhihariduse otsekulud</v>
      </c>
      <c r="E992" s="3" t="str">
        <f>VLOOKUP(Table2[[#This Row],[Tegevusala nimetus2]],Table4[[Tegevusala nimetus]:[Tegevusala koondnimetus]],2,FALSE)</f>
        <v>Haridus</v>
      </c>
      <c r="F992" t="s">
        <v>1428</v>
      </c>
      <c r="G992" t="s">
        <v>1463</v>
      </c>
      <c r="H992" s="40">
        <v>922</v>
      </c>
      <c r="J992">
        <v>5511</v>
      </c>
      <c r="K992" s="3" t="str">
        <f>VLOOKUP(Table2[[#This Row],[Konto]],Table5[[Konto]:[Konto nimetus]],2,FALSE)</f>
        <v>Kinnistute, hoonete ja ruumide majandamiskulud</v>
      </c>
      <c r="L992">
        <v>55</v>
      </c>
      <c r="M992" t="str">
        <f t="shared" si="31"/>
        <v>55</v>
      </c>
      <c r="N992" s="3" t="str">
        <f>VLOOKUP(Table2[[#This Row],[Tulu/kulu liik2]],Table5[[Tulu/kulu liik]:[Kontode koondnimetus]],4,FALSE)</f>
        <v>Muud tegevuskulud</v>
      </c>
      <c r="O992" s="3" t="str">
        <f>VLOOKUP(Table2[[#This Row],[Tulu/kulu liik2]],Table5[],6,FALSE)</f>
        <v>Majandamiskulud</v>
      </c>
      <c r="P992" s="3" t="str">
        <f>VLOOKUP(Table2[[#This Row],[Tulu/kulu liik2]],Table5[],5,FALSE)</f>
        <v>Põhitegevuse kulu</v>
      </c>
    </row>
    <row r="993" spans="1:16" hidden="1" x14ac:dyDescent="0.25">
      <c r="A993" t="str">
        <f t="shared" si="30"/>
        <v>09</v>
      </c>
      <c r="B993" t="s">
        <v>329</v>
      </c>
      <c r="C993" s="3" t="str">
        <f>VLOOKUP(Table2[[#This Row],[Tegevusala]],Table4[],2,FALSE)</f>
        <v xml:space="preserve"> Vinni-Pajusti Gümnaasium</v>
      </c>
      <c r="D993" s="3" t="str">
        <f>VLOOKUP(Table2[[#This Row],[Tegevusala]],Table4[[Tegevusala kood]:[Tegevusala alanimetus]],4,FALSE)</f>
        <v>Põhihariduse otsekulud</v>
      </c>
      <c r="E993" s="3" t="str">
        <f>VLOOKUP(Table2[[#This Row],[Tegevusala nimetus2]],Table4[[Tegevusala nimetus]:[Tegevusala koondnimetus]],2,FALSE)</f>
        <v>Haridus</v>
      </c>
      <c r="F993" t="s">
        <v>1428</v>
      </c>
      <c r="G993" t="s">
        <v>1464</v>
      </c>
      <c r="H993" s="40">
        <v>940</v>
      </c>
      <c r="J993">
        <v>5511</v>
      </c>
      <c r="K993" s="3" t="str">
        <f>VLOOKUP(Table2[[#This Row],[Konto]],Table5[[Konto]:[Konto nimetus]],2,FALSE)</f>
        <v>Kinnistute, hoonete ja ruumide majandamiskulud</v>
      </c>
      <c r="L993">
        <v>55</v>
      </c>
      <c r="M993" t="str">
        <f t="shared" si="31"/>
        <v>55</v>
      </c>
      <c r="N993" s="3" t="str">
        <f>VLOOKUP(Table2[[#This Row],[Tulu/kulu liik2]],Table5[[Tulu/kulu liik]:[Kontode koondnimetus]],4,FALSE)</f>
        <v>Muud tegevuskulud</v>
      </c>
      <c r="O993" s="3" t="str">
        <f>VLOOKUP(Table2[[#This Row],[Tulu/kulu liik2]],Table5[],6,FALSE)</f>
        <v>Majandamiskulud</v>
      </c>
      <c r="P993" s="3" t="str">
        <f>VLOOKUP(Table2[[#This Row],[Tulu/kulu liik2]],Table5[],5,FALSE)</f>
        <v>Põhitegevuse kulu</v>
      </c>
    </row>
    <row r="994" spans="1:16" hidden="1" x14ac:dyDescent="0.25">
      <c r="A994" t="str">
        <f t="shared" si="30"/>
        <v>09</v>
      </c>
      <c r="B994" t="s">
        <v>329</v>
      </c>
      <c r="C994" s="3" t="str">
        <f>VLOOKUP(Table2[[#This Row],[Tegevusala]],Table4[],2,FALSE)</f>
        <v xml:space="preserve"> Vinni-Pajusti Gümnaasium</v>
      </c>
      <c r="D994" s="3" t="str">
        <f>VLOOKUP(Table2[[#This Row],[Tegevusala]],Table4[[Tegevusala kood]:[Tegevusala alanimetus]],4,FALSE)</f>
        <v>Põhihariduse otsekulud</v>
      </c>
      <c r="E994" s="3" t="str">
        <f>VLOOKUP(Table2[[#This Row],[Tegevusala nimetus2]],Table4[[Tegevusala nimetus]:[Tegevusala koondnimetus]],2,FALSE)</f>
        <v>Haridus</v>
      </c>
      <c r="F994" t="s">
        <v>1428</v>
      </c>
      <c r="G994" t="s">
        <v>1465</v>
      </c>
      <c r="H994" s="40">
        <v>385</v>
      </c>
      <c r="J994">
        <v>5511</v>
      </c>
      <c r="K994" s="3" t="str">
        <f>VLOOKUP(Table2[[#This Row],[Konto]],Table5[[Konto]:[Konto nimetus]],2,FALSE)</f>
        <v>Kinnistute, hoonete ja ruumide majandamiskulud</v>
      </c>
      <c r="L994">
        <v>55</v>
      </c>
      <c r="M994" t="str">
        <f t="shared" si="31"/>
        <v>55</v>
      </c>
      <c r="N994" s="3" t="str">
        <f>VLOOKUP(Table2[[#This Row],[Tulu/kulu liik2]],Table5[[Tulu/kulu liik]:[Kontode koondnimetus]],4,FALSE)</f>
        <v>Muud tegevuskulud</v>
      </c>
      <c r="O994" s="3" t="str">
        <f>VLOOKUP(Table2[[#This Row],[Tulu/kulu liik2]],Table5[],6,FALSE)</f>
        <v>Majandamiskulud</v>
      </c>
      <c r="P994" s="3" t="str">
        <f>VLOOKUP(Table2[[#This Row],[Tulu/kulu liik2]],Table5[],5,FALSE)</f>
        <v>Põhitegevuse kulu</v>
      </c>
    </row>
    <row r="995" spans="1:16" hidden="1" x14ac:dyDescent="0.25">
      <c r="A995" t="str">
        <f t="shared" si="30"/>
        <v>09</v>
      </c>
      <c r="B995" t="s">
        <v>329</v>
      </c>
      <c r="C995" s="3" t="str">
        <f>VLOOKUP(Table2[[#This Row],[Tegevusala]],Table4[],2,FALSE)</f>
        <v xml:space="preserve"> Vinni-Pajusti Gümnaasium</v>
      </c>
      <c r="D995" s="3" t="str">
        <f>VLOOKUP(Table2[[#This Row],[Tegevusala]],Table4[[Tegevusala kood]:[Tegevusala alanimetus]],4,FALSE)</f>
        <v>Põhihariduse otsekulud</v>
      </c>
      <c r="E995" s="3" t="str">
        <f>VLOOKUP(Table2[[#This Row],[Tegevusala nimetus2]],Table4[[Tegevusala nimetus]:[Tegevusala koondnimetus]],2,FALSE)</f>
        <v>Haridus</v>
      </c>
      <c r="F995" t="s">
        <v>1428</v>
      </c>
      <c r="G995" t="s">
        <v>1466</v>
      </c>
      <c r="H995" s="40">
        <v>260</v>
      </c>
      <c r="J995">
        <v>5511</v>
      </c>
      <c r="K995" s="3" t="str">
        <f>VLOOKUP(Table2[[#This Row],[Konto]],Table5[[Konto]:[Konto nimetus]],2,FALSE)</f>
        <v>Kinnistute, hoonete ja ruumide majandamiskulud</v>
      </c>
      <c r="L995">
        <v>55</v>
      </c>
      <c r="M995" t="str">
        <f t="shared" si="31"/>
        <v>55</v>
      </c>
      <c r="N995" s="3" t="str">
        <f>VLOOKUP(Table2[[#This Row],[Tulu/kulu liik2]],Table5[[Tulu/kulu liik]:[Kontode koondnimetus]],4,FALSE)</f>
        <v>Muud tegevuskulud</v>
      </c>
      <c r="O995" s="3" t="str">
        <f>VLOOKUP(Table2[[#This Row],[Tulu/kulu liik2]],Table5[],6,FALSE)</f>
        <v>Majandamiskulud</v>
      </c>
      <c r="P995" s="3" t="str">
        <f>VLOOKUP(Table2[[#This Row],[Tulu/kulu liik2]],Table5[],5,FALSE)</f>
        <v>Põhitegevuse kulu</v>
      </c>
    </row>
    <row r="996" spans="1:16" hidden="1" x14ac:dyDescent="0.25">
      <c r="A996" t="str">
        <f t="shared" si="30"/>
        <v>09</v>
      </c>
      <c r="B996" t="s">
        <v>329</v>
      </c>
      <c r="C996" s="3" t="str">
        <f>VLOOKUP(Table2[[#This Row],[Tegevusala]],Table4[],2,FALSE)</f>
        <v xml:space="preserve"> Vinni-Pajusti Gümnaasium</v>
      </c>
      <c r="D996" s="3" t="str">
        <f>VLOOKUP(Table2[[#This Row],[Tegevusala]],Table4[[Tegevusala kood]:[Tegevusala alanimetus]],4,FALSE)</f>
        <v>Põhihariduse otsekulud</v>
      </c>
      <c r="E996" s="3" t="str">
        <f>VLOOKUP(Table2[[#This Row],[Tegevusala nimetus2]],Table4[[Tegevusala nimetus]:[Tegevusala koondnimetus]],2,FALSE)</f>
        <v>Haridus</v>
      </c>
      <c r="F996" t="s">
        <v>1428</v>
      </c>
      <c r="G996" t="s">
        <v>1467</v>
      </c>
      <c r="H996" s="40">
        <v>2500</v>
      </c>
      <c r="I996" s="2" t="s">
        <v>1474</v>
      </c>
      <c r="J996">
        <v>5511</v>
      </c>
      <c r="K996" s="3" t="str">
        <f>VLOOKUP(Table2[[#This Row],[Konto]],Table5[[Konto]:[Konto nimetus]],2,FALSE)</f>
        <v>Kinnistute, hoonete ja ruumide majandamiskulud</v>
      </c>
      <c r="L996">
        <v>55</v>
      </c>
      <c r="M996" t="str">
        <f t="shared" si="31"/>
        <v>55</v>
      </c>
      <c r="N996" s="3" t="str">
        <f>VLOOKUP(Table2[[#This Row],[Tulu/kulu liik2]],Table5[[Tulu/kulu liik]:[Kontode koondnimetus]],4,FALSE)</f>
        <v>Muud tegevuskulud</v>
      </c>
      <c r="O996" s="3" t="str">
        <f>VLOOKUP(Table2[[#This Row],[Tulu/kulu liik2]],Table5[],6,FALSE)</f>
        <v>Majandamiskulud</v>
      </c>
      <c r="P996" s="3" t="str">
        <f>VLOOKUP(Table2[[#This Row],[Tulu/kulu liik2]],Table5[],5,FALSE)</f>
        <v>Põhitegevuse kulu</v>
      </c>
    </row>
    <row r="997" spans="1:16" hidden="1" x14ac:dyDescent="0.25">
      <c r="A997" t="str">
        <f t="shared" si="30"/>
        <v>09</v>
      </c>
      <c r="B997" t="s">
        <v>329</v>
      </c>
      <c r="C997" s="3" t="str">
        <f>VLOOKUP(Table2[[#This Row],[Tegevusala]],Table4[],2,FALSE)</f>
        <v xml:space="preserve"> Vinni-Pajusti Gümnaasium</v>
      </c>
      <c r="D997" s="3" t="str">
        <f>VLOOKUP(Table2[[#This Row],[Tegevusala]],Table4[[Tegevusala kood]:[Tegevusala alanimetus]],4,FALSE)</f>
        <v>Põhihariduse otsekulud</v>
      </c>
      <c r="E997" s="3" t="str">
        <f>VLOOKUP(Table2[[#This Row],[Tegevusala nimetus2]],Table4[[Tegevusala nimetus]:[Tegevusala koondnimetus]],2,FALSE)</f>
        <v>Haridus</v>
      </c>
      <c r="F997" t="s">
        <v>1428</v>
      </c>
      <c r="G997" t="s">
        <v>1468</v>
      </c>
      <c r="H997" s="40">
        <v>10000</v>
      </c>
      <c r="I997" s="2" t="s">
        <v>1475</v>
      </c>
      <c r="J997">
        <v>5511</v>
      </c>
      <c r="K997" s="3" t="str">
        <f>VLOOKUP(Table2[[#This Row],[Konto]],Table5[[Konto]:[Konto nimetus]],2,FALSE)</f>
        <v>Kinnistute, hoonete ja ruumide majandamiskulud</v>
      </c>
      <c r="L997">
        <v>55</v>
      </c>
      <c r="M997" t="str">
        <f t="shared" si="31"/>
        <v>55</v>
      </c>
      <c r="N997" s="3" t="str">
        <f>VLOOKUP(Table2[[#This Row],[Tulu/kulu liik2]],Table5[[Tulu/kulu liik]:[Kontode koondnimetus]],4,FALSE)</f>
        <v>Muud tegevuskulud</v>
      </c>
      <c r="O997" s="3" t="str">
        <f>VLOOKUP(Table2[[#This Row],[Tulu/kulu liik2]],Table5[],6,FALSE)</f>
        <v>Majandamiskulud</v>
      </c>
      <c r="P997" s="3" t="str">
        <f>VLOOKUP(Table2[[#This Row],[Tulu/kulu liik2]],Table5[],5,FALSE)</f>
        <v>Põhitegevuse kulu</v>
      </c>
    </row>
    <row r="998" spans="1:16" hidden="1" x14ac:dyDescent="0.25">
      <c r="A998" t="str">
        <f t="shared" si="30"/>
        <v>09</v>
      </c>
      <c r="B998" t="s">
        <v>329</v>
      </c>
      <c r="C998" s="3" t="str">
        <f>VLOOKUP(Table2[[#This Row],[Tegevusala]],Table4[],2,FALSE)</f>
        <v xml:space="preserve"> Vinni-Pajusti Gümnaasium</v>
      </c>
      <c r="D998" s="3" t="str">
        <f>VLOOKUP(Table2[[#This Row],[Tegevusala]],Table4[[Tegevusala kood]:[Tegevusala alanimetus]],4,FALSE)</f>
        <v>Põhihariduse otsekulud</v>
      </c>
      <c r="E998" s="3" t="str">
        <f>VLOOKUP(Table2[[#This Row],[Tegevusala nimetus2]],Table4[[Tegevusala nimetus]:[Tegevusala koondnimetus]],2,FALSE)</f>
        <v>Haridus</v>
      </c>
      <c r="F998" t="s">
        <v>1428</v>
      </c>
      <c r="G998" t="s">
        <v>1485</v>
      </c>
      <c r="H998" s="40">
        <v>2000</v>
      </c>
      <c r="J998">
        <v>5514</v>
      </c>
      <c r="K998" s="3" t="str">
        <f>VLOOKUP(Table2[[#This Row],[Konto]],Table5[[Konto]:[Konto nimetus]],2,FALSE)</f>
        <v>Info- ja kommunikatsioonitehnoliigised kulud</v>
      </c>
      <c r="L998">
        <v>55</v>
      </c>
      <c r="M998" t="str">
        <f t="shared" si="31"/>
        <v>55</v>
      </c>
      <c r="N998" s="3" t="str">
        <f>VLOOKUP(Table2[[#This Row],[Tulu/kulu liik2]],Table5[[Tulu/kulu liik]:[Kontode koondnimetus]],4,FALSE)</f>
        <v>Muud tegevuskulud</v>
      </c>
      <c r="O998" s="3" t="str">
        <f>VLOOKUP(Table2[[#This Row],[Tulu/kulu liik2]],Table5[],6,FALSE)</f>
        <v>Majandamiskulud</v>
      </c>
      <c r="P998" s="3" t="str">
        <f>VLOOKUP(Table2[[#This Row],[Tulu/kulu liik2]],Table5[],5,FALSE)</f>
        <v>Põhitegevuse kulu</v>
      </c>
    </row>
    <row r="999" spans="1:16" hidden="1" x14ac:dyDescent="0.25">
      <c r="A999" t="str">
        <f t="shared" si="30"/>
        <v>09</v>
      </c>
      <c r="B999" t="s">
        <v>329</v>
      </c>
      <c r="C999" s="3" t="str">
        <f>VLOOKUP(Table2[[#This Row],[Tegevusala]],Table4[],2,FALSE)</f>
        <v xml:space="preserve"> Vinni-Pajusti Gümnaasium</v>
      </c>
      <c r="D999" s="3" t="str">
        <f>VLOOKUP(Table2[[#This Row],[Tegevusala]],Table4[[Tegevusala kood]:[Tegevusala alanimetus]],4,FALSE)</f>
        <v>Põhihariduse otsekulud</v>
      </c>
      <c r="E999" s="3" t="str">
        <f>VLOOKUP(Table2[[#This Row],[Tegevusala nimetus2]],Table4[[Tegevusala nimetus]:[Tegevusala koondnimetus]],2,FALSE)</f>
        <v>Haridus</v>
      </c>
      <c r="F999" t="s">
        <v>1428</v>
      </c>
      <c r="G999" t="s">
        <v>1486</v>
      </c>
      <c r="H999" s="40">
        <v>2500</v>
      </c>
      <c r="J999">
        <v>5514</v>
      </c>
      <c r="K999" s="3" t="str">
        <f>VLOOKUP(Table2[[#This Row],[Konto]],Table5[[Konto]:[Konto nimetus]],2,FALSE)</f>
        <v>Info- ja kommunikatsioonitehnoliigised kulud</v>
      </c>
      <c r="L999">
        <v>55</v>
      </c>
      <c r="M999" t="str">
        <f t="shared" si="31"/>
        <v>55</v>
      </c>
      <c r="N999" s="3" t="str">
        <f>VLOOKUP(Table2[[#This Row],[Tulu/kulu liik2]],Table5[[Tulu/kulu liik]:[Kontode koondnimetus]],4,FALSE)</f>
        <v>Muud tegevuskulud</v>
      </c>
      <c r="O999" s="3" t="str">
        <f>VLOOKUP(Table2[[#This Row],[Tulu/kulu liik2]],Table5[],6,FALSE)</f>
        <v>Majandamiskulud</v>
      </c>
      <c r="P999" s="3" t="str">
        <f>VLOOKUP(Table2[[#This Row],[Tulu/kulu liik2]],Table5[],5,FALSE)</f>
        <v>Põhitegevuse kulu</v>
      </c>
    </row>
    <row r="1000" spans="1:16" hidden="1" x14ac:dyDescent="0.25">
      <c r="A1000" t="str">
        <f t="shared" si="30"/>
        <v>09</v>
      </c>
      <c r="B1000" t="s">
        <v>329</v>
      </c>
      <c r="C1000" s="3" t="str">
        <f>VLOOKUP(Table2[[#This Row],[Tegevusala]],Table4[],2,FALSE)</f>
        <v xml:space="preserve"> Vinni-Pajusti Gümnaasium</v>
      </c>
      <c r="D1000" s="3" t="str">
        <f>VLOOKUP(Table2[[#This Row],[Tegevusala]],Table4[[Tegevusala kood]:[Tegevusala alanimetus]],4,FALSE)</f>
        <v>Põhihariduse otsekulud</v>
      </c>
      <c r="E1000" s="3" t="str">
        <f>VLOOKUP(Table2[[#This Row],[Tegevusala nimetus2]],Table4[[Tegevusala nimetus]:[Tegevusala koondnimetus]],2,FALSE)</f>
        <v>Haridus</v>
      </c>
      <c r="F1000" t="s">
        <v>1428</v>
      </c>
      <c r="G1000" t="s">
        <v>2038</v>
      </c>
      <c r="H1000" s="40">
        <v>60000</v>
      </c>
      <c r="J1000">
        <v>1551</v>
      </c>
      <c r="K1000" s="3" t="str">
        <f>VLOOKUP(Table2[[#This Row],[Konto]],Table5[[Konto]:[Konto nimetus]],2,FALSE)</f>
        <v>Rajatiste ja hoonete soetamine ja renoveerimine</v>
      </c>
      <c r="L1000">
        <v>15</v>
      </c>
      <c r="M1000" t="str">
        <f t="shared" si="31"/>
        <v>15</v>
      </c>
      <c r="N1000" s="3" t="str">
        <f>VLOOKUP(Table2[[#This Row],[Tulu/kulu liik2]],Table5[[Tulu/kulu liik]:[Kontode koondnimetus]],4,FALSE)</f>
        <v>Põhivara soetus (-)</v>
      </c>
      <c r="O1000" s="34" t="str">
        <f>VLOOKUP(Table2[[#This Row],[Tulu/kulu liik2]],Table5[],6,FALSE)</f>
        <v>Põhivara soetus (-)</v>
      </c>
      <c r="P1000" s="3" t="str">
        <f>VLOOKUP(Table2[[#This Row],[Tulu/kulu liik2]],Table5[],5,FALSE)</f>
        <v>Investeerimistegevus</v>
      </c>
    </row>
    <row r="1001" spans="1:16" hidden="1" x14ac:dyDescent="0.25">
      <c r="A1001" s="8" t="str">
        <f t="shared" si="30"/>
        <v>09</v>
      </c>
      <c r="B1001" s="8" t="s">
        <v>329</v>
      </c>
      <c r="C1001" s="32" t="str">
        <f>VLOOKUP(Table2[[#This Row],[Tegevusala]],Table4[],2,FALSE)</f>
        <v xml:space="preserve"> Vinni-Pajusti Gümnaasium</v>
      </c>
      <c r="D1001" s="32" t="str">
        <f>VLOOKUP(Table2[[#This Row],[Tegevusala]],Table4[[Tegevusala kood]:[Tegevusala alanimetus]],4,FALSE)</f>
        <v>Põhihariduse otsekulud</v>
      </c>
      <c r="E1001" s="32" t="str">
        <f>VLOOKUP(Table2[[#This Row],[Tegevusala nimetus2]],Table4[[Tegevusala nimetus]:[Tegevusala koondnimetus]],2,FALSE)</f>
        <v>Haridus</v>
      </c>
      <c r="F1001" s="8" t="s">
        <v>1428</v>
      </c>
      <c r="G1001" s="8" t="s">
        <v>1118</v>
      </c>
      <c r="H1001" s="43">
        <v>70525</v>
      </c>
      <c r="I1001" s="9" t="s">
        <v>2175</v>
      </c>
      <c r="J1001" s="8">
        <v>5521</v>
      </c>
      <c r="K1001" s="32" t="str">
        <f>VLOOKUP(Table2[[#This Row],[Konto]],Table5[[Konto]:[Konto nimetus]],2,FALSE)</f>
        <v>Toiduained ja toitlustusteenused</v>
      </c>
      <c r="L1001" s="8">
        <v>55</v>
      </c>
      <c r="M1001" s="8" t="str">
        <f t="shared" si="31"/>
        <v>55</v>
      </c>
      <c r="N1001" s="32" t="str">
        <f>VLOOKUP(Table2[[#This Row],[Tulu/kulu liik2]],Table5[[Tulu/kulu liik]:[Kontode koondnimetus]],4,FALSE)</f>
        <v>Muud tegevuskulud</v>
      </c>
      <c r="O1001" s="32" t="str">
        <f>VLOOKUP(Table2[[#This Row],[Tulu/kulu liik2]],Table5[],6,FALSE)</f>
        <v>Majandamiskulud</v>
      </c>
      <c r="P1001" s="32" t="str">
        <f>VLOOKUP(Table2[[#This Row],[Tulu/kulu liik2]],Table5[],5,FALSE)</f>
        <v>Põhitegevuse kulu</v>
      </c>
    </row>
    <row r="1002" spans="1:16" hidden="1" x14ac:dyDescent="0.25">
      <c r="A1002" s="77" t="str">
        <f t="shared" si="30"/>
        <v>09</v>
      </c>
      <c r="B1002" s="77" t="s">
        <v>329</v>
      </c>
      <c r="C1002" s="79" t="str">
        <f>VLOOKUP(Table2[[#This Row],[Tegevusala]],Table4[],2,FALSE)</f>
        <v xml:space="preserve"> Vinni-Pajusti Gümnaasium</v>
      </c>
      <c r="D1002" s="79" t="str">
        <f>VLOOKUP(Table2[[#This Row],[Tegevusala]],Table4[[Tegevusala kood]:[Tegevusala alanimetus]],4,FALSE)</f>
        <v>Põhihariduse otsekulud</v>
      </c>
      <c r="E1002" s="79" t="str">
        <f>VLOOKUP(Table2[[#This Row],[Tegevusala nimetus2]],Table4[[Tegevusala nimetus]:[Tegevusala koondnimetus]],2,FALSE)</f>
        <v>Haridus</v>
      </c>
      <c r="F1002" s="77" t="s">
        <v>1428</v>
      </c>
      <c r="G1002" s="77" t="s">
        <v>1429</v>
      </c>
      <c r="H1002" s="78">
        <v>10000</v>
      </c>
      <c r="I1002" s="80" t="s">
        <v>1430</v>
      </c>
      <c r="J1002" s="77">
        <v>5515</v>
      </c>
      <c r="K1002" s="79" t="str">
        <f>VLOOKUP(Table2[[#This Row],[Konto]],Table5[[Konto]:[Konto nimetus]],2,FALSE)</f>
        <v>Inventari kulud, v.a infotehnoloogia ja kaitseotstarbelised kulud</v>
      </c>
      <c r="L1002" s="77">
        <v>55</v>
      </c>
      <c r="M1002" s="77" t="str">
        <f t="shared" si="31"/>
        <v>55</v>
      </c>
      <c r="N1002" s="79" t="str">
        <f>VLOOKUP(Table2[[#This Row],[Tulu/kulu liik2]],Table5[[Tulu/kulu liik]:[Kontode koondnimetus]],4,FALSE)</f>
        <v>Muud tegevuskulud</v>
      </c>
      <c r="O1002" s="79" t="str">
        <f>VLOOKUP(Table2[[#This Row],[Tulu/kulu liik2]],Table5[],6,FALSE)</f>
        <v>Majandamiskulud</v>
      </c>
      <c r="P1002" s="79" t="str">
        <f>VLOOKUP(Table2[[#This Row],[Tulu/kulu liik2]],Table5[],5,FALSE)</f>
        <v>Põhitegevuse kulu</v>
      </c>
    </row>
    <row r="1003" spans="1:16" hidden="1" x14ac:dyDescent="0.25">
      <c r="A1003" s="77" t="str">
        <f t="shared" si="30"/>
        <v>09</v>
      </c>
      <c r="B1003" s="77" t="s">
        <v>329</v>
      </c>
      <c r="C1003" s="79" t="str">
        <f>VLOOKUP(Table2[[#This Row],[Tegevusala]],Table4[],2,FALSE)</f>
        <v xml:space="preserve"> Vinni-Pajusti Gümnaasium</v>
      </c>
      <c r="D1003" s="79" t="str">
        <f>VLOOKUP(Table2[[#This Row],[Tegevusala]],Table4[[Tegevusala kood]:[Tegevusala alanimetus]],4,FALSE)</f>
        <v>Põhihariduse otsekulud</v>
      </c>
      <c r="E1003" s="79" t="str">
        <f>VLOOKUP(Table2[[#This Row],[Tegevusala nimetus2]],Table4[[Tegevusala nimetus]:[Tegevusala koondnimetus]],2,FALSE)</f>
        <v>Haridus</v>
      </c>
      <c r="F1003" s="77" t="s">
        <v>1428</v>
      </c>
      <c r="G1003" s="77" t="s">
        <v>1431</v>
      </c>
      <c r="H1003" s="78">
        <v>2500</v>
      </c>
      <c r="I1003" s="80" t="s">
        <v>1432</v>
      </c>
      <c r="J1003" s="77">
        <v>5515</v>
      </c>
      <c r="K1003" s="79" t="str">
        <f>VLOOKUP(Table2[[#This Row],[Konto]],Table5[[Konto]:[Konto nimetus]],2,FALSE)</f>
        <v>Inventari kulud, v.a infotehnoloogia ja kaitseotstarbelised kulud</v>
      </c>
      <c r="L1003" s="77">
        <v>55</v>
      </c>
      <c r="M1003" s="77" t="str">
        <f t="shared" si="31"/>
        <v>55</v>
      </c>
      <c r="N1003" s="79" t="str">
        <f>VLOOKUP(Table2[[#This Row],[Tulu/kulu liik2]],Table5[[Tulu/kulu liik]:[Kontode koondnimetus]],4,FALSE)</f>
        <v>Muud tegevuskulud</v>
      </c>
      <c r="O1003" s="79" t="str">
        <f>VLOOKUP(Table2[[#This Row],[Tulu/kulu liik2]],Table5[],6,FALSE)</f>
        <v>Majandamiskulud</v>
      </c>
      <c r="P1003" s="79" t="str">
        <f>VLOOKUP(Table2[[#This Row],[Tulu/kulu liik2]],Table5[],5,FALSE)</f>
        <v>Põhitegevuse kulu</v>
      </c>
    </row>
    <row r="1004" spans="1:16" hidden="1" x14ac:dyDescent="0.25">
      <c r="A1004" s="77" t="str">
        <f t="shared" si="30"/>
        <v>09</v>
      </c>
      <c r="B1004" s="77" t="s">
        <v>329</v>
      </c>
      <c r="C1004" s="79" t="str">
        <f>VLOOKUP(Table2[[#This Row],[Tegevusala]],Table4[],2,FALSE)</f>
        <v xml:space="preserve"> Vinni-Pajusti Gümnaasium</v>
      </c>
      <c r="D1004" s="79" t="str">
        <f>VLOOKUP(Table2[[#This Row],[Tegevusala]],Table4[[Tegevusala kood]:[Tegevusala alanimetus]],4,FALSE)</f>
        <v>Põhihariduse otsekulud</v>
      </c>
      <c r="E1004" s="79" t="str">
        <f>VLOOKUP(Table2[[#This Row],[Tegevusala nimetus2]],Table4[[Tegevusala nimetus]:[Tegevusala koondnimetus]],2,FALSE)</f>
        <v>Haridus</v>
      </c>
      <c r="F1004" s="77" t="s">
        <v>1428</v>
      </c>
      <c r="G1004" s="77" t="s">
        <v>1433</v>
      </c>
      <c r="H1004" s="78">
        <v>1000</v>
      </c>
      <c r="I1004" s="80" t="s">
        <v>1434</v>
      </c>
      <c r="J1004" s="77">
        <v>5514</v>
      </c>
      <c r="K1004" s="79" t="str">
        <f>VLOOKUP(Table2[[#This Row],[Konto]],Table5[[Konto]:[Konto nimetus]],2,FALSE)</f>
        <v>Info- ja kommunikatsioonitehnoliigised kulud</v>
      </c>
      <c r="L1004" s="77">
        <v>55</v>
      </c>
      <c r="M1004" s="77" t="str">
        <f t="shared" si="31"/>
        <v>55</v>
      </c>
      <c r="N1004" s="79" t="str">
        <f>VLOOKUP(Table2[[#This Row],[Tulu/kulu liik2]],Table5[[Tulu/kulu liik]:[Kontode koondnimetus]],4,FALSE)</f>
        <v>Muud tegevuskulud</v>
      </c>
      <c r="O1004" s="79" t="str">
        <f>VLOOKUP(Table2[[#This Row],[Tulu/kulu liik2]],Table5[],6,FALSE)</f>
        <v>Majandamiskulud</v>
      </c>
      <c r="P1004" s="79" t="str">
        <f>VLOOKUP(Table2[[#This Row],[Tulu/kulu liik2]],Table5[],5,FALSE)</f>
        <v>Põhitegevuse kulu</v>
      </c>
    </row>
    <row r="1005" spans="1:16" hidden="1" x14ac:dyDescent="0.25">
      <c r="A1005" s="77" t="str">
        <f t="shared" si="30"/>
        <v>09</v>
      </c>
      <c r="B1005" s="77" t="s">
        <v>329</v>
      </c>
      <c r="C1005" s="79" t="str">
        <f>VLOOKUP(Table2[[#This Row],[Tegevusala]],Table4[],2,FALSE)</f>
        <v xml:space="preserve"> Vinni-Pajusti Gümnaasium</v>
      </c>
      <c r="D1005" s="79" t="str">
        <f>VLOOKUP(Table2[[#This Row],[Tegevusala]],Table4[[Tegevusala kood]:[Tegevusala alanimetus]],4,FALSE)</f>
        <v>Põhihariduse otsekulud</v>
      </c>
      <c r="E1005" s="79" t="str">
        <f>VLOOKUP(Table2[[#This Row],[Tegevusala nimetus2]],Table4[[Tegevusala nimetus]:[Tegevusala koondnimetus]],2,FALSE)</f>
        <v>Haridus</v>
      </c>
      <c r="F1005" s="77" t="s">
        <v>1428</v>
      </c>
      <c r="G1005" s="77" t="s">
        <v>1435</v>
      </c>
      <c r="H1005" s="78">
        <v>8500</v>
      </c>
      <c r="I1005" s="80" t="s">
        <v>1436</v>
      </c>
      <c r="J1005" s="77">
        <v>5515</v>
      </c>
      <c r="K1005" s="79" t="str">
        <f>VLOOKUP(Table2[[#This Row],[Konto]],Table5[[Konto]:[Konto nimetus]],2,FALSE)</f>
        <v>Inventari kulud, v.a infotehnoloogia ja kaitseotstarbelised kulud</v>
      </c>
      <c r="L1005" s="77">
        <v>55</v>
      </c>
      <c r="M1005" s="77" t="str">
        <f t="shared" si="31"/>
        <v>55</v>
      </c>
      <c r="N1005" s="79" t="str">
        <f>VLOOKUP(Table2[[#This Row],[Tulu/kulu liik2]],Table5[[Tulu/kulu liik]:[Kontode koondnimetus]],4,FALSE)</f>
        <v>Muud tegevuskulud</v>
      </c>
      <c r="O1005" s="79" t="str">
        <f>VLOOKUP(Table2[[#This Row],[Tulu/kulu liik2]],Table5[],6,FALSE)</f>
        <v>Majandamiskulud</v>
      </c>
      <c r="P1005" s="79" t="str">
        <f>VLOOKUP(Table2[[#This Row],[Tulu/kulu liik2]],Table5[],5,FALSE)</f>
        <v>Põhitegevuse kulu</v>
      </c>
    </row>
    <row r="1006" spans="1:16" hidden="1" x14ac:dyDescent="0.25">
      <c r="A1006" s="77" t="str">
        <f t="shared" si="30"/>
        <v>09</v>
      </c>
      <c r="B1006" s="77" t="s">
        <v>329</v>
      </c>
      <c r="C1006" s="79" t="str">
        <f>VLOOKUP(Table2[[#This Row],[Tegevusala]],Table4[],2,FALSE)</f>
        <v xml:space="preserve"> Vinni-Pajusti Gümnaasium</v>
      </c>
      <c r="D1006" s="79" t="str">
        <f>VLOOKUP(Table2[[#This Row],[Tegevusala]],Table4[[Tegevusala kood]:[Tegevusala alanimetus]],4,FALSE)</f>
        <v>Põhihariduse otsekulud</v>
      </c>
      <c r="E1006" s="79" t="str">
        <f>VLOOKUP(Table2[[#This Row],[Tegevusala nimetus2]],Table4[[Tegevusala nimetus]:[Tegevusala koondnimetus]],2,FALSE)</f>
        <v>Haridus</v>
      </c>
      <c r="F1006" s="77" t="s">
        <v>1428</v>
      </c>
      <c r="G1006" s="77" t="s">
        <v>1437</v>
      </c>
      <c r="H1006" s="78">
        <v>2500</v>
      </c>
      <c r="I1006" s="80" t="s">
        <v>1438</v>
      </c>
      <c r="J1006" s="77">
        <v>5514</v>
      </c>
      <c r="K1006" s="79" t="str">
        <f>VLOOKUP(Table2[[#This Row],[Konto]],Table5[[Konto]:[Konto nimetus]],2,FALSE)</f>
        <v>Info- ja kommunikatsioonitehnoliigised kulud</v>
      </c>
      <c r="L1006" s="77">
        <v>55</v>
      </c>
      <c r="M1006" s="77" t="str">
        <f t="shared" si="31"/>
        <v>55</v>
      </c>
      <c r="N1006" s="79" t="str">
        <f>VLOOKUP(Table2[[#This Row],[Tulu/kulu liik2]],Table5[[Tulu/kulu liik]:[Kontode koondnimetus]],4,FALSE)</f>
        <v>Muud tegevuskulud</v>
      </c>
      <c r="O1006" s="79" t="str">
        <f>VLOOKUP(Table2[[#This Row],[Tulu/kulu liik2]],Table5[],6,FALSE)</f>
        <v>Majandamiskulud</v>
      </c>
      <c r="P1006" s="79" t="str">
        <f>VLOOKUP(Table2[[#This Row],[Tulu/kulu liik2]],Table5[],5,FALSE)</f>
        <v>Põhitegevuse kulu</v>
      </c>
    </row>
    <row r="1007" spans="1:16" hidden="1" x14ac:dyDescent="0.25">
      <c r="A1007" s="77" t="str">
        <f t="shared" si="30"/>
        <v>09</v>
      </c>
      <c r="B1007" s="77" t="s">
        <v>329</v>
      </c>
      <c r="C1007" s="79" t="str">
        <f>VLOOKUP(Table2[[#This Row],[Tegevusala]],Table4[],2,FALSE)</f>
        <v xml:space="preserve"> Vinni-Pajusti Gümnaasium</v>
      </c>
      <c r="D1007" s="79" t="str">
        <f>VLOOKUP(Table2[[#This Row],[Tegevusala]],Table4[[Tegevusala kood]:[Tegevusala alanimetus]],4,FALSE)</f>
        <v>Põhihariduse otsekulud</v>
      </c>
      <c r="E1007" s="79" t="str">
        <f>VLOOKUP(Table2[[#This Row],[Tegevusala nimetus2]],Table4[[Tegevusala nimetus]:[Tegevusala koondnimetus]],2,FALSE)</f>
        <v>Haridus</v>
      </c>
      <c r="F1007" s="77" t="s">
        <v>1428</v>
      </c>
      <c r="G1007" s="77" t="s">
        <v>1439</v>
      </c>
      <c r="H1007" s="78">
        <v>1000</v>
      </c>
      <c r="I1007" s="80" t="s">
        <v>1440</v>
      </c>
      <c r="J1007" s="77">
        <v>5511</v>
      </c>
      <c r="K1007" s="79" t="str">
        <f>VLOOKUP(Table2[[#This Row],[Konto]],Table5[[Konto]:[Konto nimetus]],2,FALSE)</f>
        <v>Kinnistute, hoonete ja ruumide majandamiskulud</v>
      </c>
      <c r="L1007" s="77">
        <v>55</v>
      </c>
      <c r="M1007" s="77" t="str">
        <f t="shared" si="31"/>
        <v>55</v>
      </c>
      <c r="N1007" s="79" t="str">
        <f>VLOOKUP(Table2[[#This Row],[Tulu/kulu liik2]],Table5[[Tulu/kulu liik]:[Kontode koondnimetus]],4,FALSE)</f>
        <v>Muud tegevuskulud</v>
      </c>
      <c r="O1007" s="79" t="str">
        <f>VLOOKUP(Table2[[#This Row],[Tulu/kulu liik2]],Table5[],6,FALSE)</f>
        <v>Majandamiskulud</v>
      </c>
      <c r="P1007" s="79" t="str">
        <f>VLOOKUP(Table2[[#This Row],[Tulu/kulu liik2]],Table5[],5,FALSE)</f>
        <v>Põhitegevuse kulu</v>
      </c>
    </row>
    <row r="1008" spans="1:16" hidden="1" x14ac:dyDescent="0.25">
      <c r="A1008" s="77" t="str">
        <f t="shared" si="30"/>
        <v>09</v>
      </c>
      <c r="B1008" s="77" t="s">
        <v>329</v>
      </c>
      <c r="C1008" s="79" t="str">
        <f>VLOOKUP(Table2[[#This Row],[Tegevusala]],Table4[],2,FALSE)</f>
        <v xml:space="preserve"> Vinni-Pajusti Gümnaasium</v>
      </c>
      <c r="D1008" s="79" t="str">
        <f>VLOOKUP(Table2[[#This Row],[Tegevusala]],Table4[[Tegevusala kood]:[Tegevusala alanimetus]],4,FALSE)</f>
        <v>Põhihariduse otsekulud</v>
      </c>
      <c r="E1008" s="79" t="str">
        <f>VLOOKUP(Table2[[#This Row],[Tegevusala nimetus2]],Table4[[Tegevusala nimetus]:[Tegevusala koondnimetus]],2,FALSE)</f>
        <v>Haridus</v>
      </c>
      <c r="F1008" s="77" t="s">
        <v>1428</v>
      </c>
      <c r="G1008" s="77" t="s">
        <v>1441</v>
      </c>
      <c r="H1008" s="78">
        <v>8000</v>
      </c>
      <c r="I1008" s="80" t="s">
        <v>1442</v>
      </c>
      <c r="J1008" s="77">
        <v>5515</v>
      </c>
      <c r="K1008" s="79" t="str">
        <f>VLOOKUP(Table2[[#This Row],[Konto]],Table5[[Konto]:[Konto nimetus]],2,FALSE)</f>
        <v>Inventari kulud, v.a infotehnoloogia ja kaitseotstarbelised kulud</v>
      </c>
      <c r="L1008" s="77">
        <v>55</v>
      </c>
      <c r="M1008" s="77" t="str">
        <f t="shared" si="31"/>
        <v>55</v>
      </c>
      <c r="N1008" s="79" t="str">
        <f>VLOOKUP(Table2[[#This Row],[Tulu/kulu liik2]],Table5[[Tulu/kulu liik]:[Kontode koondnimetus]],4,FALSE)</f>
        <v>Muud tegevuskulud</v>
      </c>
      <c r="O1008" s="79" t="str">
        <f>VLOOKUP(Table2[[#This Row],[Tulu/kulu liik2]],Table5[],6,FALSE)</f>
        <v>Majandamiskulud</v>
      </c>
      <c r="P1008" s="79" t="str">
        <f>VLOOKUP(Table2[[#This Row],[Tulu/kulu liik2]],Table5[],5,FALSE)</f>
        <v>Põhitegevuse kulu</v>
      </c>
    </row>
    <row r="1009" spans="1:16" hidden="1" x14ac:dyDescent="0.25">
      <c r="A1009" s="8" t="str">
        <f t="shared" si="30"/>
        <v>09</v>
      </c>
      <c r="B1009" s="8" t="s">
        <v>329</v>
      </c>
      <c r="C1009" s="32" t="str">
        <f>VLOOKUP(Table2[[#This Row],[Tegevusala]],Table4[],2,FALSE)</f>
        <v xml:space="preserve"> Vinni-Pajusti Gümnaasium</v>
      </c>
      <c r="D1009" s="32" t="str">
        <f>VLOOKUP(Table2[[#This Row],[Tegevusala]],Table4[[Tegevusala kood]:[Tegevusala alanimetus]],4,FALSE)</f>
        <v>Põhihariduse otsekulud</v>
      </c>
      <c r="E1009" s="32" t="str">
        <f>VLOOKUP(Table2[[#This Row],[Tegevusala nimetus2]],Table4[[Tegevusala nimetus]:[Tegevusala koondnimetus]],2,FALSE)</f>
        <v>Haridus</v>
      </c>
      <c r="F1009" s="8" t="s">
        <v>1428</v>
      </c>
      <c r="G1009" s="8" t="s">
        <v>2171</v>
      </c>
      <c r="H1009" s="43">
        <v>7036</v>
      </c>
      <c r="I1009" s="9" t="s">
        <v>2175</v>
      </c>
      <c r="J1009" s="8">
        <v>5504</v>
      </c>
      <c r="K1009" s="32" t="str">
        <f>VLOOKUP(Table2[[#This Row],[Konto]],Table5[[Konto]:[Konto nimetus]],2,FALSE)</f>
        <v>Koolituskulud</v>
      </c>
      <c r="L1009" s="8">
        <v>55</v>
      </c>
      <c r="M1009" s="8" t="str">
        <f t="shared" si="31"/>
        <v>55</v>
      </c>
      <c r="N1009" s="32" t="str">
        <f>VLOOKUP(Table2[[#This Row],[Tulu/kulu liik2]],Table5[[Tulu/kulu liik]:[Kontode koondnimetus]],4,FALSE)</f>
        <v>Muud tegevuskulud</v>
      </c>
      <c r="O1009" s="32" t="str">
        <f>VLOOKUP(Table2[[#This Row],[Tulu/kulu liik2]],Table5[],6,FALSE)</f>
        <v>Majandamiskulud</v>
      </c>
      <c r="P1009" s="32" t="str">
        <f>VLOOKUP(Table2[[#This Row],[Tulu/kulu liik2]],Table5[],5,FALSE)</f>
        <v>Põhitegevuse kulu</v>
      </c>
    </row>
    <row r="1010" spans="1:16" hidden="1" x14ac:dyDescent="0.25">
      <c r="A1010" s="8" t="str">
        <f t="shared" si="30"/>
        <v>09</v>
      </c>
      <c r="B1010" s="8" t="s">
        <v>329</v>
      </c>
      <c r="C1010" s="32" t="str">
        <f>VLOOKUP(Table2[[#This Row],[Tegevusala]],Table4[],2,FALSE)</f>
        <v xml:space="preserve"> Vinni-Pajusti Gümnaasium</v>
      </c>
      <c r="D1010" s="32" t="str">
        <f>VLOOKUP(Table2[[#This Row],[Tegevusala]],Table4[[Tegevusala kood]:[Tegevusala alanimetus]],4,FALSE)</f>
        <v>Põhihariduse otsekulud</v>
      </c>
      <c r="E1010" s="32" t="str">
        <f>VLOOKUP(Table2[[#This Row],[Tegevusala nimetus2]],Table4[[Tegevusala nimetus]:[Tegevusala koondnimetus]],2,FALSE)</f>
        <v>Haridus</v>
      </c>
      <c r="F1010" s="8" t="s">
        <v>1428</v>
      </c>
      <c r="G1010" s="8" t="s">
        <v>2172</v>
      </c>
      <c r="H1010" s="43">
        <v>22971</v>
      </c>
      <c r="I1010" s="9" t="s">
        <v>2175</v>
      </c>
      <c r="J1010" s="8">
        <v>5524</v>
      </c>
      <c r="K1010" s="32" t="str">
        <f>VLOOKUP(Table2[[#This Row],[Konto]],Table5[[Konto]:[Konto nimetus]],2,FALSE)</f>
        <v>Õppevahendid</v>
      </c>
      <c r="L1010" s="8">
        <v>55</v>
      </c>
      <c r="M1010" s="8" t="str">
        <f t="shared" si="31"/>
        <v>55</v>
      </c>
      <c r="N1010" s="32" t="str">
        <f>VLOOKUP(Table2[[#This Row],[Tulu/kulu liik2]],Table5[[Tulu/kulu liik]:[Kontode koondnimetus]],4,FALSE)</f>
        <v>Muud tegevuskulud</v>
      </c>
      <c r="O1010" s="32" t="str">
        <f>VLOOKUP(Table2[[#This Row],[Tulu/kulu liik2]],Table5[],6,FALSE)</f>
        <v>Majandamiskulud</v>
      </c>
      <c r="P1010" s="32" t="str">
        <f>VLOOKUP(Table2[[#This Row],[Tulu/kulu liik2]],Table5[],5,FALSE)</f>
        <v>Põhitegevuse kulu</v>
      </c>
    </row>
    <row r="1011" spans="1:16" hidden="1" x14ac:dyDescent="0.25">
      <c r="A1011" t="str">
        <f t="shared" si="30"/>
        <v>09</v>
      </c>
      <c r="B1011" t="s">
        <v>331</v>
      </c>
      <c r="C1011" s="3" t="str">
        <f>VLOOKUP(Table2[[#This Row],[Tegevusala]],Table4[],2,FALSE)</f>
        <v xml:space="preserve"> Kohatasud</v>
      </c>
      <c r="D1011" s="3" t="str">
        <f>VLOOKUP(Table2[[#This Row],[Tegevusala]],Table4[[Tegevusala kood]:[Tegevusala alanimetus]],4,FALSE)</f>
        <v>Põhihariduse otsekulud</v>
      </c>
      <c r="E1011" s="3" t="str">
        <f>VLOOKUP(Table2[[#This Row],[Tegevusala nimetus2]],Table4[[Tegevusala nimetus]:[Tegevusala koondnimetus]],2,FALSE)</f>
        <v>Haridus</v>
      </c>
      <c r="F1011" t="s">
        <v>1527</v>
      </c>
      <c r="G1011" t="s">
        <v>1533</v>
      </c>
      <c r="H1011" s="40">
        <v>87579</v>
      </c>
      <c r="I1011" s="2" t="s">
        <v>1534</v>
      </c>
      <c r="J1011">
        <v>5524</v>
      </c>
      <c r="K1011" s="3" t="str">
        <f>VLOOKUP(Table2[[#This Row],[Konto]],Table5[[Konto]:[Konto nimetus]],2,FALSE)</f>
        <v>Õppevahendid</v>
      </c>
      <c r="L1011">
        <v>55</v>
      </c>
      <c r="M1011" t="str">
        <f t="shared" si="31"/>
        <v>55</v>
      </c>
      <c r="N1011" s="3" t="str">
        <f>VLOOKUP(Table2[[#This Row],[Tulu/kulu liik2]],Table5[[Tulu/kulu liik]:[Kontode koondnimetus]],4,FALSE)</f>
        <v>Muud tegevuskulud</v>
      </c>
      <c r="O1011" s="3" t="str">
        <f>VLOOKUP(Table2[[#This Row],[Tulu/kulu liik2]],Table5[],6,FALSE)</f>
        <v>Majandamiskulud</v>
      </c>
      <c r="P1011" s="3" t="str">
        <f>VLOOKUP(Table2[[#This Row],[Tulu/kulu liik2]],Table5[],5,FALSE)</f>
        <v>Põhitegevuse kulu</v>
      </c>
    </row>
    <row r="1012" spans="1:16" hidden="1" x14ac:dyDescent="0.25">
      <c r="A1012" s="8" t="str">
        <f t="shared" si="30"/>
        <v>09</v>
      </c>
      <c r="B1012" s="8" t="s">
        <v>331</v>
      </c>
      <c r="C1012" s="32" t="str">
        <f>VLOOKUP(Table2[[#This Row],[Tegevusala]],Table4[],2,FALSE)</f>
        <v xml:space="preserve"> Kohatasud</v>
      </c>
      <c r="D1012" s="32" t="str">
        <f>VLOOKUP(Table2[[#This Row],[Tegevusala]],Table4[[Tegevusala kood]:[Tegevusala alanimetus]],4,FALSE)</f>
        <v>Põhihariduse otsekulud</v>
      </c>
      <c r="E1012" s="32" t="str">
        <f>VLOOKUP(Table2[[#This Row],[Tegevusala nimetus2]],Table4[[Tegevusala nimetus]:[Tegevusala koondnimetus]],2,FALSE)</f>
        <v>Haridus</v>
      </c>
      <c r="F1012" s="8" t="s">
        <v>1527</v>
      </c>
      <c r="G1012" s="8" t="s">
        <v>1528</v>
      </c>
      <c r="H1012" s="43">
        <v>-48048</v>
      </c>
      <c r="I1012" s="9" t="s">
        <v>1529</v>
      </c>
      <c r="J1012" s="8">
        <v>32202</v>
      </c>
      <c r="K1012" s="32" t="str">
        <f>VLOOKUP(Table2[[#This Row],[Konto]],Table5[[Konto]:[Konto nimetus]],2,FALSE)</f>
        <v>Õpilaskoht</v>
      </c>
      <c r="L1012" s="8">
        <v>32</v>
      </c>
      <c r="M1012" s="8" t="str">
        <f t="shared" si="31"/>
        <v>32</v>
      </c>
      <c r="N1012" s="32" t="str">
        <f>VLOOKUP(Table2[[#This Row],[Tulu/kulu liik2]],Table5[[Tulu/kulu liik]:[Kontode koondnimetus]],4,FALSE)</f>
        <v>Tulud kaupade ja teenuste müügist</v>
      </c>
      <c r="O1012" s="32" t="str">
        <f>VLOOKUP(Table2[[#This Row],[Tulu/kulu liik2]],Table5[],6,FALSE)</f>
        <v>Tulud kaupade ja teenuste müügist</v>
      </c>
      <c r="P1012" s="32" t="str">
        <f>VLOOKUP(Table2[[#This Row],[Tulu/kulu liik2]],Table5[],5,FALSE)</f>
        <v>Põhitegevuse tulu</v>
      </c>
    </row>
    <row r="1013" spans="1:16" hidden="1" x14ac:dyDescent="0.25">
      <c r="A1013" s="8" t="str">
        <f t="shared" si="30"/>
        <v>09</v>
      </c>
      <c r="B1013" s="8" t="s">
        <v>331</v>
      </c>
      <c r="C1013" s="32" t="str">
        <f>VLOOKUP(Table2[[#This Row],[Tegevusala]],Table4[],2,FALSE)</f>
        <v xml:space="preserve"> Kohatasud</v>
      </c>
      <c r="D1013" s="32" t="str">
        <f>VLOOKUP(Table2[[#This Row],[Tegevusala]],Table4[[Tegevusala kood]:[Tegevusala alanimetus]],4,FALSE)</f>
        <v>Põhihariduse otsekulud</v>
      </c>
      <c r="E1013" s="32" t="str">
        <f>VLOOKUP(Table2[[#This Row],[Tegevusala nimetus2]],Table4[[Tegevusala nimetus]:[Tegevusala koondnimetus]],2,FALSE)</f>
        <v>Haridus</v>
      </c>
      <c r="F1013" s="8" t="s">
        <v>1527</v>
      </c>
      <c r="G1013" s="8" t="s">
        <v>1528</v>
      </c>
      <c r="H1013" s="43">
        <v>-2940</v>
      </c>
      <c r="I1013" s="8" t="s">
        <v>1532</v>
      </c>
      <c r="J1013" s="8">
        <v>32202</v>
      </c>
      <c r="K1013" s="32" t="str">
        <f>VLOOKUP(Table2[[#This Row],[Konto]],Table5[[Konto]:[Konto nimetus]],2,FALSE)</f>
        <v>Õpilaskoht</v>
      </c>
      <c r="L1013" s="8">
        <v>32</v>
      </c>
      <c r="M1013" s="8" t="str">
        <f t="shared" si="31"/>
        <v>32</v>
      </c>
      <c r="N1013" s="32" t="str">
        <f>VLOOKUP(Table2[[#This Row],[Tulu/kulu liik2]],Table5[[Tulu/kulu liik]:[Kontode koondnimetus]],4,FALSE)</f>
        <v>Tulud kaupade ja teenuste müügist</v>
      </c>
      <c r="O1013" s="32" t="str">
        <f>VLOOKUP(Table2[[#This Row],[Tulu/kulu liik2]],Table5[],6,FALSE)</f>
        <v>Tulud kaupade ja teenuste müügist</v>
      </c>
      <c r="P1013" s="32" t="str">
        <f>VLOOKUP(Table2[[#This Row],[Tulu/kulu liik2]],Table5[],5,FALSE)</f>
        <v>Põhitegevuse tulu</v>
      </c>
    </row>
    <row r="1014" spans="1:16" hidden="1" x14ac:dyDescent="0.25">
      <c r="A1014" t="str">
        <f t="shared" si="30"/>
        <v>09</v>
      </c>
      <c r="B1014" t="s">
        <v>332</v>
      </c>
      <c r="C1014" s="3" t="str">
        <f>VLOOKUP(Table2[[#This Row],[Tegevusala]],Table4[],2,FALSE)</f>
        <v xml:space="preserve"> Põlula kool</v>
      </c>
      <c r="D1014" s="3" t="str">
        <f>VLOOKUP(Table2[[#This Row],[Tegevusala]],Table4[[Tegevusala kood]:[Tegevusala alanimetus]],4,FALSE)</f>
        <v>Põhihariduse otsekulud</v>
      </c>
      <c r="E1014" s="3" t="str">
        <f>VLOOKUP(Table2[[#This Row],[Tegevusala nimetus2]],Table4[[Tegevusala nimetus]:[Tegevusala koondnimetus]],2,FALSE)</f>
        <v>Haridus</v>
      </c>
      <c r="F1014" t="s">
        <v>1497</v>
      </c>
      <c r="G1014" t="s">
        <v>1499</v>
      </c>
      <c r="H1014" s="40">
        <v>500</v>
      </c>
      <c r="J1014">
        <v>5500</v>
      </c>
      <c r="K1014" s="3" t="str">
        <f>VLOOKUP(Table2[[#This Row],[Konto]],Table5[[Konto]:[Konto nimetus]],2,FALSE)</f>
        <v>Administreerimiskulud</v>
      </c>
      <c r="L1014">
        <v>55</v>
      </c>
      <c r="M1014" t="str">
        <f t="shared" si="31"/>
        <v>55</v>
      </c>
      <c r="N1014" s="3" t="str">
        <f>VLOOKUP(Table2[[#This Row],[Tulu/kulu liik2]],Table5[[Tulu/kulu liik]:[Kontode koondnimetus]],4,FALSE)</f>
        <v>Muud tegevuskulud</v>
      </c>
      <c r="O1014" s="3" t="str">
        <f>VLOOKUP(Table2[[#This Row],[Tulu/kulu liik2]],Table5[],6,FALSE)</f>
        <v>Majandamiskulud</v>
      </c>
      <c r="P1014" s="3" t="str">
        <f>VLOOKUP(Table2[[#This Row],[Tulu/kulu liik2]],Table5[],5,FALSE)</f>
        <v>Põhitegevuse kulu</v>
      </c>
    </row>
    <row r="1015" spans="1:16" hidden="1" x14ac:dyDescent="0.25">
      <c r="A1015" t="str">
        <f t="shared" si="30"/>
        <v>09</v>
      </c>
      <c r="B1015" t="s">
        <v>332</v>
      </c>
      <c r="C1015" s="3" t="str">
        <f>VLOOKUP(Table2[[#This Row],[Tegevusala]],Table4[],2,FALSE)</f>
        <v xml:space="preserve"> Põlula kool</v>
      </c>
      <c r="D1015" s="3" t="str">
        <f>VLOOKUP(Table2[[#This Row],[Tegevusala]],Table4[[Tegevusala kood]:[Tegevusala alanimetus]],4,FALSE)</f>
        <v>Põhihariduse otsekulud</v>
      </c>
      <c r="E1015" s="3" t="str">
        <f>VLOOKUP(Table2[[#This Row],[Tegevusala nimetus2]],Table4[[Tegevusala nimetus]:[Tegevusala koondnimetus]],2,FALSE)</f>
        <v>Haridus</v>
      </c>
      <c r="F1015" t="s">
        <v>1497</v>
      </c>
      <c r="G1015" t="s">
        <v>1500</v>
      </c>
      <c r="H1015" s="40">
        <f>1500-200</f>
        <v>1300</v>
      </c>
      <c r="J1015">
        <v>5504</v>
      </c>
      <c r="K1015" s="3" t="str">
        <f>VLOOKUP(Table2[[#This Row],[Konto]],Table5[[Konto]:[Konto nimetus]],2,FALSE)</f>
        <v>Koolituskulud</v>
      </c>
      <c r="L1015">
        <v>55</v>
      </c>
      <c r="M1015" t="str">
        <f t="shared" si="31"/>
        <v>55</v>
      </c>
      <c r="N1015" s="3" t="str">
        <f>VLOOKUP(Table2[[#This Row],[Tulu/kulu liik2]],Table5[[Tulu/kulu liik]:[Kontode koondnimetus]],4,FALSE)</f>
        <v>Muud tegevuskulud</v>
      </c>
      <c r="O1015" s="3" t="str">
        <f>VLOOKUP(Table2[[#This Row],[Tulu/kulu liik2]],Table5[],6,FALSE)</f>
        <v>Majandamiskulud</v>
      </c>
      <c r="P1015" s="3" t="str">
        <f>VLOOKUP(Table2[[#This Row],[Tulu/kulu liik2]],Table5[],5,FALSE)</f>
        <v>Põhitegevuse kulu</v>
      </c>
    </row>
    <row r="1016" spans="1:16" hidden="1" x14ac:dyDescent="0.25">
      <c r="A1016" t="str">
        <f t="shared" si="30"/>
        <v>09</v>
      </c>
      <c r="B1016" t="s">
        <v>332</v>
      </c>
      <c r="C1016" s="3" t="str">
        <f>VLOOKUP(Table2[[#This Row],[Tegevusala]],Table4[],2,FALSE)</f>
        <v xml:space="preserve"> Põlula kool</v>
      </c>
      <c r="D1016" s="3" t="str">
        <f>VLOOKUP(Table2[[#This Row],[Tegevusala]],Table4[[Tegevusala kood]:[Tegevusala alanimetus]],4,FALSE)</f>
        <v>Põhihariduse otsekulud</v>
      </c>
      <c r="E1016" s="3" t="str">
        <f>VLOOKUP(Table2[[#This Row],[Tegevusala nimetus2]],Table4[[Tegevusala nimetus]:[Tegevusala koondnimetus]],2,FALSE)</f>
        <v>Haridus</v>
      </c>
      <c r="F1016" t="s">
        <v>1497</v>
      </c>
      <c r="G1016" t="s">
        <v>2171</v>
      </c>
      <c r="H1016" s="40">
        <v>200</v>
      </c>
      <c r="I1016" s="2" t="s">
        <v>2175</v>
      </c>
      <c r="J1016">
        <v>5504</v>
      </c>
      <c r="K1016" s="3" t="str">
        <f>VLOOKUP(Table2[[#This Row],[Konto]],Table5[[Konto]:[Konto nimetus]],2,FALSE)</f>
        <v>Koolituskulud</v>
      </c>
      <c r="L1016">
        <v>55</v>
      </c>
      <c r="M1016" t="str">
        <f t="shared" si="31"/>
        <v>55</v>
      </c>
      <c r="N1016" s="3" t="str">
        <f>VLOOKUP(Table2[[#This Row],[Tulu/kulu liik2]],Table5[[Tulu/kulu liik]:[Kontode koondnimetus]],4,FALSE)</f>
        <v>Muud tegevuskulud</v>
      </c>
      <c r="O1016" s="34" t="str">
        <f>VLOOKUP(Table2[[#This Row],[Tulu/kulu liik2]],Table5[],6,FALSE)</f>
        <v>Majandamiskulud</v>
      </c>
      <c r="P1016" s="3" t="str">
        <f>VLOOKUP(Table2[[#This Row],[Tulu/kulu liik2]],Table5[],5,FALSE)</f>
        <v>Põhitegevuse kulu</v>
      </c>
    </row>
    <row r="1017" spans="1:16" hidden="1" x14ac:dyDescent="0.25">
      <c r="A1017" t="str">
        <f t="shared" si="30"/>
        <v>09</v>
      </c>
      <c r="B1017" t="s">
        <v>332</v>
      </c>
      <c r="C1017" s="3" t="str">
        <f>VLOOKUP(Table2[[#This Row],[Tegevusala]],Table4[],2,FALSE)</f>
        <v xml:space="preserve"> Põlula kool</v>
      </c>
      <c r="D1017" s="3" t="str">
        <f>VLOOKUP(Table2[[#This Row],[Tegevusala]],Table4[[Tegevusala kood]:[Tegevusala alanimetus]],4,FALSE)</f>
        <v>Põhihariduse otsekulud</v>
      </c>
      <c r="E1017" s="3" t="str">
        <f>VLOOKUP(Table2[[#This Row],[Tegevusala nimetus2]],Table4[[Tegevusala nimetus]:[Tegevusala koondnimetus]],2,FALSE)</f>
        <v>Haridus</v>
      </c>
      <c r="F1017" t="s">
        <v>1497</v>
      </c>
      <c r="G1017" t="s">
        <v>928</v>
      </c>
      <c r="H1017" s="40">
        <v>2750</v>
      </c>
      <c r="J1017">
        <v>5513</v>
      </c>
      <c r="K1017" s="3" t="str">
        <f>VLOOKUP(Table2[[#This Row],[Konto]],Table5[[Konto]:[Konto nimetus]],2,FALSE)</f>
        <v>Sõidukite ülalpidamise kulud</v>
      </c>
      <c r="L1017">
        <v>55</v>
      </c>
      <c r="M1017" t="str">
        <f t="shared" si="31"/>
        <v>55</v>
      </c>
      <c r="N1017" s="3" t="str">
        <f>VLOOKUP(Table2[[#This Row],[Tulu/kulu liik2]],Table5[[Tulu/kulu liik]:[Kontode koondnimetus]],4,FALSE)</f>
        <v>Muud tegevuskulud</v>
      </c>
      <c r="O1017" s="3" t="str">
        <f>VLOOKUP(Table2[[#This Row],[Tulu/kulu liik2]],Table5[],6,FALSE)</f>
        <v>Majandamiskulud</v>
      </c>
      <c r="P1017" s="3" t="str">
        <f>VLOOKUP(Table2[[#This Row],[Tulu/kulu liik2]],Table5[],5,FALSE)</f>
        <v>Põhitegevuse kulu</v>
      </c>
    </row>
    <row r="1018" spans="1:16" hidden="1" x14ac:dyDescent="0.25">
      <c r="A1018" t="str">
        <f t="shared" si="30"/>
        <v>09</v>
      </c>
      <c r="B1018" t="s">
        <v>332</v>
      </c>
      <c r="C1018" s="3" t="str">
        <f>VLOOKUP(Table2[[#This Row],[Tegevusala]],Table4[],2,FALSE)</f>
        <v xml:space="preserve"> Põlula kool</v>
      </c>
      <c r="D1018" s="3" t="str">
        <f>VLOOKUP(Table2[[#This Row],[Tegevusala]],Table4[[Tegevusala kood]:[Tegevusala alanimetus]],4,FALSE)</f>
        <v>Põhihariduse otsekulud</v>
      </c>
      <c r="E1018" s="3" t="str">
        <f>VLOOKUP(Table2[[#This Row],[Tegevusala nimetus2]],Table4[[Tegevusala nimetus]:[Tegevusala koondnimetus]],2,FALSE)</f>
        <v>Haridus</v>
      </c>
      <c r="F1018" t="s">
        <v>1497</v>
      </c>
      <c r="G1018" t="s">
        <v>1506</v>
      </c>
      <c r="H1018" s="40">
        <v>100</v>
      </c>
      <c r="J1018">
        <v>5513</v>
      </c>
      <c r="K1018" s="3" t="str">
        <f>VLOOKUP(Table2[[#This Row],[Konto]],Table5[[Konto]:[Konto nimetus]],2,FALSE)</f>
        <v>Sõidukite ülalpidamise kulud</v>
      </c>
      <c r="L1018">
        <v>55</v>
      </c>
      <c r="M1018" t="str">
        <f t="shared" si="31"/>
        <v>55</v>
      </c>
      <c r="N1018" s="3" t="str">
        <f>VLOOKUP(Table2[[#This Row],[Tulu/kulu liik2]],Table5[[Tulu/kulu liik]:[Kontode koondnimetus]],4,FALSE)</f>
        <v>Muud tegevuskulud</v>
      </c>
      <c r="O1018" s="3" t="str">
        <f>VLOOKUP(Table2[[#This Row],[Tulu/kulu liik2]],Table5[],6,FALSE)</f>
        <v>Majandamiskulud</v>
      </c>
      <c r="P1018" s="3" t="str">
        <f>VLOOKUP(Table2[[#This Row],[Tulu/kulu liik2]],Table5[],5,FALSE)</f>
        <v>Põhitegevuse kulu</v>
      </c>
    </row>
    <row r="1019" spans="1:16" hidden="1" x14ac:dyDescent="0.25">
      <c r="A1019" t="str">
        <f t="shared" si="30"/>
        <v>09</v>
      </c>
      <c r="B1019" t="s">
        <v>332</v>
      </c>
      <c r="C1019" s="3" t="str">
        <f>VLOOKUP(Table2[[#This Row],[Tegevusala]],Table4[],2,FALSE)</f>
        <v xml:space="preserve"> Põlula kool</v>
      </c>
      <c r="D1019" s="3" t="str">
        <f>VLOOKUP(Table2[[#This Row],[Tegevusala]],Table4[[Tegevusala kood]:[Tegevusala alanimetus]],4,FALSE)</f>
        <v>Põhihariduse otsekulud</v>
      </c>
      <c r="E1019" s="3" t="str">
        <f>VLOOKUP(Table2[[#This Row],[Tegevusala nimetus2]],Table4[[Tegevusala nimetus]:[Tegevusala koondnimetus]],2,FALSE)</f>
        <v>Haridus</v>
      </c>
      <c r="F1019" t="s">
        <v>1497</v>
      </c>
      <c r="G1019" t="s">
        <v>1508</v>
      </c>
      <c r="H1019" s="40">
        <v>200</v>
      </c>
      <c r="J1019">
        <v>5515</v>
      </c>
      <c r="K1019" s="3" t="str">
        <f>VLOOKUP(Table2[[#This Row],[Konto]],Table5[[Konto]:[Konto nimetus]],2,FALSE)</f>
        <v>Inventari kulud, v.a infotehnoloogia ja kaitseotstarbelised kulud</v>
      </c>
      <c r="L1019">
        <v>55</v>
      </c>
      <c r="M1019" t="str">
        <f t="shared" si="31"/>
        <v>55</v>
      </c>
      <c r="N1019" s="3" t="str">
        <f>VLOOKUP(Table2[[#This Row],[Tulu/kulu liik2]],Table5[[Tulu/kulu liik]:[Kontode koondnimetus]],4,FALSE)</f>
        <v>Muud tegevuskulud</v>
      </c>
      <c r="O1019" s="3" t="str">
        <f>VLOOKUP(Table2[[#This Row],[Tulu/kulu liik2]],Table5[],6,FALSE)</f>
        <v>Majandamiskulud</v>
      </c>
      <c r="P1019" s="3" t="str">
        <f>VLOOKUP(Table2[[#This Row],[Tulu/kulu liik2]],Table5[],5,FALSE)</f>
        <v>Põhitegevuse kulu</v>
      </c>
    </row>
    <row r="1020" spans="1:16" hidden="1" x14ac:dyDescent="0.25">
      <c r="A1020" t="str">
        <f t="shared" si="30"/>
        <v>09</v>
      </c>
      <c r="B1020" t="s">
        <v>332</v>
      </c>
      <c r="C1020" s="3" t="str">
        <f>VLOOKUP(Table2[[#This Row],[Tegevusala]],Table4[],2,FALSE)</f>
        <v xml:space="preserve"> Põlula kool</v>
      </c>
      <c r="D1020" s="3" t="str">
        <f>VLOOKUP(Table2[[#This Row],[Tegevusala]],Table4[[Tegevusala kood]:[Tegevusala alanimetus]],4,FALSE)</f>
        <v>Põhihariduse otsekulud</v>
      </c>
      <c r="E1020" s="3" t="str">
        <f>VLOOKUP(Table2[[#This Row],[Tegevusala nimetus2]],Table4[[Tegevusala nimetus]:[Tegevusala koondnimetus]],2,FALSE)</f>
        <v>Haridus</v>
      </c>
      <c r="F1020" t="s">
        <v>1497</v>
      </c>
      <c r="G1020" t="s">
        <v>1509</v>
      </c>
      <c r="H1020" s="40">
        <v>200</v>
      </c>
      <c r="J1020">
        <v>5515</v>
      </c>
      <c r="K1020" s="3" t="str">
        <f>VLOOKUP(Table2[[#This Row],[Konto]],Table5[[Konto]:[Konto nimetus]],2,FALSE)</f>
        <v>Inventari kulud, v.a infotehnoloogia ja kaitseotstarbelised kulud</v>
      </c>
      <c r="L1020">
        <v>55</v>
      </c>
      <c r="M1020" t="str">
        <f t="shared" si="31"/>
        <v>55</v>
      </c>
      <c r="N1020" s="3" t="str">
        <f>VLOOKUP(Table2[[#This Row],[Tulu/kulu liik2]],Table5[[Tulu/kulu liik]:[Kontode koondnimetus]],4,FALSE)</f>
        <v>Muud tegevuskulud</v>
      </c>
      <c r="O1020" s="3" t="str">
        <f>VLOOKUP(Table2[[#This Row],[Tulu/kulu liik2]],Table5[],6,FALSE)</f>
        <v>Majandamiskulud</v>
      </c>
      <c r="P1020" s="3" t="str">
        <f>VLOOKUP(Table2[[#This Row],[Tulu/kulu liik2]],Table5[],5,FALSE)</f>
        <v>Põhitegevuse kulu</v>
      </c>
    </row>
    <row r="1021" spans="1:16" hidden="1" x14ac:dyDescent="0.25">
      <c r="A1021" t="str">
        <f t="shared" si="30"/>
        <v>09</v>
      </c>
      <c r="B1021" t="s">
        <v>332</v>
      </c>
      <c r="C1021" s="3" t="str">
        <f>VLOOKUP(Table2[[#This Row],[Tegevusala]],Table4[],2,FALSE)</f>
        <v xml:space="preserve"> Põlula kool</v>
      </c>
      <c r="D1021" s="3" t="str">
        <f>VLOOKUP(Table2[[#This Row],[Tegevusala]],Table4[[Tegevusala kood]:[Tegevusala alanimetus]],4,FALSE)</f>
        <v>Põhihariduse otsekulud</v>
      </c>
      <c r="E1021" s="3" t="str">
        <f>VLOOKUP(Table2[[#This Row],[Tegevusala nimetus2]],Table4[[Tegevusala nimetus]:[Tegevusala koondnimetus]],2,FALSE)</f>
        <v>Haridus</v>
      </c>
      <c r="F1021" t="s">
        <v>1497</v>
      </c>
      <c r="G1021" t="s">
        <v>1510</v>
      </c>
      <c r="H1021" s="40">
        <v>100</v>
      </c>
      <c r="J1021">
        <v>5515</v>
      </c>
      <c r="K1021" s="3" t="str">
        <f>VLOOKUP(Table2[[#This Row],[Konto]],Table5[[Konto]:[Konto nimetus]],2,FALSE)</f>
        <v>Inventari kulud, v.a infotehnoloogia ja kaitseotstarbelised kulud</v>
      </c>
      <c r="L1021">
        <v>55</v>
      </c>
      <c r="M1021" t="str">
        <f t="shared" si="31"/>
        <v>55</v>
      </c>
      <c r="N1021" s="3" t="str">
        <f>VLOOKUP(Table2[[#This Row],[Tulu/kulu liik2]],Table5[[Tulu/kulu liik]:[Kontode koondnimetus]],4,FALSE)</f>
        <v>Muud tegevuskulud</v>
      </c>
      <c r="O1021" s="3" t="str">
        <f>VLOOKUP(Table2[[#This Row],[Tulu/kulu liik2]],Table5[],6,FALSE)</f>
        <v>Majandamiskulud</v>
      </c>
      <c r="P1021" s="3" t="str">
        <f>VLOOKUP(Table2[[#This Row],[Tulu/kulu liik2]],Table5[],5,FALSE)</f>
        <v>Põhitegevuse kulu</v>
      </c>
    </row>
    <row r="1022" spans="1:16" hidden="1" x14ac:dyDescent="0.25">
      <c r="A1022" t="str">
        <f t="shared" ref="A1022:A1085" si="32">LEFT(B1022,2)</f>
        <v>09</v>
      </c>
      <c r="B1022" t="s">
        <v>332</v>
      </c>
      <c r="C1022" s="3" t="str">
        <f>VLOOKUP(Table2[[#This Row],[Tegevusala]],Table4[],2,FALSE)</f>
        <v xml:space="preserve"> Põlula kool</v>
      </c>
      <c r="D1022" s="3" t="str">
        <f>VLOOKUP(Table2[[#This Row],[Tegevusala]],Table4[[Tegevusala kood]:[Tegevusala alanimetus]],4,FALSE)</f>
        <v>Põhihariduse otsekulud</v>
      </c>
      <c r="E1022" s="3" t="str">
        <f>VLOOKUP(Table2[[#This Row],[Tegevusala nimetus2]],Table4[[Tegevusala nimetus]:[Tegevusala koondnimetus]],2,FALSE)</f>
        <v>Haridus</v>
      </c>
      <c r="F1022" t="s">
        <v>1497</v>
      </c>
      <c r="G1022" t="s">
        <v>1511</v>
      </c>
      <c r="H1022" s="40">
        <v>100</v>
      </c>
      <c r="J1022">
        <v>5515</v>
      </c>
      <c r="K1022" s="3" t="str">
        <f>VLOOKUP(Table2[[#This Row],[Konto]],Table5[[Konto]:[Konto nimetus]],2,FALSE)</f>
        <v>Inventari kulud, v.a infotehnoloogia ja kaitseotstarbelised kulud</v>
      </c>
      <c r="L1022">
        <v>55</v>
      </c>
      <c r="M1022" t="str">
        <f t="shared" ref="M1022:M1085" si="33">LEFT(J1022,2)</f>
        <v>55</v>
      </c>
      <c r="N1022" s="3" t="str">
        <f>VLOOKUP(Table2[[#This Row],[Tulu/kulu liik2]],Table5[[Tulu/kulu liik]:[Kontode koondnimetus]],4,FALSE)</f>
        <v>Muud tegevuskulud</v>
      </c>
      <c r="O1022" s="3" t="str">
        <f>VLOOKUP(Table2[[#This Row],[Tulu/kulu liik2]],Table5[],6,FALSE)</f>
        <v>Majandamiskulud</v>
      </c>
      <c r="P1022" s="3" t="str">
        <f>VLOOKUP(Table2[[#This Row],[Tulu/kulu liik2]],Table5[],5,FALSE)</f>
        <v>Põhitegevuse kulu</v>
      </c>
    </row>
    <row r="1023" spans="1:16" hidden="1" x14ac:dyDescent="0.25">
      <c r="A1023" t="str">
        <f t="shared" si="32"/>
        <v>09</v>
      </c>
      <c r="B1023" t="s">
        <v>332</v>
      </c>
      <c r="C1023" s="3" t="str">
        <f>VLOOKUP(Table2[[#This Row],[Tegevusala]],Table4[],2,FALSE)</f>
        <v xml:space="preserve"> Põlula kool</v>
      </c>
      <c r="D1023" s="3" t="str">
        <f>VLOOKUP(Table2[[#This Row],[Tegevusala]],Table4[[Tegevusala kood]:[Tegevusala alanimetus]],4,FALSE)</f>
        <v>Põhihariduse otsekulud</v>
      </c>
      <c r="E1023" s="3" t="str">
        <f>VLOOKUP(Table2[[#This Row],[Tegevusala nimetus2]],Table4[[Tegevusala nimetus]:[Tegevusala koondnimetus]],2,FALSE)</f>
        <v>Haridus</v>
      </c>
      <c r="F1023" t="s">
        <v>1497</v>
      </c>
      <c r="G1023" t="s">
        <v>1118</v>
      </c>
      <c r="H1023" s="40">
        <f>5000-1925</f>
        <v>3075</v>
      </c>
      <c r="J1023">
        <v>5521</v>
      </c>
      <c r="K1023" s="3" t="str">
        <f>VLOOKUP(Table2[[#This Row],[Konto]],Table5[[Konto]:[Konto nimetus]],2,FALSE)</f>
        <v>Toiduained ja toitlustusteenused</v>
      </c>
      <c r="L1023">
        <v>55</v>
      </c>
      <c r="M1023" t="str">
        <f t="shared" si="33"/>
        <v>55</v>
      </c>
      <c r="N1023" s="3" t="str">
        <f>VLOOKUP(Table2[[#This Row],[Tulu/kulu liik2]],Table5[[Tulu/kulu liik]:[Kontode koondnimetus]],4,FALSE)</f>
        <v>Muud tegevuskulud</v>
      </c>
      <c r="O1023" s="3" t="str">
        <f>VLOOKUP(Table2[[#This Row],[Tulu/kulu liik2]],Table5[],6,FALSE)</f>
        <v>Majandamiskulud</v>
      </c>
      <c r="P1023" s="3" t="str">
        <f>VLOOKUP(Table2[[#This Row],[Tulu/kulu liik2]],Table5[],5,FALSE)</f>
        <v>Põhitegevuse kulu</v>
      </c>
    </row>
    <row r="1024" spans="1:16" hidden="1" x14ac:dyDescent="0.25">
      <c r="A1024" t="str">
        <f t="shared" si="32"/>
        <v>09</v>
      </c>
      <c r="B1024" t="s">
        <v>332</v>
      </c>
      <c r="C1024" s="3" t="str">
        <f>VLOOKUP(Table2[[#This Row],[Tegevusala]],Table4[],2,FALSE)</f>
        <v xml:space="preserve"> Põlula kool</v>
      </c>
      <c r="D1024" s="3" t="str">
        <f>VLOOKUP(Table2[[#This Row],[Tegevusala]],Table4[[Tegevusala kood]:[Tegevusala alanimetus]],4,FALSE)</f>
        <v>Põhihariduse otsekulud</v>
      </c>
      <c r="E1024" s="3" t="str">
        <f>VLOOKUP(Table2[[#This Row],[Tegevusala nimetus2]],Table4[[Tegevusala nimetus]:[Tegevusala koondnimetus]],2,FALSE)</f>
        <v>Haridus</v>
      </c>
      <c r="F1024" t="s">
        <v>1497</v>
      </c>
      <c r="G1024" t="s">
        <v>1118</v>
      </c>
      <c r="H1024" s="40">
        <v>1925</v>
      </c>
      <c r="I1024" s="2" t="s">
        <v>2175</v>
      </c>
      <c r="J1024">
        <v>5521</v>
      </c>
      <c r="K1024" s="3" t="str">
        <f>VLOOKUP(Table2[[#This Row],[Konto]],Table5[[Konto]:[Konto nimetus]],2,FALSE)</f>
        <v>Toiduained ja toitlustusteenused</v>
      </c>
      <c r="L1024">
        <v>55</v>
      </c>
      <c r="M1024" t="str">
        <f t="shared" si="33"/>
        <v>55</v>
      </c>
      <c r="N1024" s="3" t="str">
        <f>VLOOKUP(Table2[[#This Row],[Tulu/kulu liik2]],Table5[[Tulu/kulu liik]:[Kontode koondnimetus]],4,FALSE)</f>
        <v>Muud tegevuskulud</v>
      </c>
      <c r="O1024" s="34" t="str">
        <f>VLOOKUP(Table2[[#This Row],[Tulu/kulu liik2]],Table5[],6,FALSE)</f>
        <v>Majandamiskulud</v>
      </c>
      <c r="P1024" s="3" t="str">
        <f>VLOOKUP(Table2[[#This Row],[Tulu/kulu liik2]],Table5[],5,FALSE)</f>
        <v>Põhitegevuse kulu</v>
      </c>
    </row>
    <row r="1025" spans="1:16" hidden="1" x14ac:dyDescent="0.25">
      <c r="A1025" t="str">
        <f t="shared" si="32"/>
        <v>09</v>
      </c>
      <c r="B1025" t="s">
        <v>332</v>
      </c>
      <c r="C1025" s="3" t="str">
        <f>VLOOKUP(Table2[[#This Row],[Tegevusala]],Table4[],2,FALSE)</f>
        <v xml:space="preserve"> Põlula kool</v>
      </c>
      <c r="D1025" s="3" t="str">
        <f>VLOOKUP(Table2[[#This Row],[Tegevusala]],Table4[[Tegevusala kood]:[Tegevusala alanimetus]],4,FALSE)</f>
        <v>Põhihariduse otsekulud</v>
      </c>
      <c r="E1025" s="3" t="str">
        <f>VLOOKUP(Table2[[#This Row],[Tegevusala nimetus2]],Table4[[Tegevusala nimetus]:[Tegevusala koondnimetus]],2,FALSE)</f>
        <v>Haridus</v>
      </c>
      <c r="F1025" t="s">
        <v>1497</v>
      </c>
      <c r="G1025" t="s">
        <v>1512</v>
      </c>
      <c r="H1025" s="40">
        <v>100</v>
      </c>
      <c r="J1025">
        <v>5522</v>
      </c>
      <c r="K1025" s="3" t="str">
        <f>VLOOKUP(Table2[[#This Row],[Konto]],Table5[[Konto]:[Konto nimetus]],2,FALSE)</f>
        <v>Meditsiinikulud ja hügieenitarbed</v>
      </c>
      <c r="L1025">
        <v>55</v>
      </c>
      <c r="M1025" t="str">
        <f t="shared" si="33"/>
        <v>55</v>
      </c>
      <c r="N1025" s="3" t="str">
        <f>VLOOKUP(Table2[[#This Row],[Tulu/kulu liik2]],Table5[[Tulu/kulu liik]:[Kontode koondnimetus]],4,FALSE)</f>
        <v>Muud tegevuskulud</v>
      </c>
      <c r="O1025" s="3" t="str">
        <f>VLOOKUP(Table2[[#This Row],[Tulu/kulu liik2]],Table5[],6,FALSE)</f>
        <v>Majandamiskulud</v>
      </c>
      <c r="P1025" s="3" t="str">
        <f>VLOOKUP(Table2[[#This Row],[Tulu/kulu liik2]],Table5[],5,FALSE)</f>
        <v>Põhitegevuse kulu</v>
      </c>
    </row>
    <row r="1026" spans="1:16" hidden="1" x14ac:dyDescent="0.25">
      <c r="A1026" t="str">
        <f t="shared" si="32"/>
        <v>09</v>
      </c>
      <c r="B1026" t="s">
        <v>332</v>
      </c>
      <c r="C1026" s="3" t="str">
        <f>VLOOKUP(Table2[[#This Row],[Tegevusala]],Table4[],2,FALSE)</f>
        <v xml:space="preserve"> Põlula kool</v>
      </c>
      <c r="D1026" s="3" t="str">
        <f>VLOOKUP(Table2[[#This Row],[Tegevusala]],Table4[[Tegevusala kood]:[Tegevusala alanimetus]],4,FALSE)</f>
        <v>Põhihariduse otsekulud</v>
      </c>
      <c r="E1026" s="3" t="str">
        <f>VLOOKUP(Table2[[#This Row],[Tegevusala nimetus2]],Table4[[Tegevusala nimetus]:[Tegevusala koondnimetus]],2,FALSE)</f>
        <v>Haridus</v>
      </c>
      <c r="F1026" t="s">
        <v>1497</v>
      </c>
      <c r="G1026" t="s">
        <v>1513</v>
      </c>
      <c r="H1026" s="40">
        <v>300</v>
      </c>
      <c r="J1026">
        <v>5524</v>
      </c>
      <c r="K1026" s="3" t="str">
        <f>VLOOKUP(Table2[[#This Row],[Konto]],Table5[[Konto]:[Konto nimetus]],2,FALSE)</f>
        <v>Õppevahendid</v>
      </c>
      <c r="L1026">
        <v>55</v>
      </c>
      <c r="M1026" t="str">
        <f t="shared" si="33"/>
        <v>55</v>
      </c>
      <c r="N1026" s="3" t="str">
        <f>VLOOKUP(Table2[[#This Row],[Tulu/kulu liik2]],Table5[[Tulu/kulu liik]:[Kontode koondnimetus]],4,FALSE)</f>
        <v>Muud tegevuskulud</v>
      </c>
      <c r="O1026" s="3" t="str">
        <f>VLOOKUP(Table2[[#This Row],[Tulu/kulu liik2]],Table5[],6,FALSE)</f>
        <v>Majandamiskulud</v>
      </c>
      <c r="P1026" s="3" t="str">
        <f>VLOOKUP(Table2[[#This Row],[Tulu/kulu liik2]],Table5[],5,FALSE)</f>
        <v>Põhitegevuse kulu</v>
      </c>
    </row>
    <row r="1027" spans="1:16" hidden="1" x14ac:dyDescent="0.25">
      <c r="A1027" t="str">
        <f t="shared" si="32"/>
        <v>09</v>
      </c>
      <c r="B1027" t="s">
        <v>332</v>
      </c>
      <c r="C1027" s="3" t="str">
        <f>VLOOKUP(Table2[[#This Row],[Tegevusala]],Table4[],2,FALSE)</f>
        <v xml:space="preserve"> Põlula kool</v>
      </c>
      <c r="D1027" s="3" t="str">
        <f>VLOOKUP(Table2[[#This Row],[Tegevusala]],Table4[[Tegevusala kood]:[Tegevusala alanimetus]],4,FALSE)</f>
        <v>Põhihariduse otsekulud</v>
      </c>
      <c r="E1027" s="3" t="str">
        <f>VLOOKUP(Table2[[#This Row],[Tegevusala nimetus2]],Table4[[Tegevusala nimetus]:[Tegevusala koondnimetus]],2,FALSE)</f>
        <v>Haridus</v>
      </c>
      <c r="F1027" t="s">
        <v>1497</v>
      </c>
      <c r="G1027" t="s">
        <v>1514</v>
      </c>
      <c r="H1027" s="40">
        <v>300</v>
      </c>
      <c r="J1027">
        <v>5500</v>
      </c>
      <c r="K1027" s="3" t="str">
        <f>VLOOKUP(Table2[[#This Row],[Konto]],Table5[[Konto]:[Konto nimetus]],2,FALSE)</f>
        <v>Administreerimiskulud</v>
      </c>
      <c r="L1027">
        <v>55</v>
      </c>
      <c r="M1027" t="str">
        <f t="shared" si="33"/>
        <v>55</v>
      </c>
      <c r="N1027" s="3" t="str">
        <f>VLOOKUP(Table2[[#This Row],[Tulu/kulu liik2]],Table5[[Tulu/kulu liik]:[Kontode koondnimetus]],4,FALSE)</f>
        <v>Muud tegevuskulud</v>
      </c>
      <c r="O1027" s="3" t="str">
        <f>VLOOKUP(Table2[[#This Row],[Tulu/kulu liik2]],Table5[],6,FALSE)</f>
        <v>Majandamiskulud</v>
      </c>
      <c r="P1027" s="3" t="str">
        <f>VLOOKUP(Table2[[#This Row],[Tulu/kulu liik2]],Table5[],5,FALSE)</f>
        <v>Põhitegevuse kulu</v>
      </c>
    </row>
    <row r="1028" spans="1:16" hidden="1" x14ac:dyDescent="0.25">
      <c r="A1028" t="str">
        <f t="shared" si="32"/>
        <v>09</v>
      </c>
      <c r="B1028" t="s">
        <v>332</v>
      </c>
      <c r="C1028" s="3" t="str">
        <f>VLOOKUP(Table2[[#This Row],[Tegevusala]],Table4[],2,FALSE)</f>
        <v xml:space="preserve"> Põlula kool</v>
      </c>
      <c r="D1028" s="3" t="str">
        <f>VLOOKUP(Table2[[#This Row],[Tegevusala]],Table4[[Tegevusala kood]:[Tegevusala alanimetus]],4,FALSE)</f>
        <v>Põhihariduse otsekulud</v>
      </c>
      <c r="E1028" s="3" t="str">
        <f>VLOOKUP(Table2[[#This Row],[Tegevusala nimetus2]],Table4[[Tegevusala nimetus]:[Tegevusala koondnimetus]],2,FALSE)</f>
        <v>Haridus</v>
      </c>
      <c r="F1028" t="s">
        <v>1497</v>
      </c>
      <c r="G1028" t="s">
        <v>1515</v>
      </c>
      <c r="H1028" s="40">
        <v>400</v>
      </c>
      <c r="J1028">
        <v>5500</v>
      </c>
      <c r="K1028" s="3" t="str">
        <f>VLOOKUP(Table2[[#This Row],[Konto]],Table5[[Konto]:[Konto nimetus]],2,FALSE)</f>
        <v>Administreerimiskulud</v>
      </c>
      <c r="L1028">
        <v>55</v>
      </c>
      <c r="M1028" t="str">
        <f t="shared" si="33"/>
        <v>55</v>
      </c>
      <c r="N1028" s="3" t="str">
        <f>VLOOKUP(Table2[[#This Row],[Tulu/kulu liik2]],Table5[[Tulu/kulu liik]:[Kontode koondnimetus]],4,FALSE)</f>
        <v>Muud tegevuskulud</v>
      </c>
      <c r="O1028" s="3" t="str">
        <f>VLOOKUP(Table2[[#This Row],[Tulu/kulu liik2]],Table5[],6,FALSE)</f>
        <v>Majandamiskulud</v>
      </c>
      <c r="P1028" s="3" t="str">
        <f>VLOOKUP(Table2[[#This Row],[Tulu/kulu liik2]],Table5[],5,FALSE)</f>
        <v>Põhitegevuse kulu</v>
      </c>
    </row>
    <row r="1029" spans="1:16" hidden="1" x14ac:dyDescent="0.25">
      <c r="A1029" t="str">
        <f t="shared" si="32"/>
        <v>09</v>
      </c>
      <c r="B1029" t="s">
        <v>332</v>
      </c>
      <c r="C1029" s="3" t="str">
        <f>VLOOKUP(Table2[[#This Row],[Tegevusala]],Table4[],2,FALSE)</f>
        <v xml:space="preserve"> Põlula kool</v>
      </c>
      <c r="D1029" s="3" t="str">
        <f>VLOOKUP(Table2[[#This Row],[Tegevusala]],Table4[[Tegevusala kood]:[Tegevusala alanimetus]],4,FALSE)</f>
        <v>Põhihariduse otsekulud</v>
      </c>
      <c r="E1029" s="3" t="str">
        <f>VLOOKUP(Table2[[#This Row],[Tegevusala nimetus2]],Table4[[Tegevusala nimetus]:[Tegevusala koondnimetus]],2,FALSE)</f>
        <v>Haridus</v>
      </c>
      <c r="F1029" t="s">
        <v>1497</v>
      </c>
      <c r="G1029" t="s">
        <v>1516</v>
      </c>
      <c r="H1029" s="40">
        <v>500</v>
      </c>
      <c r="J1029">
        <v>5524</v>
      </c>
      <c r="K1029" s="3" t="str">
        <f>VLOOKUP(Table2[[#This Row],[Konto]],Table5[[Konto]:[Konto nimetus]],2,FALSE)</f>
        <v>Õppevahendid</v>
      </c>
      <c r="L1029">
        <v>55</v>
      </c>
      <c r="M1029" t="str">
        <f t="shared" si="33"/>
        <v>55</v>
      </c>
      <c r="N1029" s="3" t="str">
        <f>VLOOKUP(Table2[[#This Row],[Tulu/kulu liik2]],Table5[[Tulu/kulu liik]:[Kontode koondnimetus]],4,FALSE)</f>
        <v>Muud tegevuskulud</v>
      </c>
      <c r="O1029" s="3" t="str">
        <f>VLOOKUP(Table2[[#This Row],[Tulu/kulu liik2]],Table5[],6,FALSE)</f>
        <v>Majandamiskulud</v>
      </c>
      <c r="P1029" s="3" t="str">
        <f>VLOOKUP(Table2[[#This Row],[Tulu/kulu liik2]],Table5[],5,FALSE)</f>
        <v>Põhitegevuse kulu</v>
      </c>
    </row>
    <row r="1030" spans="1:16" hidden="1" x14ac:dyDescent="0.25">
      <c r="A1030" t="str">
        <f t="shared" si="32"/>
        <v>09</v>
      </c>
      <c r="B1030" t="s">
        <v>332</v>
      </c>
      <c r="C1030" s="3" t="str">
        <f>VLOOKUP(Table2[[#This Row],[Tegevusala]],Table4[],2,FALSE)</f>
        <v xml:space="preserve"> Põlula kool</v>
      </c>
      <c r="D1030" s="3" t="str">
        <f>VLOOKUP(Table2[[#This Row],[Tegevusala]],Table4[[Tegevusala kood]:[Tegevusala alanimetus]],4,FALSE)</f>
        <v>Põhihariduse otsekulud</v>
      </c>
      <c r="E1030" s="3" t="str">
        <f>VLOOKUP(Table2[[#This Row],[Tegevusala nimetus2]],Table4[[Tegevusala nimetus]:[Tegevusala koondnimetus]],2,FALSE)</f>
        <v>Haridus</v>
      </c>
      <c r="F1030" t="s">
        <v>1497</v>
      </c>
      <c r="G1030" t="s">
        <v>1517</v>
      </c>
      <c r="H1030" s="40">
        <v>300</v>
      </c>
      <c r="J1030">
        <v>5524</v>
      </c>
      <c r="K1030" s="3" t="str">
        <f>VLOOKUP(Table2[[#This Row],[Konto]],Table5[[Konto]:[Konto nimetus]],2,FALSE)</f>
        <v>Õppevahendid</v>
      </c>
      <c r="L1030">
        <v>55</v>
      </c>
      <c r="M1030" t="str">
        <f t="shared" si="33"/>
        <v>55</v>
      </c>
      <c r="N1030" s="3" t="str">
        <f>VLOOKUP(Table2[[#This Row],[Tulu/kulu liik2]],Table5[[Tulu/kulu liik]:[Kontode koondnimetus]],4,FALSE)</f>
        <v>Muud tegevuskulud</v>
      </c>
      <c r="O1030" s="3" t="str">
        <f>VLOOKUP(Table2[[#This Row],[Tulu/kulu liik2]],Table5[],6,FALSE)</f>
        <v>Majandamiskulud</v>
      </c>
      <c r="P1030" s="3" t="str">
        <f>VLOOKUP(Table2[[#This Row],[Tulu/kulu liik2]],Table5[],5,FALSE)</f>
        <v>Põhitegevuse kulu</v>
      </c>
    </row>
    <row r="1031" spans="1:16" hidden="1" x14ac:dyDescent="0.25">
      <c r="A1031" t="str">
        <f t="shared" si="32"/>
        <v>09</v>
      </c>
      <c r="B1031" t="s">
        <v>332</v>
      </c>
      <c r="C1031" s="3" t="str">
        <f>VLOOKUP(Table2[[#This Row],[Tegevusala]],Table4[],2,FALSE)</f>
        <v xml:space="preserve"> Põlula kool</v>
      </c>
      <c r="D1031" s="3" t="str">
        <f>VLOOKUP(Table2[[#This Row],[Tegevusala]],Table4[[Tegevusala kood]:[Tegevusala alanimetus]],4,FALSE)</f>
        <v>Põhihariduse otsekulud</v>
      </c>
      <c r="E1031" s="3" t="str">
        <f>VLOOKUP(Table2[[#This Row],[Tegevusala nimetus2]],Table4[[Tegevusala nimetus]:[Tegevusala koondnimetus]],2,FALSE)</f>
        <v>Haridus</v>
      </c>
      <c r="F1031" t="s">
        <v>1497</v>
      </c>
      <c r="G1031" t="s">
        <v>1518</v>
      </c>
      <c r="H1031" s="40">
        <v>800</v>
      </c>
      <c r="J1031">
        <v>5524</v>
      </c>
      <c r="K1031" s="3" t="str">
        <f>VLOOKUP(Table2[[#This Row],[Konto]],Table5[[Konto]:[Konto nimetus]],2,FALSE)</f>
        <v>Õppevahendid</v>
      </c>
      <c r="L1031">
        <v>55</v>
      </c>
      <c r="M1031" t="str">
        <f t="shared" si="33"/>
        <v>55</v>
      </c>
      <c r="N1031" s="3" t="str">
        <f>VLOOKUP(Table2[[#This Row],[Tulu/kulu liik2]],Table5[[Tulu/kulu liik]:[Kontode koondnimetus]],4,FALSE)</f>
        <v>Muud tegevuskulud</v>
      </c>
      <c r="O1031" s="3" t="str">
        <f>VLOOKUP(Table2[[#This Row],[Tulu/kulu liik2]],Table5[],6,FALSE)</f>
        <v>Majandamiskulud</v>
      </c>
      <c r="P1031" s="3" t="str">
        <f>VLOOKUP(Table2[[#This Row],[Tulu/kulu liik2]],Table5[],5,FALSE)</f>
        <v>Põhitegevuse kulu</v>
      </c>
    </row>
    <row r="1032" spans="1:16" hidden="1" x14ac:dyDescent="0.25">
      <c r="A1032" t="str">
        <f t="shared" si="32"/>
        <v>09</v>
      </c>
      <c r="B1032" t="s">
        <v>332</v>
      </c>
      <c r="C1032" s="3" t="str">
        <f>VLOOKUP(Table2[[#This Row],[Tegevusala]],Table4[],2,FALSE)</f>
        <v xml:space="preserve"> Põlula kool</v>
      </c>
      <c r="D1032" s="3" t="str">
        <f>VLOOKUP(Table2[[#This Row],[Tegevusala]],Table4[[Tegevusala kood]:[Tegevusala alanimetus]],4,FALSE)</f>
        <v>Põhihariduse otsekulud</v>
      </c>
      <c r="E1032" s="3" t="str">
        <f>VLOOKUP(Table2[[#This Row],[Tegevusala nimetus2]],Table4[[Tegevusala nimetus]:[Tegevusala koondnimetus]],2,FALSE)</f>
        <v>Haridus</v>
      </c>
      <c r="F1032" t="s">
        <v>1497</v>
      </c>
      <c r="G1032" t="s">
        <v>1373</v>
      </c>
      <c r="H1032" s="40">
        <v>1000</v>
      </c>
      <c r="J1032">
        <v>5525</v>
      </c>
      <c r="K1032" s="3" t="str">
        <f>VLOOKUP(Table2[[#This Row],[Konto]],Table5[[Konto]:[Konto nimetus]],2,FALSE)</f>
        <v>Kommunikatsiooni-, kultuuri- ja vaba aja sisustamise kulud</v>
      </c>
      <c r="L1032">
        <v>55</v>
      </c>
      <c r="M1032" t="str">
        <f t="shared" si="33"/>
        <v>55</v>
      </c>
      <c r="N1032" s="3" t="str">
        <f>VLOOKUP(Table2[[#This Row],[Tulu/kulu liik2]],Table5[[Tulu/kulu liik]:[Kontode koondnimetus]],4,FALSE)</f>
        <v>Muud tegevuskulud</v>
      </c>
      <c r="O1032" s="3" t="str">
        <f>VLOOKUP(Table2[[#This Row],[Tulu/kulu liik2]],Table5[],6,FALSE)</f>
        <v>Majandamiskulud</v>
      </c>
      <c r="P1032" s="3" t="str">
        <f>VLOOKUP(Table2[[#This Row],[Tulu/kulu liik2]],Table5[],5,FALSE)</f>
        <v>Põhitegevuse kulu</v>
      </c>
    </row>
    <row r="1033" spans="1:16" hidden="1" x14ac:dyDescent="0.25">
      <c r="A1033" t="str">
        <f t="shared" si="32"/>
        <v>09</v>
      </c>
      <c r="B1033" t="s">
        <v>332</v>
      </c>
      <c r="C1033" s="3" t="str">
        <f>VLOOKUP(Table2[[#This Row],[Tegevusala]],Table4[],2,FALSE)</f>
        <v xml:space="preserve"> Põlula kool</v>
      </c>
      <c r="D1033" s="3" t="str">
        <f>VLOOKUP(Table2[[#This Row],[Tegevusala]],Table4[[Tegevusala kood]:[Tegevusala alanimetus]],4,FALSE)</f>
        <v>Põhihariduse otsekulud</v>
      </c>
      <c r="E1033" s="3" t="str">
        <f>VLOOKUP(Table2[[#This Row],[Tegevusala nimetus2]],Table4[[Tegevusala nimetus]:[Tegevusala koondnimetus]],2,FALSE)</f>
        <v>Haridus</v>
      </c>
      <c r="F1033" t="s">
        <v>1497</v>
      </c>
      <c r="G1033" t="s">
        <v>1501</v>
      </c>
      <c r="H1033" s="40">
        <v>600</v>
      </c>
      <c r="J1033">
        <v>5511</v>
      </c>
      <c r="K1033" s="3" t="str">
        <f>VLOOKUP(Table2[[#This Row],[Konto]],Table5[[Konto]:[Konto nimetus]],2,FALSE)</f>
        <v>Kinnistute, hoonete ja ruumide majandamiskulud</v>
      </c>
      <c r="L1033">
        <v>55</v>
      </c>
      <c r="M1033" t="str">
        <f t="shared" si="33"/>
        <v>55</v>
      </c>
      <c r="N1033" s="3" t="str">
        <f>VLOOKUP(Table2[[#This Row],[Tulu/kulu liik2]],Table5[[Tulu/kulu liik]:[Kontode koondnimetus]],4,FALSE)</f>
        <v>Muud tegevuskulud</v>
      </c>
      <c r="O1033" s="3" t="str">
        <f>VLOOKUP(Table2[[#This Row],[Tulu/kulu liik2]],Table5[],6,FALSE)</f>
        <v>Majandamiskulud</v>
      </c>
      <c r="P1033" s="3" t="str">
        <f>VLOOKUP(Table2[[#This Row],[Tulu/kulu liik2]],Table5[],5,FALSE)</f>
        <v>Põhitegevuse kulu</v>
      </c>
    </row>
    <row r="1034" spans="1:16" hidden="1" x14ac:dyDescent="0.25">
      <c r="A1034" t="str">
        <f t="shared" si="32"/>
        <v>09</v>
      </c>
      <c r="B1034" t="s">
        <v>332</v>
      </c>
      <c r="C1034" s="3" t="str">
        <f>VLOOKUP(Table2[[#This Row],[Tegevusala]],Table4[],2,FALSE)</f>
        <v xml:space="preserve"> Põlula kool</v>
      </c>
      <c r="D1034" s="3" t="str">
        <f>VLOOKUP(Table2[[#This Row],[Tegevusala]],Table4[[Tegevusala kood]:[Tegevusala alanimetus]],4,FALSE)</f>
        <v>Põhihariduse otsekulud</v>
      </c>
      <c r="E1034" s="3" t="str">
        <f>VLOOKUP(Table2[[#This Row],[Tegevusala nimetus2]],Table4[[Tegevusala nimetus]:[Tegevusala koondnimetus]],2,FALSE)</f>
        <v>Haridus</v>
      </c>
      <c r="F1034" t="s">
        <v>1497</v>
      </c>
      <c r="G1034" t="s">
        <v>1502</v>
      </c>
      <c r="H1034" s="40">
        <v>3000</v>
      </c>
      <c r="J1034">
        <v>5511</v>
      </c>
      <c r="K1034" s="3" t="str">
        <f>VLOOKUP(Table2[[#This Row],[Konto]],Table5[[Konto]:[Konto nimetus]],2,FALSE)</f>
        <v>Kinnistute, hoonete ja ruumide majandamiskulud</v>
      </c>
      <c r="L1034">
        <v>55</v>
      </c>
      <c r="M1034" t="str">
        <f t="shared" si="33"/>
        <v>55</v>
      </c>
      <c r="N1034" s="3" t="str">
        <f>VLOOKUP(Table2[[#This Row],[Tulu/kulu liik2]],Table5[[Tulu/kulu liik]:[Kontode koondnimetus]],4,FALSE)</f>
        <v>Muud tegevuskulud</v>
      </c>
      <c r="O1034" s="3" t="str">
        <f>VLOOKUP(Table2[[#This Row],[Tulu/kulu liik2]],Table5[],6,FALSE)</f>
        <v>Majandamiskulud</v>
      </c>
      <c r="P1034" s="3" t="str">
        <f>VLOOKUP(Table2[[#This Row],[Tulu/kulu liik2]],Table5[],5,FALSE)</f>
        <v>Põhitegevuse kulu</v>
      </c>
    </row>
    <row r="1035" spans="1:16" hidden="1" x14ac:dyDescent="0.25">
      <c r="A1035" t="str">
        <f t="shared" si="32"/>
        <v>09</v>
      </c>
      <c r="B1035" t="s">
        <v>332</v>
      </c>
      <c r="C1035" s="3" t="str">
        <f>VLOOKUP(Table2[[#This Row],[Tegevusala]],Table4[],2,FALSE)</f>
        <v xml:space="preserve"> Põlula kool</v>
      </c>
      <c r="D1035" s="3" t="str">
        <f>VLOOKUP(Table2[[#This Row],[Tegevusala]],Table4[[Tegevusala kood]:[Tegevusala alanimetus]],4,FALSE)</f>
        <v>Põhihariduse otsekulud</v>
      </c>
      <c r="E1035" s="3" t="str">
        <f>VLOOKUP(Table2[[#This Row],[Tegevusala nimetus2]],Table4[[Tegevusala nimetus]:[Tegevusala koondnimetus]],2,FALSE)</f>
        <v>Haridus</v>
      </c>
      <c r="F1035" t="s">
        <v>1497</v>
      </c>
      <c r="G1035" t="s">
        <v>178</v>
      </c>
      <c r="H1035" s="40">
        <v>17000</v>
      </c>
      <c r="J1035">
        <v>5511</v>
      </c>
      <c r="K1035" s="3" t="str">
        <f>VLOOKUP(Table2[[#This Row],[Konto]],Table5[[Konto]:[Konto nimetus]],2,FALSE)</f>
        <v>Kinnistute, hoonete ja ruumide majandamiskulud</v>
      </c>
      <c r="L1035">
        <v>55</v>
      </c>
      <c r="M1035" t="str">
        <f t="shared" si="33"/>
        <v>55</v>
      </c>
      <c r="N1035" s="3" t="str">
        <f>VLOOKUP(Table2[[#This Row],[Tulu/kulu liik2]],Table5[[Tulu/kulu liik]:[Kontode koondnimetus]],4,FALSE)</f>
        <v>Muud tegevuskulud</v>
      </c>
      <c r="O1035" s="3" t="str">
        <f>VLOOKUP(Table2[[#This Row],[Tulu/kulu liik2]],Table5[],6,FALSE)</f>
        <v>Majandamiskulud</v>
      </c>
      <c r="P1035" s="3" t="str">
        <f>VLOOKUP(Table2[[#This Row],[Tulu/kulu liik2]],Table5[],5,FALSE)</f>
        <v>Põhitegevuse kulu</v>
      </c>
    </row>
    <row r="1036" spans="1:16" hidden="1" x14ac:dyDescent="0.25">
      <c r="A1036" t="str">
        <f t="shared" si="32"/>
        <v>09</v>
      </c>
      <c r="B1036" t="s">
        <v>332</v>
      </c>
      <c r="C1036" s="3" t="str">
        <f>VLOOKUP(Table2[[#This Row],[Tegevusala]],Table4[],2,FALSE)</f>
        <v xml:space="preserve"> Põlula kool</v>
      </c>
      <c r="D1036" s="3" t="str">
        <f>VLOOKUP(Table2[[#This Row],[Tegevusala]],Table4[[Tegevusala kood]:[Tegevusala alanimetus]],4,FALSE)</f>
        <v>Põhihariduse otsekulud</v>
      </c>
      <c r="E1036" s="3" t="str">
        <f>VLOOKUP(Table2[[#This Row],[Tegevusala nimetus2]],Table4[[Tegevusala nimetus]:[Tegevusala koondnimetus]],2,FALSE)</f>
        <v>Haridus</v>
      </c>
      <c r="F1036" t="s">
        <v>1497</v>
      </c>
      <c r="G1036" t="s">
        <v>182</v>
      </c>
      <c r="H1036" s="40">
        <v>1500</v>
      </c>
      <c r="J1036">
        <v>5511</v>
      </c>
      <c r="K1036" s="3" t="str">
        <f>VLOOKUP(Table2[[#This Row],[Konto]],Table5[[Konto]:[Konto nimetus]],2,FALSE)</f>
        <v>Kinnistute, hoonete ja ruumide majandamiskulud</v>
      </c>
      <c r="L1036">
        <v>55</v>
      </c>
      <c r="M1036" t="str">
        <f t="shared" si="33"/>
        <v>55</v>
      </c>
      <c r="N1036" s="3" t="str">
        <f>VLOOKUP(Table2[[#This Row],[Tulu/kulu liik2]],Table5[[Tulu/kulu liik]:[Kontode koondnimetus]],4,FALSE)</f>
        <v>Muud tegevuskulud</v>
      </c>
      <c r="O1036" s="3" t="str">
        <f>VLOOKUP(Table2[[#This Row],[Tulu/kulu liik2]],Table5[],6,FALSE)</f>
        <v>Majandamiskulud</v>
      </c>
      <c r="P1036" s="3" t="str">
        <f>VLOOKUP(Table2[[#This Row],[Tulu/kulu liik2]],Table5[],5,FALSE)</f>
        <v>Põhitegevuse kulu</v>
      </c>
    </row>
    <row r="1037" spans="1:16" hidden="1" x14ac:dyDescent="0.25">
      <c r="A1037" t="str">
        <f t="shared" si="32"/>
        <v>09</v>
      </c>
      <c r="B1037" t="s">
        <v>332</v>
      </c>
      <c r="C1037" s="3" t="str">
        <f>VLOOKUP(Table2[[#This Row],[Tegevusala]],Table4[],2,FALSE)</f>
        <v xml:space="preserve"> Põlula kool</v>
      </c>
      <c r="D1037" s="3" t="str">
        <f>VLOOKUP(Table2[[#This Row],[Tegevusala]],Table4[[Tegevusala kood]:[Tegevusala alanimetus]],4,FALSE)</f>
        <v>Põhihariduse otsekulud</v>
      </c>
      <c r="E1037" s="3" t="str">
        <f>VLOOKUP(Table2[[#This Row],[Tegevusala nimetus2]],Table4[[Tegevusala nimetus]:[Tegevusala koondnimetus]],2,FALSE)</f>
        <v>Haridus</v>
      </c>
      <c r="F1037" t="s">
        <v>1497</v>
      </c>
      <c r="G1037" t="s">
        <v>1503</v>
      </c>
      <c r="H1037" s="40">
        <v>600</v>
      </c>
      <c r="J1037">
        <v>5511</v>
      </c>
      <c r="K1037" s="3" t="str">
        <f>VLOOKUP(Table2[[#This Row],[Konto]],Table5[[Konto]:[Konto nimetus]],2,FALSE)</f>
        <v>Kinnistute, hoonete ja ruumide majandamiskulud</v>
      </c>
      <c r="L1037">
        <v>55</v>
      </c>
      <c r="M1037" t="str">
        <f t="shared" si="33"/>
        <v>55</v>
      </c>
      <c r="N1037" s="3" t="str">
        <f>VLOOKUP(Table2[[#This Row],[Tulu/kulu liik2]],Table5[[Tulu/kulu liik]:[Kontode koondnimetus]],4,FALSE)</f>
        <v>Muud tegevuskulud</v>
      </c>
      <c r="O1037" s="3" t="str">
        <f>VLOOKUP(Table2[[#This Row],[Tulu/kulu liik2]],Table5[],6,FALSE)</f>
        <v>Majandamiskulud</v>
      </c>
      <c r="P1037" s="3" t="str">
        <f>VLOOKUP(Table2[[#This Row],[Tulu/kulu liik2]],Table5[],5,FALSE)</f>
        <v>Põhitegevuse kulu</v>
      </c>
    </row>
    <row r="1038" spans="1:16" hidden="1" x14ac:dyDescent="0.25">
      <c r="A1038" t="str">
        <f t="shared" si="32"/>
        <v>09</v>
      </c>
      <c r="B1038" t="s">
        <v>332</v>
      </c>
      <c r="C1038" s="3" t="str">
        <f>VLOOKUP(Table2[[#This Row],[Tegevusala]],Table4[],2,FALSE)</f>
        <v xml:space="preserve"> Põlula kool</v>
      </c>
      <c r="D1038" s="3" t="str">
        <f>VLOOKUP(Table2[[#This Row],[Tegevusala]],Table4[[Tegevusala kood]:[Tegevusala alanimetus]],4,FALSE)</f>
        <v>Põhihariduse otsekulud</v>
      </c>
      <c r="E1038" s="3" t="str">
        <f>VLOOKUP(Table2[[#This Row],[Tegevusala nimetus2]],Table4[[Tegevusala nimetus]:[Tegevusala koondnimetus]],2,FALSE)</f>
        <v>Haridus</v>
      </c>
      <c r="F1038" t="s">
        <v>1497</v>
      </c>
      <c r="G1038" t="s">
        <v>1504</v>
      </c>
      <c r="H1038" s="40">
        <v>500</v>
      </c>
      <c r="J1038">
        <v>5511</v>
      </c>
      <c r="K1038" s="3" t="str">
        <f>VLOOKUP(Table2[[#This Row],[Konto]],Table5[[Konto]:[Konto nimetus]],2,FALSE)</f>
        <v>Kinnistute, hoonete ja ruumide majandamiskulud</v>
      </c>
      <c r="L1038">
        <v>55</v>
      </c>
      <c r="M1038" t="str">
        <f t="shared" si="33"/>
        <v>55</v>
      </c>
      <c r="N1038" s="3" t="str">
        <f>VLOOKUP(Table2[[#This Row],[Tulu/kulu liik2]],Table5[[Tulu/kulu liik]:[Kontode koondnimetus]],4,FALSE)</f>
        <v>Muud tegevuskulud</v>
      </c>
      <c r="O1038" s="3" t="str">
        <f>VLOOKUP(Table2[[#This Row],[Tulu/kulu liik2]],Table5[],6,FALSE)</f>
        <v>Majandamiskulud</v>
      </c>
      <c r="P1038" s="3" t="str">
        <f>VLOOKUP(Table2[[#This Row],[Tulu/kulu liik2]],Table5[],5,FALSE)</f>
        <v>Põhitegevuse kulu</v>
      </c>
    </row>
    <row r="1039" spans="1:16" hidden="1" x14ac:dyDescent="0.25">
      <c r="A1039" t="str">
        <f t="shared" si="32"/>
        <v>09</v>
      </c>
      <c r="B1039" t="s">
        <v>332</v>
      </c>
      <c r="C1039" s="3" t="str">
        <f>VLOOKUP(Table2[[#This Row],[Tegevusala]],Table4[],2,FALSE)</f>
        <v xml:space="preserve"> Põlula kool</v>
      </c>
      <c r="D1039" s="3" t="str">
        <f>VLOOKUP(Table2[[#This Row],[Tegevusala]],Table4[[Tegevusala kood]:[Tegevusala alanimetus]],4,FALSE)</f>
        <v>Põhihariduse otsekulud</v>
      </c>
      <c r="E1039" s="3" t="str">
        <f>VLOOKUP(Table2[[#This Row],[Tegevusala nimetus2]],Table4[[Tegevusala nimetus]:[Tegevusala koondnimetus]],2,FALSE)</f>
        <v>Haridus</v>
      </c>
      <c r="F1039" t="s">
        <v>1497</v>
      </c>
      <c r="G1039" t="s">
        <v>1505</v>
      </c>
      <c r="H1039" s="40">
        <v>500</v>
      </c>
      <c r="J1039">
        <v>5511</v>
      </c>
      <c r="K1039" s="3" t="str">
        <f>VLOOKUP(Table2[[#This Row],[Konto]],Table5[[Konto]:[Konto nimetus]],2,FALSE)</f>
        <v>Kinnistute, hoonete ja ruumide majandamiskulud</v>
      </c>
      <c r="L1039">
        <v>55</v>
      </c>
      <c r="M1039" t="str">
        <f t="shared" si="33"/>
        <v>55</v>
      </c>
      <c r="N1039" s="3" t="str">
        <f>VLOOKUP(Table2[[#This Row],[Tulu/kulu liik2]],Table5[[Tulu/kulu liik]:[Kontode koondnimetus]],4,FALSE)</f>
        <v>Muud tegevuskulud</v>
      </c>
      <c r="O1039" s="3" t="str">
        <f>VLOOKUP(Table2[[#This Row],[Tulu/kulu liik2]],Table5[],6,FALSE)</f>
        <v>Majandamiskulud</v>
      </c>
      <c r="P1039" s="3" t="str">
        <f>VLOOKUP(Table2[[#This Row],[Tulu/kulu liik2]],Table5[],5,FALSE)</f>
        <v>Põhitegevuse kulu</v>
      </c>
    </row>
    <row r="1040" spans="1:16" hidden="1" x14ac:dyDescent="0.25">
      <c r="A1040" t="str">
        <f t="shared" si="32"/>
        <v>09</v>
      </c>
      <c r="B1040" t="s">
        <v>332</v>
      </c>
      <c r="C1040" s="3" t="str">
        <f>VLOOKUP(Table2[[#This Row],[Tegevusala]],Table4[],2,FALSE)</f>
        <v xml:space="preserve"> Põlula kool</v>
      </c>
      <c r="D1040" s="3" t="str">
        <f>VLOOKUP(Table2[[#This Row],[Tegevusala]],Table4[[Tegevusala kood]:[Tegevusala alanimetus]],4,FALSE)</f>
        <v>Põhihariduse otsekulud</v>
      </c>
      <c r="E1040" s="3" t="str">
        <f>VLOOKUP(Table2[[#This Row],[Tegevusala nimetus2]],Table4[[Tegevusala nimetus]:[Tegevusala koondnimetus]],2,FALSE)</f>
        <v>Haridus</v>
      </c>
      <c r="F1040" t="s">
        <v>1497</v>
      </c>
      <c r="G1040" t="s">
        <v>1507</v>
      </c>
      <c r="H1040" s="40">
        <v>2500</v>
      </c>
      <c r="J1040">
        <v>5514</v>
      </c>
      <c r="K1040" s="3" t="str">
        <f>VLOOKUP(Table2[[#This Row],[Konto]],Table5[[Konto]:[Konto nimetus]],2,FALSE)</f>
        <v>Info- ja kommunikatsioonitehnoliigised kulud</v>
      </c>
      <c r="L1040">
        <v>55</v>
      </c>
      <c r="M1040" t="str">
        <f t="shared" si="33"/>
        <v>55</v>
      </c>
      <c r="N1040" s="3" t="str">
        <f>VLOOKUP(Table2[[#This Row],[Tulu/kulu liik2]],Table5[[Tulu/kulu liik]:[Kontode koondnimetus]],4,FALSE)</f>
        <v>Muud tegevuskulud</v>
      </c>
      <c r="O1040" s="3" t="str">
        <f>VLOOKUP(Table2[[#This Row],[Tulu/kulu liik2]],Table5[],6,FALSE)</f>
        <v>Majandamiskulud</v>
      </c>
      <c r="P1040" s="3" t="str">
        <f>VLOOKUP(Table2[[#This Row],[Tulu/kulu liik2]],Table5[],5,FALSE)</f>
        <v>Põhitegevuse kulu</v>
      </c>
    </row>
    <row r="1041" spans="1:16" hidden="1" x14ac:dyDescent="0.25">
      <c r="A1041" t="str">
        <f t="shared" si="32"/>
        <v>09</v>
      </c>
      <c r="B1041" t="s">
        <v>332</v>
      </c>
      <c r="C1041" s="3" t="str">
        <f>VLOOKUP(Table2[[#This Row],[Tegevusala]],Table4[],2,FALSE)</f>
        <v xml:space="preserve"> Põlula kool</v>
      </c>
      <c r="D1041" s="3" t="str">
        <f>VLOOKUP(Table2[[#This Row],[Tegevusala]],Table4[[Tegevusala kood]:[Tegevusala alanimetus]],4,FALSE)</f>
        <v>Põhihariduse otsekulud</v>
      </c>
      <c r="E1041" s="3" t="str">
        <f>VLOOKUP(Table2[[#This Row],[Tegevusala nimetus2]],Table4[[Tegevusala nimetus]:[Tegevusala koondnimetus]],2,FALSE)</f>
        <v>Haridus</v>
      </c>
      <c r="F1041" t="s">
        <v>1497</v>
      </c>
      <c r="G1041" t="s">
        <v>2172</v>
      </c>
      <c r="H1041" s="40">
        <v>627</v>
      </c>
      <c r="I1041" s="2" t="s">
        <v>2175</v>
      </c>
      <c r="J1041">
        <v>5524</v>
      </c>
      <c r="K1041" s="3" t="str">
        <f>VLOOKUP(Table2[[#This Row],[Konto]],Table5[[Konto]:[Konto nimetus]],2,FALSE)</f>
        <v>Õppevahendid</v>
      </c>
      <c r="L1041">
        <v>55</v>
      </c>
      <c r="M1041" t="str">
        <f t="shared" si="33"/>
        <v>55</v>
      </c>
      <c r="N1041" s="3" t="str">
        <f>VLOOKUP(Table2[[#This Row],[Tulu/kulu liik2]],Table5[[Tulu/kulu liik]:[Kontode koondnimetus]],4,FALSE)</f>
        <v>Muud tegevuskulud</v>
      </c>
      <c r="O1041" s="34" t="str">
        <f>VLOOKUP(Table2[[#This Row],[Tulu/kulu liik2]],Table5[],6,FALSE)</f>
        <v>Majandamiskulud</v>
      </c>
      <c r="P1041" s="3" t="str">
        <f>VLOOKUP(Table2[[#This Row],[Tulu/kulu liik2]],Table5[],5,FALSE)</f>
        <v>Põhitegevuse kulu</v>
      </c>
    </row>
    <row r="1042" spans="1:16" hidden="1" x14ac:dyDescent="0.25">
      <c r="A1042" t="str">
        <f t="shared" si="32"/>
        <v>09</v>
      </c>
      <c r="B1042" t="s">
        <v>335</v>
      </c>
      <c r="C1042" s="3" t="str">
        <f>VLOOKUP(Table2[[#This Row],[Tegevusala]],Table4[],2,FALSE)</f>
        <v xml:space="preserve"> Kohatasud</v>
      </c>
      <c r="D1042" s="3" t="str">
        <f>VLOOKUP(Table2[[#This Row],[Tegevusala]],Table4[[Tegevusala kood]:[Tegevusala alanimetus]],4,FALSE)</f>
        <v>Üldkeskhariduse otsekulud</v>
      </c>
      <c r="E1042" s="3" t="str">
        <f>VLOOKUP(Table2[[#This Row],[Tegevusala nimetus2]],Table4[[Tegevusala nimetus]:[Tegevusala koondnimetus]],2,FALSE)</f>
        <v>Haridus</v>
      </c>
      <c r="F1042" t="s">
        <v>1527</v>
      </c>
      <c r="G1042" t="s">
        <v>1533</v>
      </c>
      <c r="H1042" s="40">
        <v>64104.399999999994</v>
      </c>
      <c r="I1042" s="2" t="s">
        <v>1535</v>
      </c>
      <c r="J1042">
        <v>5524</v>
      </c>
      <c r="K1042" s="3" t="str">
        <f>VLOOKUP(Table2[[#This Row],[Konto]],Table5[[Konto]:[Konto nimetus]],2,FALSE)</f>
        <v>Õppevahendid</v>
      </c>
      <c r="L1042">
        <v>55</v>
      </c>
      <c r="M1042" t="str">
        <f t="shared" si="33"/>
        <v>55</v>
      </c>
      <c r="N1042" s="3" t="str">
        <f>VLOOKUP(Table2[[#This Row],[Tulu/kulu liik2]],Table5[[Tulu/kulu liik]:[Kontode koondnimetus]],4,FALSE)</f>
        <v>Muud tegevuskulud</v>
      </c>
      <c r="O1042" s="3" t="str">
        <f>VLOOKUP(Table2[[#This Row],[Tulu/kulu liik2]],Table5[],6,FALSE)</f>
        <v>Majandamiskulud</v>
      </c>
      <c r="P1042" s="3" t="str">
        <f>VLOOKUP(Table2[[#This Row],[Tulu/kulu liik2]],Table5[],5,FALSE)</f>
        <v>Põhitegevuse kulu</v>
      </c>
    </row>
    <row r="1043" spans="1:16" hidden="1" x14ac:dyDescent="0.25">
      <c r="A1043" s="8" t="str">
        <f t="shared" si="32"/>
        <v>09</v>
      </c>
      <c r="B1043" s="8" t="s">
        <v>335</v>
      </c>
      <c r="C1043" s="32" t="str">
        <f>VLOOKUP(Table2[[#This Row],[Tegevusala]],Table4[],2,FALSE)</f>
        <v xml:space="preserve"> Kohatasud</v>
      </c>
      <c r="D1043" s="32" t="str">
        <f>VLOOKUP(Table2[[#This Row],[Tegevusala]],Table4[[Tegevusala kood]:[Tegevusala alanimetus]],4,FALSE)</f>
        <v>Üldkeskhariduse otsekulud</v>
      </c>
      <c r="E1043" s="32" t="str">
        <f>VLOOKUP(Table2[[#This Row],[Tegevusala nimetus2]],Table4[[Tegevusala nimetus]:[Tegevusala koondnimetus]],2,FALSE)</f>
        <v>Haridus</v>
      </c>
      <c r="F1043" s="8" t="s">
        <v>1527</v>
      </c>
      <c r="G1043" s="8" t="s">
        <v>1528</v>
      </c>
      <c r="H1043" s="43">
        <v>-13104</v>
      </c>
      <c r="I1043" s="9" t="s">
        <v>1530</v>
      </c>
      <c r="J1043" s="8">
        <v>32202</v>
      </c>
      <c r="K1043" s="32" t="str">
        <f>VLOOKUP(Table2[[#This Row],[Konto]],Table5[[Konto]:[Konto nimetus]],2,FALSE)</f>
        <v>Õpilaskoht</v>
      </c>
      <c r="L1043" s="8">
        <v>32</v>
      </c>
      <c r="M1043" s="8" t="str">
        <f t="shared" si="33"/>
        <v>32</v>
      </c>
      <c r="N1043" s="32" t="str">
        <f>VLOOKUP(Table2[[#This Row],[Tulu/kulu liik2]],Table5[[Tulu/kulu liik]:[Kontode koondnimetus]],4,FALSE)</f>
        <v>Tulud kaupade ja teenuste müügist</v>
      </c>
      <c r="O1043" s="32" t="str">
        <f>VLOOKUP(Table2[[#This Row],[Tulu/kulu liik2]],Table5[],6,FALSE)</f>
        <v>Tulud kaupade ja teenuste müügist</v>
      </c>
      <c r="P1043" s="32" t="str">
        <f>VLOOKUP(Table2[[#This Row],[Tulu/kulu liik2]],Table5[],5,FALSE)</f>
        <v>Põhitegevuse tulu</v>
      </c>
    </row>
    <row r="1044" spans="1:16" hidden="1" x14ac:dyDescent="0.25">
      <c r="A1044" t="str">
        <f t="shared" si="32"/>
        <v>09</v>
      </c>
      <c r="B1044" t="s">
        <v>51</v>
      </c>
      <c r="C1044" s="3" t="str">
        <f>VLOOKUP(Table2[[#This Row],[Tegevusala]],Table4[],2,FALSE)</f>
        <v xml:space="preserve"> Noorte huviharidus ja huvitegevus</v>
      </c>
      <c r="D1044" s="3" t="str">
        <f>VLOOKUP(Table2[[#This Row],[Tegevusala]],Table4[[Tegevusala kood]:[Tegevusala alanimetus]],4,FALSE)</f>
        <v>Noorte huviharidus ja huvitegevus</v>
      </c>
      <c r="E1044" s="3" t="str">
        <f>VLOOKUP(Table2[[#This Row],[Tegevusala nimetus2]],Table4[[Tegevusala nimetus]:[Tegevusala koondnimetus]],2,FALSE)</f>
        <v>Haridus</v>
      </c>
      <c r="F1044" t="s">
        <v>1527</v>
      </c>
      <c r="G1044" t="s">
        <v>2086</v>
      </c>
      <c r="H1044" s="40">
        <v>0</v>
      </c>
      <c r="J1044">
        <v>5524</v>
      </c>
      <c r="K1044" s="3" t="str">
        <f>VLOOKUP(Table2[[#This Row],[Konto]],Table5[[Konto]:[Konto nimetus]],2,FALSE)</f>
        <v>Õppevahendid</v>
      </c>
      <c r="L1044">
        <v>55</v>
      </c>
      <c r="M1044" t="str">
        <f t="shared" si="33"/>
        <v>55</v>
      </c>
      <c r="N1044" s="3" t="str">
        <f>VLOOKUP(Table2[[#This Row],[Tulu/kulu liik2]],Table5[[Tulu/kulu liik]:[Kontode koondnimetus]],4,FALSE)</f>
        <v>Muud tegevuskulud</v>
      </c>
      <c r="O1044" s="3" t="str">
        <f>VLOOKUP(Table2[[#This Row],[Tulu/kulu liik2]],Table5[],6,FALSE)</f>
        <v>Majandamiskulud</v>
      </c>
      <c r="P1044" s="3" t="str">
        <f>VLOOKUP(Table2[[#This Row],[Tulu/kulu liik2]],Table5[],5,FALSE)</f>
        <v>Põhitegevuse kulu</v>
      </c>
    </row>
    <row r="1045" spans="1:16" hidden="1" x14ac:dyDescent="0.25">
      <c r="A1045" t="str">
        <f t="shared" si="32"/>
        <v>09</v>
      </c>
      <c r="B1045" t="s">
        <v>51</v>
      </c>
      <c r="C1045" s="3" t="str">
        <f>VLOOKUP(Table2[[#This Row],[Tegevusala]],Table4[],2,FALSE)</f>
        <v xml:space="preserve"> Noorte huviharidus ja huvitegevus</v>
      </c>
      <c r="D1045" s="3" t="str">
        <f>VLOOKUP(Table2[[#This Row],[Tegevusala]],Table4[[Tegevusala kood]:[Tegevusala alanimetus]],4,FALSE)</f>
        <v>Noorte huviharidus ja huvitegevus</v>
      </c>
      <c r="E1045" s="3" t="str">
        <f>VLOOKUP(Table2[[#This Row],[Tegevusala nimetus2]],Table4[[Tegevusala nimetus]:[Tegevusala koondnimetus]],2,FALSE)</f>
        <v>Haridus</v>
      </c>
      <c r="F1045" t="s">
        <v>1527</v>
      </c>
      <c r="G1045" t="s">
        <v>1537</v>
      </c>
      <c r="H1045" s="40">
        <v>35000</v>
      </c>
      <c r="J1045">
        <v>5524</v>
      </c>
      <c r="K1045" s="3" t="str">
        <f>VLOOKUP(Table2[[#This Row],[Konto]],Table5[[Konto]:[Konto nimetus]],2,FALSE)</f>
        <v>Õppevahendid</v>
      </c>
      <c r="L1045">
        <v>55</v>
      </c>
      <c r="M1045" t="str">
        <f t="shared" si="33"/>
        <v>55</v>
      </c>
      <c r="N1045" s="3" t="str">
        <f>VLOOKUP(Table2[[#This Row],[Tulu/kulu liik2]],Table5[[Tulu/kulu liik]:[Kontode koondnimetus]],4,FALSE)</f>
        <v>Muud tegevuskulud</v>
      </c>
      <c r="O1045" s="3" t="str">
        <f>VLOOKUP(Table2[[#This Row],[Tulu/kulu liik2]],Table5[],6,FALSE)</f>
        <v>Majandamiskulud</v>
      </c>
      <c r="P1045" s="3" t="str">
        <f>VLOOKUP(Table2[[#This Row],[Tulu/kulu liik2]],Table5[],5,FALSE)</f>
        <v>Põhitegevuse kulu</v>
      </c>
    </row>
    <row r="1046" spans="1:16" hidden="1" x14ac:dyDescent="0.25">
      <c r="A1046" t="str">
        <f t="shared" si="32"/>
        <v>09</v>
      </c>
      <c r="B1046" t="s">
        <v>51</v>
      </c>
      <c r="C1046" s="3" t="str">
        <f>VLOOKUP(Table2[[#This Row],[Tegevusala]],Table4[],2,FALSE)</f>
        <v xml:space="preserve"> Noorte huviharidus ja huvitegevus</v>
      </c>
      <c r="D1046" s="3" t="str">
        <f>VLOOKUP(Table2[[#This Row],[Tegevusala]],Table4[[Tegevusala kood]:[Tegevusala alanimetus]],4,FALSE)</f>
        <v>Noorte huviharidus ja huvitegevus</v>
      </c>
      <c r="E1046" s="3" t="str">
        <f>VLOOKUP(Table2[[#This Row],[Tegevusala nimetus2]],Table4[[Tegevusala nimetus]:[Tegevusala koondnimetus]],2,FALSE)</f>
        <v>Haridus</v>
      </c>
      <c r="F1046" t="s">
        <v>1527</v>
      </c>
      <c r="G1046" t="s">
        <v>1538</v>
      </c>
      <c r="H1046" s="40">
        <v>20000</v>
      </c>
      <c r="J1046">
        <v>5540</v>
      </c>
      <c r="K1046" s="3" t="str">
        <f>VLOOKUP(Table2[[#This Row],[Konto]],Table5[[Konto]:[Konto nimetus]],2,FALSE)</f>
        <v>Mitmesugused majanduskulud</v>
      </c>
      <c r="L1046">
        <v>55</v>
      </c>
      <c r="M1046" t="str">
        <f t="shared" si="33"/>
        <v>55</v>
      </c>
      <c r="N1046" s="3" t="str">
        <f>VLOOKUP(Table2[[#This Row],[Tulu/kulu liik2]],Table5[[Tulu/kulu liik]:[Kontode koondnimetus]],4,FALSE)</f>
        <v>Muud tegevuskulud</v>
      </c>
      <c r="O1046" s="3" t="str">
        <f>VLOOKUP(Table2[[#This Row],[Tulu/kulu liik2]],Table5[],6,FALSE)</f>
        <v>Majandamiskulud</v>
      </c>
      <c r="P1046" s="3" t="str">
        <f>VLOOKUP(Table2[[#This Row],[Tulu/kulu liik2]],Table5[],5,FALSE)</f>
        <v>Põhitegevuse kulu</v>
      </c>
    </row>
    <row r="1047" spans="1:16" hidden="1" x14ac:dyDescent="0.25">
      <c r="A1047" s="8" t="str">
        <f t="shared" si="32"/>
        <v>09</v>
      </c>
      <c r="B1047" s="8" t="s">
        <v>51</v>
      </c>
      <c r="C1047" s="32" t="str">
        <f>VLOOKUP(Table2[[#This Row],[Tegevusala]],Table4[],2,FALSE)</f>
        <v xml:space="preserve"> Noorte huviharidus ja huvitegevus</v>
      </c>
      <c r="D1047" s="32" t="str">
        <f>VLOOKUP(Table2[[#This Row],[Tegevusala]],Table4[[Tegevusala kood]:[Tegevusala alanimetus]],4,FALSE)</f>
        <v>Noorte huviharidus ja huvitegevus</v>
      </c>
      <c r="E1047" s="32" t="str">
        <f>VLOOKUP(Table2[[#This Row],[Tegevusala nimetus2]],Table4[[Tegevusala nimetus]:[Tegevusala koondnimetus]],2,FALSE)</f>
        <v>Haridus</v>
      </c>
      <c r="F1047" s="8" t="s">
        <v>1527</v>
      </c>
      <c r="G1047" s="8" t="s">
        <v>1540</v>
      </c>
      <c r="H1047" s="43">
        <v>-194908</v>
      </c>
      <c r="I1047" s="9" t="s">
        <v>1541</v>
      </c>
      <c r="J1047" s="8">
        <v>35201</v>
      </c>
      <c r="K1047" s="32" t="str">
        <f>VLOOKUP(Table2[[#This Row],[Konto]],Table5[[Konto]:[Konto nimetus]],2,FALSE)</f>
        <v>Toetusfond</v>
      </c>
      <c r="L1047" s="8">
        <v>35201</v>
      </c>
      <c r="M1047" s="8" t="str">
        <f t="shared" si="33"/>
        <v>35</v>
      </c>
      <c r="N1047" s="32" t="str">
        <f>VLOOKUP(Table2[[#This Row],[Tulu/kulu liik2]],Table5[[Tulu/kulu liik]:[Kontode koondnimetus]],4,FALSE)</f>
        <v>Saadavad toetused tegevuskuludeks</v>
      </c>
      <c r="O1047" s="32" t="str">
        <f>VLOOKUP(Table2[[#This Row],[Tulu/kulu liik2]],Table5[],6,FALSE)</f>
        <v>Toetusfond</v>
      </c>
      <c r="P1047" s="32" t="str">
        <f>VLOOKUP(Table2[[#This Row],[Tulu/kulu liik2]],Table5[],5,FALSE)</f>
        <v>Põhitegevuse tulu</v>
      </c>
    </row>
    <row r="1048" spans="1:16" hidden="1" x14ac:dyDescent="0.25">
      <c r="A1048" t="str">
        <f t="shared" si="32"/>
        <v>09</v>
      </c>
      <c r="B1048" t="s">
        <v>51</v>
      </c>
      <c r="C1048" s="3" t="str">
        <f>VLOOKUP(Table2[[#This Row],[Tegevusala]],Table4[],2,FALSE)</f>
        <v xml:space="preserve"> Noorte huviharidus ja huvitegevus</v>
      </c>
      <c r="D1048" s="3" t="str">
        <f>VLOOKUP(Table2[[#This Row],[Tegevusala]],Table4[[Tegevusala kood]:[Tegevusala alanimetus]],4,FALSE)</f>
        <v>Noorte huviharidus ja huvitegevus</v>
      </c>
      <c r="E1048" s="3" t="str">
        <f>VLOOKUP(Table2[[#This Row],[Tegevusala nimetus2]],Table4[[Tegevusala nimetus]:[Tegevusala koondnimetus]],2,FALSE)</f>
        <v>Haridus</v>
      </c>
      <c r="F1048" t="s">
        <v>606</v>
      </c>
      <c r="G1048" t="s">
        <v>2035</v>
      </c>
      <c r="H1048" s="40">
        <v>10000</v>
      </c>
      <c r="J1048">
        <v>1551</v>
      </c>
      <c r="K1048" s="3" t="str">
        <f>VLOOKUP(Table2[[#This Row],[Konto]],Table5[[Konto]:[Konto nimetus]],2,FALSE)</f>
        <v>Rajatiste ja hoonete soetamine ja renoveerimine</v>
      </c>
      <c r="L1048">
        <v>15</v>
      </c>
      <c r="M1048" t="str">
        <f t="shared" si="33"/>
        <v>15</v>
      </c>
      <c r="N1048" s="3" t="str">
        <f>VLOOKUP(Table2[[#This Row],[Tulu/kulu liik2]],Table5[[Tulu/kulu liik]:[Kontode koondnimetus]],4,FALSE)</f>
        <v>Põhivara soetus (-)</v>
      </c>
      <c r="O1048" s="34" t="str">
        <f>VLOOKUP(Table2[[#This Row],[Tulu/kulu liik2]],Table5[],6,FALSE)</f>
        <v>Põhivara soetus (-)</v>
      </c>
      <c r="P1048" s="3" t="str">
        <f>VLOOKUP(Table2[[#This Row],[Tulu/kulu liik2]],Table5[],5,FALSE)</f>
        <v>Investeerimistegevus</v>
      </c>
    </row>
    <row r="1049" spans="1:16" hidden="1" x14ac:dyDescent="0.25">
      <c r="A1049" t="str">
        <f t="shared" si="32"/>
        <v>09</v>
      </c>
      <c r="B1049" t="s">
        <v>51</v>
      </c>
      <c r="C1049" s="3" t="str">
        <f>VLOOKUP(Table2[[#This Row],[Tegevusala]],Table4[],2,FALSE)</f>
        <v xml:space="preserve"> Noorte huviharidus ja huvitegevus</v>
      </c>
      <c r="D1049" s="3" t="str">
        <f>VLOOKUP(Table2[[#This Row],[Tegevusala]],Table4[[Tegevusala kood]:[Tegevusala alanimetus]],4,FALSE)</f>
        <v>Noorte huviharidus ja huvitegevus</v>
      </c>
      <c r="E1049" s="3" t="str">
        <f>VLOOKUP(Table2[[#This Row],[Tegevusala nimetus2]],Table4[[Tegevusala nimetus]:[Tegevusala koondnimetus]],2,FALSE)</f>
        <v>Haridus</v>
      </c>
      <c r="F1049" t="s">
        <v>752</v>
      </c>
      <c r="G1049" t="s">
        <v>2138</v>
      </c>
      <c r="H1049" s="40">
        <v>4020</v>
      </c>
      <c r="I1049" s="2" t="s">
        <v>2137</v>
      </c>
      <c r="J1049">
        <v>5540</v>
      </c>
      <c r="K1049" s="3" t="str">
        <f>VLOOKUP(Table2[[#This Row],[Konto]],Table5[[Konto]:[Konto nimetus]],2,FALSE)</f>
        <v>Mitmesugused majanduskulud</v>
      </c>
      <c r="L1049">
        <v>55</v>
      </c>
      <c r="M1049" t="str">
        <f t="shared" si="33"/>
        <v>55</v>
      </c>
      <c r="N1049" s="3" t="str">
        <f>VLOOKUP(Table2[[#This Row],[Tulu/kulu liik2]],Table5[[Tulu/kulu liik]:[Kontode koondnimetus]],4,FALSE)</f>
        <v>Muud tegevuskulud</v>
      </c>
      <c r="O1049" s="34" t="str">
        <f>VLOOKUP(Table2[[#This Row],[Tulu/kulu liik2]],Table5[],6,FALSE)</f>
        <v>Majandamiskulud</v>
      </c>
      <c r="P1049" s="3" t="str">
        <f>VLOOKUP(Table2[[#This Row],[Tulu/kulu liik2]],Table5[],5,FALSE)</f>
        <v>Põhitegevuse kulu</v>
      </c>
    </row>
    <row r="1050" spans="1:16" hidden="1" x14ac:dyDescent="0.25">
      <c r="A1050" t="str">
        <f t="shared" si="32"/>
        <v>09</v>
      </c>
      <c r="B1050" t="s">
        <v>51</v>
      </c>
      <c r="C1050" s="3" t="str">
        <f>VLOOKUP(Table2[[#This Row],[Tegevusala]],Table4[],2,FALSE)</f>
        <v xml:space="preserve"> Noorte huviharidus ja huvitegevus</v>
      </c>
      <c r="D1050" s="3" t="str">
        <f>VLOOKUP(Table2[[#This Row],[Tegevusala]],Table4[[Tegevusala kood]:[Tegevusala alanimetus]],4,FALSE)</f>
        <v>Noorte huviharidus ja huvitegevus</v>
      </c>
      <c r="E1050" s="3" t="str">
        <f>VLOOKUP(Table2[[#This Row],[Tegevusala nimetus2]],Table4[[Tegevusala nimetus]:[Tegevusala koondnimetus]],2,FALSE)</f>
        <v>Haridus</v>
      </c>
      <c r="F1050" t="s">
        <v>752</v>
      </c>
      <c r="G1050" t="s">
        <v>2139</v>
      </c>
      <c r="H1050" s="40">
        <v>4540</v>
      </c>
      <c r="I1050" s="2" t="s">
        <v>2137</v>
      </c>
      <c r="J1050">
        <v>5540</v>
      </c>
      <c r="K1050" s="3" t="str">
        <f>VLOOKUP(Table2[[#This Row],[Konto]],Table5[[Konto]:[Konto nimetus]],2,FALSE)</f>
        <v>Mitmesugused majanduskulud</v>
      </c>
      <c r="L1050">
        <v>55</v>
      </c>
      <c r="M1050" t="str">
        <f t="shared" si="33"/>
        <v>55</v>
      </c>
      <c r="N1050" s="3" t="str">
        <f>VLOOKUP(Table2[[#This Row],[Tulu/kulu liik2]],Table5[[Tulu/kulu liik]:[Kontode koondnimetus]],4,FALSE)</f>
        <v>Muud tegevuskulud</v>
      </c>
      <c r="O1050" s="34" t="str">
        <f>VLOOKUP(Table2[[#This Row],[Tulu/kulu liik2]],Table5[],6,FALSE)</f>
        <v>Majandamiskulud</v>
      </c>
      <c r="P1050" s="3" t="str">
        <f>VLOOKUP(Table2[[#This Row],[Tulu/kulu liik2]],Table5[],5,FALSE)</f>
        <v>Põhitegevuse kulu</v>
      </c>
    </row>
    <row r="1051" spans="1:16" hidden="1" x14ac:dyDescent="0.25">
      <c r="A1051" t="str">
        <f t="shared" si="32"/>
        <v>09</v>
      </c>
      <c r="B1051" t="s">
        <v>51</v>
      </c>
      <c r="C1051" s="3" t="str">
        <f>VLOOKUP(Table2[[#This Row],[Tegevusala]],Table4[],2,FALSE)</f>
        <v xml:space="preserve"> Noorte huviharidus ja huvitegevus</v>
      </c>
      <c r="D1051" s="3" t="str">
        <f>VLOOKUP(Table2[[#This Row],[Tegevusala]],Table4[[Tegevusala kood]:[Tegevusala alanimetus]],4,FALSE)</f>
        <v>Noorte huviharidus ja huvitegevus</v>
      </c>
      <c r="E1051" s="3" t="str">
        <f>VLOOKUP(Table2[[#This Row],[Tegevusala nimetus2]],Table4[[Tegevusala nimetus]:[Tegevusala koondnimetus]],2,FALSE)</f>
        <v>Haridus</v>
      </c>
      <c r="F1051" t="s">
        <v>752</v>
      </c>
      <c r="G1051" t="s">
        <v>2138</v>
      </c>
      <c r="H1051" s="40">
        <v>2450</v>
      </c>
      <c r="I1051" s="2" t="s">
        <v>2140</v>
      </c>
      <c r="J1051">
        <v>5540</v>
      </c>
      <c r="K1051" s="3" t="str">
        <f>VLOOKUP(Table2[[#This Row],[Konto]],Table5[[Konto]:[Konto nimetus]],2,FALSE)</f>
        <v>Mitmesugused majanduskulud</v>
      </c>
      <c r="L1051">
        <v>55</v>
      </c>
      <c r="M1051" t="str">
        <f t="shared" si="33"/>
        <v>55</v>
      </c>
      <c r="N1051" s="3" t="str">
        <f>VLOOKUP(Table2[[#This Row],[Tulu/kulu liik2]],Table5[[Tulu/kulu liik]:[Kontode koondnimetus]],4,FALSE)</f>
        <v>Muud tegevuskulud</v>
      </c>
      <c r="O1051" s="34" t="str">
        <f>VLOOKUP(Table2[[#This Row],[Tulu/kulu liik2]],Table5[],6,FALSE)</f>
        <v>Majandamiskulud</v>
      </c>
      <c r="P1051" s="3" t="str">
        <f>VLOOKUP(Table2[[#This Row],[Tulu/kulu liik2]],Table5[],5,FALSE)</f>
        <v>Põhitegevuse kulu</v>
      </c>
    </row>
    <row r="1052" spans="1:16" hidden="1" x14ac:dyDescent="0.25">
      <c r="A1052" t="str">
        <f t="shared" si="32"/>
        <v>09</v>
      </c>
      <c r="B1052" t="s">
        <v>51</v>
      </c>
      <c r="C1052" s="3" t="str">
        <f>VLOOKUP(Table2[[#This Row],[Tegevusala]],Table4[],2,FALSE)</f>
        <v xml:space="preserve"> Noorte huviharidus ja huvitegevus</v>
      </c>
      <c r="D1052" s="3" t="str">
        <f>VLOOKUP(Table2[[#This Row],[Tegevusala]],Table4[[Tegevusala kood]:[Tegevusala alanimetus]],4,FALSE)</f>
        <v>Noorte huviharidus ja huvitegevus</v>
      </c>
      <c r="E1052" s="3" t="str">
        <f>VLOOKUP(Table2[[#This Row],[Tegevusala nimetus2]],Table4[[Tegevusala nimetus]:[Tegevusala koondnimetus]],2,FALSE)</f>
        <v>Haridus</v>
      </c>
      <c r="F1052" t="s">
        <v>752</v>
      </c>
      <c r="G1052" t="s">
        <v>2139</v>
      </c>
      <c r="H1052" s="40">
        <v>2110</v>
      </c>
      <c r="I1052" s="2" t="s">
        <v>2140</v>
      </c>
      <c r="J1052">
        <v>5540</v>
      </c>
      <c r="K1052" s="3" t="str">
        <f>VLOOKUP(Table2[[#This Row],[Konto]],Table5[[Konto]:[Konto nimetus]],2,FALSE)</f>
        <v>Mitmesugused majanduskulud</v>
      </c>
      <c r="L1052">
        <v>55</v>
      </c>
      <c r="M1052" t="str">
        <f t="shared" si="33"/>
        <v>55</v>
      </c>
      <c r="N1052" s="3" t="str">
        <f>VLOOKUP(Table2[[#This Row],[Tulu/kulu liik2]],Table5[[Tulu/kulu liik]:[Kontode koondnimetus]],4,FALSE)</f>
        <v>Muud tegevuskulud</v>
      </c>
      <c r="O1052" s="34" t="str">
        <f>VLOOKUP(Table2[[#This Row],[Tulu/kulu liik2]],Table5[],6,FALSE)</f>
        <v>Majandamiskulud</v>
      </c>
      <c r="P1052" s="3" t="str">
        <f>VLOOKUP(Table2[[#This Row],[Tulu/kulu liik2]],Table5[],5,FALSE)</f>
        <v>Põhitegevuse kulu</v>
      </c>
    </row>
    <row r="1053" spans="1:16" hidden="1" x14ac:dyDescent="0.25">
      <c r="A1053" t="str">
        <f t="shared" si="32"/>
        <v>09</v>
      </c>
      <c r="B1053" t="s">
        <v>53</v>
      </c>
      <c r="C1053" s="3" t="str">
        <f>VLOOKUP(Table2[[#This Row],[Tegevusala]],Table4[],2,FALSE)</f>
        <v xml:space="preserve"> Koolitransport</v>
      </c>
      <c r="D1053" s="3" t="str">
        <f>VLOOKUP(Table2[[#This Row],[Tegevusala]],Table4[[Tegevusala kood]:[Tegevusala alanimetus]],4,FALSE)</f>
        <v>Koolitransport</v>
      </c>
      <c r="E1053" s="3" t="str">
        <f>VLOOKUP(Table2[[#This Row],[Tegevusala nimetus2]],Table4[[Tegevusala nimetus]:[Tegevusala koondnimetus]],2,FALSE)</f>
        <v>Haridus</v>
      </c>
      <c r="F1053" t="s">
        <v>786</v>
      </c>
      <c r="G1053" t="s">
        <v>790</v>
      </c>
      <c r="H1053" s="40">
        <v>37152</v>
      </c>
      <c r="I1053" s="2" t="s">
        <v>791</v>
      </c>
      <c r="J1053">
        <v>5513</v>
      </c>
      <c r="K1053" s="3" t="str">
        <f>VLOOKUP(Table2[[#This Row],[Konto]],Table5[[Konto]:[Konto nimetus]],2,FALSE)</f>
        <v>Sõidukite ülalpidamise kulud</v>
      </c>
      <c r="L1053">
        <v>55</v>
      </c>
      <c r="M1053" t="str">
        <f t="shared" si="33"/>
        <v>55</v>
      </c>
      <c r="N1053" s="3" t="str">
        <f>VLOOKUP(Table2[[#This Row],[Tulu/kulu liik2]],Table5[[Tulu/kulu liik]:[Kontode koondnimetus]],4,FALSE)</f>
        <v>Muud tegevuskulud</v>
      </c>
      <c r="O1053" s="3" t="str">
        <f>VLOOKUP(Table2[[#This Row],[Tulu/kulu liik2]],Table5[],6,FALSE)</f>
        <v>Majandamiskulud</v>
      </c>
      <c r="P1053" s="3" t="str">
        <f>VLOOKUP(Table2[[#This Row],[Tulu/kulu liik2]],Table5[],5,FALSE)</f>
        <v>Põhitegevuse kulu</v>
      </c>
    </row>
    <row r="1054" spans="1:16" hidden="1" x14ac:dyDescent="0.25">
      <c r="A1054" t="str">
        <f t="shared" si="32"/>
        <v>09</v>
      </c>
      <c r="B1054" t="s">
        <v>53</v>
      </c>
      <c r="C1054" s="3" t="str">
        <f>VLOOKUP(Table2[[#This Row],[Tegevusala]],Table4[],2,FALSE)</f>
        <v xml:space="preserve"> Koolitransport</v>
      </c>
      <c r="D1054" s="3" t="str">
        <f>VLOOKUP(Table2[[#This Row],[Tegevusala]],Table4[[Tegevusala kood]:[Tegevusala alanimetus]],4,FALSE)</f>
        <v>Koolitransport</v>
      </c>
      <c r="E1054" s="3" t="str">
        <f>VLOOKUP(Table2[[#This Row],[Tegevusala nimetus2]],Table4[[Tegevusala nimetus]:[Tegevusala koondnimetus]],2,FALSE)</f>
        <v>Haridus</v>
      </c>
      <c r="F1054" t="s">
        <v>786</v>
      </c>
      <c r="G1054" t="s">
        <v>792</v>
      </c>
      <c r="H1054" s="40">
        <v>3100</v>
      </c>
      <c r="I1054" s="2" t="s">
        <v>793</v>
      </c>
      <c r="J1054">
        <v>5513</v>
      </c>
      <c r="K1054" s="3" t="str">
        <f>VLOOKUP(Table2[[#This Row],[Konto]],Table5[[Konto]:[Konto nimetus]],2,FALSE)</f>
        <v>Sõidukite ülalpidamise kulud</v>
      </c>
      <c r="L1054">
        <v>55</v>
      </c>
      <c r="M1054" t="str">
        <f t="shared" si="33"/>
        <v>55</v>
      </c>
      <c r="N1054" s="3" t="str">
        <f>VLOOKUP(Table2[[#This Row],[Tulu/kulu liik2]],Table5[[Tulu/kulu liik]:[Kontode koondnimetus]],4,FALSE)</f>
        <v>Muud tegevuskulud</v>
      </c>
      <c r="O1054" s="3" t="str">
        <f>VLOOKUP(Table2[[#This Row],[Tulu/kulu liik2]],Table5[],6,FALSE)</f>
        <v>Majandamiskulud</v>
      </c>
      <c r="P1054" s="3" t="str">
        <f>VLOOKUP(Table2[[#This Row],[Tulu/kulu liik2]],Table5[],5,FALSE)</f>
        <v>Põhitegevuse kulu</v>
      </c>
    </row>
    <row r="1055" spans="1:16" hidden="1" x14ac:dyDescent="0.25">
      <c r="A1055" t="str">
        <f t="shared" si="32"/>
        <v>09</v>
      </c>
      <c r="B1055" t="s">
        <v>53</v>
      </c>
      <c r="C1055" s="3" t="str">
        <f>VLOOKUP(Table2[[#This Row],[Tegevusala]],Table4[],2,FALSE)</f>
        <v xml:space="preserve"> Koolitransport</v>
      </c>
      <c r="D1055" s="3" t="str">
        <f>VLOOKUP(Table2[[#This Row],[Tegevusala]],Table4[[Tegevusala kood]:[Tegevusala alanimetus]],4,FALSE)</f>
        <v>Koolitransport</v>
      </c>
      <c r="E1055" s="3" t="str">
        <f>VLOOKUP(Table2[[#This Row],[Tegevusala nimetus2]],Table4[[Tegevusala nimetus]:[Tegevusala koondnimetus]],2,FALSE)</f>
        <v>Haridus</v>
      </c>
      <c r="F1055" t="s">
        <v>786</v>
      </c>
      <c r="G1055" t="s">
        <v>794</v>
      </c>
      <c r="H1055" s="40">
        <v>3000</v>
      </c>
      <c r="J1055">
        <v>5513</v>
      </c>
      <c r="K1055" s="3" t="str">
        <f>VLOOKUP(Table2[[#This Row],[Konto]],Table5[[Konto]:[Konto nimetus]],2,FALSE)</f>
        <v>Sõidukite ülalpidamise kulud</v>
      </c>
      <c r="L1055">
        <v>55</v>
      </c>
      <c r="M1055" t="str">
        <f t="shared" si="33"/>
        <v>55</v>
      </c>
      <c r="N1055" s="3" t="str">
        <f>VLOOKUP(Table2[[#This Row],[Tulu/kulu liik2]],Table5[[Tulu/kulu liik]:[Kontode koondnimetus]],4,FALSE)</f>
        <v>Muud tegevuskulud</v>
      </c>
      <c r="O1055" s="3" t="str">
        <f>VLOOKUP(Table2[[#This Row],[Tulu/kulu liik2]],Table5[],6,FALSE)</f>
        <v>Majandamiskulud</v>
      </c>
      <c r="P1055" s="3" t="str">
        <f>VLOOKUP(Table2[[#This Row],[Tulu/kulu liik2]],Table5[],5,FALSE)</f>
        <v>Põhitegevuse kulu</v>
      </c>
    </row>
    <row r="1056" spans="1:16" hidden="1" x14ac:dyDescent="0.25">
      <c r="A1056" t="str">
        <f t="shared" si="32"/>
        <v>09</v>
      </c>
      <c r="B1056" t="s">
        <v>53</v>
      </c>
      <c r="C1056" s="3" t="str">
        <f>VLOOKUP(Table2[[#This Row],[Tegevusala]],Table4[],2,FALSE)</f>
        <v xml:space="preserve"> Koolitransport</v>
      </c>
      <c r="D1056" s="3" t="str">
        <f>VLOOKUP(Table2[[#This Row],[Tegevusala]],Table4[[Tegevusala kood]:[Tegevusala alanimetus]],4,FALSE)</f>
        <v>Koolitransport</v>
      </c>
      <c r="E1056" s="3" t="str">
        <f>VLOOKUP(Table2[[#This Row],[Tegevusala nimetus2]],Table4[[Tegevusala nimetus]:[Tegevusala koondnimetus]],2,FALSE)</f>
        <v>Haridus</v>
      </c>
      <c r="F1056" t="s">
        <v>786</v>
      </c>
      <c r="G1056" t="s">
        <v>795</v>
      </c>
      <c r="H1056" s="40">
        <v>300</v>
      </c>
      <c r="I1056" s="2" t="s">
        <v>796</v>
      </c>
      <c r="J1056">
        <v>5515</v>
      </c>
      <c r="K1056" s="3" t="str">
        <f>VLOOKUP(Table2[[#This Row],[Konto]],Table5[[Konto]:[Konto nimetus]],2,FALSE)</f>
        <v>Inventari kulud, v.a infotehnoloogia ja kaitseotstarbelised kulud</v>
      </c>
      <c r="L1056">
        <v>55</v>
      </c>
      <c r="M1056" t="str">
        <f t="shared" si="33"/>
        <v>55</v>
      </c>
      <c r="N1056" s="3" t="str">
        <f>VLOOKUP(Table2[[#This Row],[Tulu/kulu liik2]],Table5[[Tulu/kulu liik]:[Kontode koondnimetus]],4,FALSE)</f>
        <v>Muud tegevuskulud</v>
      </c>
      <c r="O1056" s="3" t="str">
        <f>VLOOKUP(Table2[[#This Row],[Tulu/kulu liik2]],Table5[],6,FALSE)</f>
        <v>Majandamiskulud</v>
      </c>
      <c r="P1056" s="3" t="str">
        <f>VLOOKUP(Table2[[#This Row],[Tulu/kulu liik2]],Table5[],5,FALSE)</f>
        <v>Põhitegevuse kulu</v>
      </c>
    </row>
    <row r="1057" spans="1:16" hidden="1" x14ac:dyDescent="0.25">
      <c r="A1057" t="str">
        <f t="shared" si="32"/>
        <v>09</v>
      </c>
      <c r="B1057" t="s">
        <v>53</v>
      </c>
      <c r="C1057" s="3" t="str">
        <f>VLOOKUP(Table2[[#This Row],[Tegevusala]],Table4[],2,FALSE)</f>
        <v xml:space="preserve"> Koolitransport</v>
      </c>
      <c r="D1057" s="3" t="str">
        <f>VLOOKUP(Table2[[#This Row],[Tegevusala]],Table4[[Tegevusala kood]:[Tegevusala alanimetus]],4,FALSE)</f>
        <v>Koolitransport</v>
      </c>
      <c r="E1057" s="3" t="str">
        <f>VLOOKUP(Table2[[#This Row],[Tegevusala nimetus2]],Table4[[Tegevusala nimetus]:[Tegevusala koondnimetus]],2,FALSE)</f>
        <v>Haridus</v>
      </c>
      <c r="F1057" t="s">
        <v>786</v>
      </c>
      <c r="G1057" t="s">
        <v>797</v>
      </c>
      <c r="H1057" s="40">
        <v>400</v>
      </c>
      <c r="J1057">
        <v>5540</v>
      </c>
      <c r="K1057" s="3" t="str">
        <f>VLOOKUP(Table2[[#This Row],[Konto]],Table5[[Konto]:[Konto nimetus]],2,FALSE)</f>
        <v>Mitmesugused majanduskulud</v>
      </c>
      <c r="L1057">
        <v>55</v>
      </c>
      <c r="M1057" t="str">
        <f t="shared" si="33"/>
        <v>55</v>
      </c>
      <c r="N1057" s="3" t="str">
        <f>VLOOKUP(Table2[[#This Row],[Tulu/kulu liik2]],Table5[[Tulu/kulu liik]:[Kontode koondnimetus]],4,FALSE)</f>
        <v>Muud tegevuskulud</v>
      </c>
      <c r="O1057" s="3" t="str">
        <f>VLOOKUP(Table2[[#This Row],[Tulu/kulu liik2]],Table5[],6,FALSE)</f>
        <v>Majandamiskulud</v>
      </c>
      <c r="P1057" s="3" t="str">
        <f>VLOOKUP(Table2[[#This Row],[Tulu/kulu liik2]],Table5[],5,FALSE)</f>
        <v>Põhitegevuse kulu</v>
      </c>
    </row>
    <row r="1058" spans="1:16" hidden="1" x14ac:dyDescent="0.25">
      <c r="A1058" t="str">
        <f t="shared" si="32"/>
        <v>09</v>
      </c>
      <c r="B1058" t="s">
        <v>53</v>
      </c>
      <c r="C1058" s="3" t="str">
        <f>VLOOKUP(Table2[[#This Row],[Tegevusala]],Table4[],2,FALSE)</f>
        <v xml:space="preserve"> Koolitransport</v>
      </c>
      <c r="D1058" s="3" t="str">
        <f>VLOOKUP(Table2[[#This Row],[Tegevusala]],Table4[[Tegevusala kood]:[Tegevusala alanimetus]],4,FALSE)</f>
        <v>Koolitransport</v>
      </c>
      <c r="E1058" s="3" t="str">
        <f>VLOOKUP(Table2[[#This Row],[Tegevusala nimetus2]],Table4[[Tegevusala nimetus]:[Tegevusala koondnimetus]],2,FALSE)</f>
        <v>Haridus</v>
      </c>
      <c r="F1058" t="s">
        <v>786</v>
      </c>
      <c r="G1058" t="s">
        <v>775</v>
      </c>
      <c r="H1058" s="40">
        <v>120</v>
      </c>
      <c r="I1058" s="2" t="s">
        <v>798</v>
      </c>
      <c r="J1058">
        <v>5500</v>
      </c>
      <c r="K1058" s="3" t="str">
        <f>VLOOKUP(Table2[[#This Row],[Konto]],Table5[[Konto]:[Konto nimetus]],2,FALSE)</f>
        <v>Administreerimiskulud</v>
      </c>
      <c r="L1058">
        <v>55</v>
      </c>
      <c r="M1058" t="str">
        <f t="shared" si="33"/>
        <v>55</v>
      </c>
      <c r="N1058" s="3" t="str">
        <f>VLOOKUP(Table2[[#This Row],[Tulu/kulu liik2]],Table5[[Tulu/kulu liik]:[Kontode koondnimetus]],4,FALSE)</f>
        <v>Muud tegevuskulud</v>
      </c>
      <c r="O1058" s="3" t="str">
        <f>VLOOKUP(Table2[[#This Row],[Tulu/kulu liik2]],Table5[],6,FALSE)</f>
        <v>Majandamiskulud</v>
      </c>
      <c r="P1058" s="3" t="str">
        <f>VLOOKUP(Table2[[#This Row],[Tulu/kulu liik2]],Table5[],5,FALSE)</f>
        <v>Põhitegevuse kulu</v>
      </c>
    </row>
    <row r="1059" spans="1:16" hidden="1" x14ac:dyDescent="0.25">
      <c r="A1059" t="str">
        <f t="shared" si="32"/>
        <v>09</v>
      </c>
      <c r="B1059" t="s">
        <v>53</v>
      </c>
      <c r="C1059" s="3" t="str">
        <f>VLOOKUP(Table2[[#This Row],[Tegevusala]],Table4[],2,FALSE)</f>
        <v xml:space="preserve"> Koolitransport</v>
      </c>
      <c r="D1059" s="3" t="str">
        <f>VLOOKUP(Table2[[#This Row],[Tegevusala]],Table4[[Tegevusala kood]:[Tegevusala alanimetus]],4,FALSE)</f>
        <v>Koolitransport</v>
      </c>
      <c r="E1059" s="3" t="str">
        <f>VLOOKUP(Table2[[#This Row],[Tegevusala nimetus2]],Table4[[Tegevusala nimetus]:[Tegevusala koondnimetus]],2,FALSE)</f>
        <v>Haridus</v>
      </c>
      <c r="F1059" t="s">
        <v>786</v>
      </c>
      <c r="G1059" t="s">
        <v>806</v>
      </c>
      <c r="H1059" s="40">
        <v>25000</v>
      </c>
      <c r="J1059">
        <v>4134</v>
      </c>
      <c r="K1059" s="3" t="str">
        <f>VLOOKUP(Table2[[#This Row],[Konto]],Table5[[Konto]:[Konto nimetus]],2,FALSE)</f>
        <v>Õppetoetused</v>
      </c>
      <c r="L1059">
        <v>413</v>
      </c>
      <c r="M1059" t="str">
        <f t="shared" si="33"/>
        <v>41</v>
      </c>
      <c r="N1059" s="3" t="str">
        <f>VLOOKUP(Table2[[#This Row],[Tulu/kulu liik2]],Table5[[Tulu/kulu liik]:[Kontode koondnimetus]],4,FALSE)</f>
        <v>Antavad toetused tegevuskuludeks</v>
      </c>
      <c r="O1059" s="3" t="str">
        <f>VLOOKUP(Table2[[#This Row],[Tulu/kulu liik2]],Table5[],6,FALSE)</f>
        <v>Sotsiaalabitoetused ja muud toetused füüsilistele isikutele</v>
      </c>
      <c r="P1059" s="3" t="str">
        <f>VLOOKUP(Table2[[#This Row],[Tulu/kulu liik2]],Table5[],5,FALSE)</f>
        <v>Põhitegevuse kulu</v>
      </c>
    </row>
    <row r="1060" spans="1:16" hidden="1" x14ac:dyDescent="0.25">
      <c r="A1060" t="str">
        <f t="shared" si="32"/>
        <v>09</v>
      </c>
      <c r="B1060" t="s">
        <v>53</v>
      </c>
      <c r="C1060" s="3" t="str">
        <f>VLOOKUP(Table2[[#This Row],[Tegevusala]],Table4[],2,FALSE)</f>
        <v xml:space="preserve"> Koolitransport</v>
      </c>
      <c r="D1060" s="3" t="str">
        <f>VLOOKUP(Table2[[#This Row],[Tegevusala]],Table4[[Tegevusala kood]:[Tegevusala alanimetus]],4,FALSE)</f>
        <v>Koolitransport</v>
      </c>
      <c r="E1060" s="3" t="str">
        <f>VLOOKUP(Table2[[#This Row],[Tegevusala nimetus2]],Table4[[Tegevusala nimetus]:[Tegevusala koondnimetus]],2,FALSE)</f>
        <v>Haridus</v>
      </c>
      <c r="F1060" t="s">
        <v>786</v>
      </c>
      <c r="G1060" t="s">
        <v>807</v>
      </c>
      <c r="H1060" s="40">
        <v>56000</v>
      </c>
      <c r="J1060">
        <v>4134</v>
      </c>
      <c r="K1060" s="3" t="str">
        <f>VLOOKUP(Table2[[#This Row],[Konto]],Table5[[Konto]:[Konto nimetus]],2,FALSE)</f>
        <v>Õppetoetused</v>
      </c>
      <c r="L1060">
        <v>413</v>
      </c>
      <c r="M1060" t="str">
        <f t="shared" si="33"/>
        <v>41</v>
      </c>
      <c r="N1060" s="3" t="str">
        <f>VLOOKUP(Table2[[#This Row],[Tulu/kulu liik2]],Table5[[Tulu/kulu liik]:[Kontode koondnimetus]],4,FALSE)</f>
        <v>Antavad toetused tegevuskuludeks</v>
      </c>
      <c r="O1060" s="3" t="str">
        <f>VLOOKUP(Table2[[#This Row],[Tulu/kulu liik2]],Table5[],6,FALSE)</f>
        <v>Sotsiaalabitoetused ja muud toetused füüsilistele isikutele</v>
      </c>
      <c r="P1060" s="3" t="str">
        <f>VLOOKUP(Table2[[#This Row],[Tulu/kulu liik2]],Table5[],5,FALSE)</f>
        <v>Põhitegevuse kulu</v>
      </c>
    </row>
    <row r="1061" spans="1:16" hidden="1" x14ac:dyDescent="0.25">
      <c r="A1061" t="str">
        <f t="shared" si="32"/>
        <v>09</v>
      </c>
      <c r="B1061" t="s">
        <v>53</v>
      </c>
      <c r="C1061" s="3" t="str">
        <f>VLOOKUP(Table2[[#This Row],[Tegevusala]],Table4[],2,FALSE)</f>
        <v xml:space="preserve"> Koolitransport</v>
      </c>
      <c r="D1061" s="3" t="str">
        <f>VLOOKUP(Table2[[#This Row],[Tegevusala]],Table4[[Tegevusala kood]:[Tegevusala alanimetus]],4,FALSE)</f>
        <v>Koolitransport</v>
      </c>
      <c r="E1061" s="3" t="str">
        <f>VLOOKUP(Table2[[#This Row],[Tegevusala nimetus2]],Table4[[Tegevusala nimetus]:[Tegevusala koondnimetus]],2,FALSE)</f>
        <v>Haridus</v>
      </c>
      <c r="F1061" t="s">
        <v>786</v>
      </c>
      <c r="G1061" t="s">
        <v>808</v>
      </c>
      <c r="H1061" s="40">
        <v>42000</v>
      </c>
      <c r="J1061">
        <v>4134</v>
      </c>
      <c r="K1061" s="3" t="str">
        <f>VLOOKUP(Table2[[#This Row],[Konto]],Table5[[Konto]:[Konto nimetus]],2,FALSE)</f>
        <v>Õppetoetused</v>
      </c>
      <c r="L1061">
        <v>413</v>
      </c>
      <c r="M1061" t="str">
        <f t="shared" si="33"/>
        <v>41</v>
      </c>
      <c r="N1061" s="3" t="str">
        <f>VLOOKUP(Table2[[#This Row],[Tulu/kulu liik2]],Table5[[Tulu/kulu liik]:[Kontode koondnimetus]],4,FALSE)</f>
        <v>Antavad toetused tegevuskuludeks</v>
      </c>
      <c r="O1061" s="3" t="str">
        <f>VLOOKUP(Table2[[#This Row],[Tulu/kulu liik2]],Table5[],6,FALSE)</f>
        <v>Sotsiaalabitoetused ja muud toetused füüsilistele isikutele</v>
      </c>
      <c r="P1061" s="3" t="str">
        <f>VLOOKUP(Table2[[#This Row],[Tulu/kulu liik2]],Table5[],5,FALSE)</f>
        <v>Põhitegevuse kulu</v>
      </c>
    </row>
    <row r="1062" spans="1:16" hidden="1" x14ac:dyDescent="0.25">
      <c r="A1062" t="str">
        <f t="shared" si="32"/>
        <v>09</v>
      </c>
      <c r="B1062" t="s">
        <v>53</v>
      </c>
      <c r="C1062" s="3" t="str">
        <f>VLOOKUP(Table2[[#This Row],[Tegevusala]],Table4[],2,FALSE)</f>
        <v xml:space="preserve"> Koolitransport</v>
      </c>
      <c r="D1062" s="3" t="str">
        <f>VLOOKUP(Table2[[#This Row],[Tegevusala]],Table4[[Tegevusala kood]:[Tegevusala alanimetus]],4,FALSE)</f>
        <v>Koolitransport</v>
      </c>
      <c r="E1062" s="3" t="str">
        <f>VLOOKUP(Table2[[#This Row],[Tegevusala nimetus2]],Table4[[Tegevusala nimetus]:[Tegevusala koondnimetus]],2,FALSE)</f>
        <v>Haridus</v>
      </c>
      <c r="F1062" t="s">
        <v>786</v>
      </c>
      <c r="G1062" t="s">
        <v>2049</v>
      </c>
      <c r="H1062" s="40">
        <v>23700</v>
      </c>
      <c r="I1062" s="2" t="s">
        <v>2050</v>
      </c>
      <c r="J1062">
        <v>5513</v>
      </c>
      <c r="K1062" s="3" t="str">
        <f>VLOOKUP(Table2[[#This Row],[Konto]],Table5[[Konto]:[Konto nimetus]],2,FALSE)</f>
        <v>Sõidukite ülalpidamise kulud</v>
      </c>
      <c r="L1062">
        <v>55</v>
      </c>
      <c r="M1062" t="str">
        <f t="shared" si="33"/>
        <v>55</v>
      </c>
      <c r="N1062" s="3" t="str">
        <f>VLOOKUP(Table2[[#This Row],[Tulu/kulu liik2]],Table5[[Tulu/kulu liik]:[Kontode koondnimetus]],4,FALSE)</f>
        <v>Muud tegevuskulud</v>
      </c>
      <c r="O1062" s="34" t="str">
        <f>VLOOKUP(Table2[[#This Row],[Tulu/kulu liik2]],Table5[],6,FALSE)</f>
        <v>Majandamiskulud</v>
      </c>
      <c r="P1062" s="3" t="str">
        <f>VLOOKUP(Table2[[#This Row],[Tulu/kulu liik2]],Table5[],5,FALSE)</f>
        <v>Põhitegevuse kulu</v>
      </c>
    </row>
    <row r="1063" spans="1:16" hidden="1" x14ac:dyDescent="0.25">
      <c r="A1063" t="str">
        <f t="shared" si="32"/>
        <v>09</v>
      </c>
      <c r="B1063" t="s">
        <v>337</v>
      </c>
      <c r="C1063" s="3" t="str">
        <f>VLOOKUP(Table2[[#This Row],[Tegevusala]],Table4[],2,FALSE)</f>
        <v xml:space="preserve"> Roela Õpilaskodu</v>
      </c>
      <c r="D1063" s="3" t="str">
        <f>VLOOKUP(Table2[[#This Row],[Tegevusala]],Table4[[Tegevusala kood]:[Tegevusala alanimetus]],4,FALSE)</f>
        <v>Öömaja</v>
      </c>
      <c r="E1063" s="3" t="str">
        <f>VLOOKUP(Table2[[#This Row],[Tegevusala nimetus2]],Table4[[Tegevusala nimetus]:[Tegevusala koondnimetus]],2,FALSE)</f>
        <v>Haridus</v>
      </c>
      <c r="F1063" t="s">
        <v>1829</v>
      </c>
      <c r="G1063" t="s">
        <v>1780</v>
      </c>
      <c r="H1063" s="40">
        <v>576</v>
      </c>
      <c r="I1063" s="2" t="s">
        <v>1833</v>
      </c>
      <c r="J1063">
        <v>5500</v>
      </c>
      <c r="K1063" s="3" t="str">
        <f>VLOOKUP(Table2[[#This Row],[Konto]],Table5[[Konto]:[Konto nimetus]],2,FALSE)</f>
        <v>Administreerimiskulud</v>
      </c>
      <c r="L1063">
        <v>55</v>
      </c>
      <c r="M1063" t="str">
        <f t="shared" si="33"/>
        <v>55</v>
      </c>
      <c r="N1063" s="3" t="str">
        <f>VLOOKUP(Table2[[#This Row],[Tulu/kulu liik2]],Table5[[Tulu/kulu liik]:[Kontode koondnimetus]],4,FALSE)</f>
        <v>Muud tegevuskulud</v>
      </c>
      <c r="O1063" s="3" t="str">
        <f>VLOOKUP(Table2[[#This Row],[Tulu/kulu liik2]],Table5[],6,FALSE)</f>
        <v>Majandamiskulud</v>
      </c>
      <c r="P1063" s="3" t="str">
        <f>VLOOKUP(Table2[[#This Row],[Tulu/kulu liik2]],Table5[],5,FALSE)</f>
        <v>Põhitegevuse kulu</v>
      </c>
    </row>
    <row r="1064" spans="1:16" hidden="1" x14ac:dyDescent="0.25">
      <c r="A1064" t="str">
        <f t="shared" si="32"/>
        <v>09</v>
      </c>
      <c r="B1064" t="s">
        <v>337</v>
      </c>
      <c r="C1064" s="3" t="str">
        <f>VLOOKUP(Table2[[#This Row],[Tegevusala]],Table4[],2,FALSE)</f>
        <v xml:space="preserve"> Roela Õpilaskodu</v>
      </c>
      <c r="D1064" s="3" t="str">
        <f>VLOOKUP(Table2[[#This Row],[Tegevusala]],Table4[[Tegevusala kood]:[Tegevusala alanimetus]],4,FALSE)</f>
        <v>Öömaja</v>
      </c>
      <c r="E1064" s="3" t="str">
        <f>VLOOKUP(Table2[[#This Row],[Tegevusala nimetus2]],Table4[[Tegevusala nimetus]:[Tegevusala koondnimetus]],2,FALSE)</f>
        <v>Haridus</v>
      </c>
      <c r="F1064" t="s">
        <v>1829</v>
      </c>
      <c r="G1064" t="s">
        <v>1830</v>
      </c>
      <c r="H1064" s="40">
        <v>60</v>
      </c>
      <c r="I1064" s="2" t="s">
        <v>1834</v>
      </c>
      <c r="J1064">
        <v>5500</v>
      </c>
      <c r="K1064" s="3" t="str">
        <f>VLOOKUP(Table2[[#This Row],[Konto]],Table5[[Konto]:[Konto nimetus]],2,FALSE)</f>
        <v>Administreerimiskulud</v>
      </c>
      <c r="L1064">
        <v>55</v>
      </c>
      <c r="M1064" t="str">
        <f t="shared" si="33"/>
        <v>55</v>
      </c>
      <c r="N1064" s="3" t="str">
        <f>VLOOKUP(Table2[[#This Row],[Tulu/kulu liik2]],Table5[[Tulu/kulu liik]:[Kontode koondnimetus]],4,FALSE)</f>
        <v>Muud tegevuskulud</v>
      </c>
      <c r="O1064" s="3" t="str">
        <f>VLOOKUP(Table2[[#This Row],[Tulu/kulu liik2]],Table5[],6,FALSE)</f>
        <v>Majandamiskulud</v>
      </c>
      <c r="P1064" s="3" t="str">
        <f>VLOOKUP(Table2[[#This Row],[Tulu/kulu liik2]],Table5[],5,FALSE)</f>
        <v>Põhitegevuse kulu</v>
      </c>
    </row>
    <row r="1065" spans="1:16" hidden="1" x14ac:dyDescent="0.25">
      <c r="A1065" t="str">
        <f t="shared" si="32"/>
        <v>09</v>
      </c>
      <c r="B1065" t="s">
        <v>337</v>
      </c>
      <c r="C1065" s="3" t="str">
        <f>VLOOKUP(Table2[[#This Row],[Tegevusala]],Table4[],2,FALSE)</f>
        <v xml:space="preserve"> Roela Õpilaskodu</v>
      </c>
      <c r="D1065" s="3" t="str">
        <f>VLOOKUP(Table2[[#This Row],[Tegevusala]],Table4[[Tegevusala kood]:[Tegevusala alanimetus]],4,FALSE)</f>
        <v>Öömaja</v>
      </c>
      <c r="E1065" s="3" t="str">
        <f>VLOOKUP(Table2[[#This Row],[Tegevusala nimetus2]],Table4[[Tegevusala nimetus]:[Tegevusala koondnimetus]],2,FALSE)</f>
        <v>Haridus</v>
      </c>
      <c r="F1065" t="s">
        <v>1829</v>
      </c>
      <c r="G1065" t="s">
        <v>1831</v>
      </c>
      <c r="H1065" s="40">
        <v>50</v>
      </c>
      <c r="J1065">
        <v>5500</v>
      </c>
      <c r="K1065" s="3" t="str">
        <f>VLOOKUP(Table2[[#This Row],[Konto]],Table5[[Konto]:[Konto nimetus]],2,FALSE)</f>
        <v>Administreerimiskulud</v>
      </c>
      <c r="L1065">
        <v>55</v>
      </c>
      <c r="M1065" t="str">
        <f t="shared" si="33"/>
        <v>55</v>
      </c>
      <c r="N1065" s="3" t="str">
        <f>VLOOKUP(Table2[[#This Row],[Tulu/kulu liik2]],Table5[[Tulu/kulu liik]:[Kontode koondnimetus]],4,FALSE)</f>
        <v>Muud tegevuskulud</v>
      </c>
      <c r="O1065" s="3" t="str">
        <f>VLOOKUP(Table2[[#This Row],[Tulu/kulu liik2]],Table5[],6,FALSE)</f>
        <v>Majandamiskulud</v>
      </c>
      <c r="P1065" s="3" t="str">
        <f>VLOOKUP(Table2[[#This Row],[Tulu/kulu liik2]],Table5[],5,FALSE)</f>
        <v>Põhitegevuse kulu</v>
      </c>
    </row>
    <row r="1066" spans="1:16" hidden="1" x14ac:dyDescent="0.25">
      <c r="A1066" t="str">
        <f t="shared" si="32"/>
        <v>09</v>
      </c>
      <c r="B1066" t="s">
        <v>337</v>
      </c>
      <c r="C1066" s="3" t="str">
        <f>VLOOKUP(Table2[[#This Row],[Tegevusala]],Table4[],2,FALSE)</f>
        <v xml:space="preserve"> Roela Õpilaskodu</v>
      </c>
      <c r="D1066" s="3" t="str">
        <f>VLOOKUP(Table2[[#This Row],[Tegevusala]],Table4[[Tegevusala kood]:[Tegevusala alanimetus]],4,FALSE)</f>
        <v>Öömaja</v>
      </c>
      <c r="E1066" s="3" t="str">
        <f>VLOOKUP(Table2[[#This Row],[Tegevusala nimetus2]],Table4[[Tegevusala nimetus]:[Tegevusala koondnimetus]],2,FALSE)</f>
        <v>Haridus</v>
      </c>
      <c r="F1066" t="s">
        <v>1829</v>
      </c>
      <c r="G1066" t="s">
        <v>1832</v>
      </c>
      <c r="H1066" s="40">
        <v>50</v>
      </c>
      <c r="J1066">
        <v>5500</v>
      </c>
      <c r="K1066" s="3" t="str">
        <f>VLOOKUP(Table2[[#This Row],[Konto]],Table5[[Konto]:[Konto nimetus]],2,FALSE)</f>
        <v>Administreerimiskulud</v>
      </c>
      <c r="L1066">
        <v>55</v>
      </c>
      <c r="M1066" t="str">
        <f t="shared" si="33"/>
        <v>55</v>
      </c>
      <c r="N1066" s="3" t="str">
        <f>VLOOKUP(Table2[[#This Row],[Tulu/kulu liik2]],Table5[[Tulu/kulu liik]:[Kontode koondnimetus]],4,FALSE)</f>
        <v>Muud tegevuskulud</v>
      </c>
      <c r="O1066" s="3" t="str">
        <f>VLOOKUP(Table2[[#This Row],[Tulu/kulu liik2]],Table5[],6,FALSE)</f>
        <v>Majandamiskulud</v>
      </c>
      <c r="P1066" s="3" t="str">
        <f>VLOOKUP(Table2[[#This Row],[Tulu/kulu liik2]],Table5[],5,FALSE)</f>
        <v>Põhitegevuse kulu</v>
      </c>
    </row>
    <row r="1067" spans="1:16" hidden="1" x14ac:dyDescent="0.25">
      <c r="A1067" t="str">
        <f t="shared" si="32"/>
        <v>09</v>
      </c>
      <c r="B1067" t="s">
        <v>337</v>
      </c>
      <c r="C1067" s="3" t="str">
        <f>VLOOKUP(Table2[[#This Row],[Tegevusala]],Table4[],2,FALSE)</f>
        <v xml:space="preserve"> Roela Õpilaskodu</v>
      </c>
      <c r="D1067" s="3" t="str">
        <f>VLOOKUP(Table2[[#This Row],[Tegevusala]],Table4[[Tegevusala kood]:[Tegevusala alanimetus]],4,FALSE)</f>
        <v>Öömaja</v>
      </c>
      <c r="E1067" s="3" t="str">
        <f>VLOOKUP(Table2[[#This Row],[Tegevusala nimetus2]],Table4[[Tegevusala nimetus]:[Tegevusala koondnimetus]],2,FALSE)</f>
        <v>Haridus</v>
      </c>
      <c r="F1067" t="s">
        <v>1829</v>
      </c>
      <c r="G1067" t="s">
        <v>1835</v>
      </c>
      <c r="H1067" s="40">
        <v>200</v>
      </c>
      <c r="I1067" s="2" t="s">
        <v>1836</v>
      </c>
      <c r="J1067">
        <v>5515</v>
      </c>
      <c r="K1067" s="3" t="str">
        <f>VLOOKUP(Table2[[#This Row],[Konto]],Table5[[Konto]:[Konto nimetus]],2,FALSE)</f>
        <v>Inventari kulud, v.a infotehnoloogia ja kaitseotstarbelised kulud</v>
      </c>
      <c r="L1067">
        <v>55</v>
      </c>
      <c r="M1067" t="str">
        <f t="shared" si="33"/>
        <v>55</v>
      </c>
      <c r="N1067" s="3" t="str">
        <f>VLOOKUP(Table2[[#This Row],[Tulu/kulu liik2]],Table5[[Tulu/kulu liik]:[Kontode koondnimetus]],4,FALSE)</f>
        <v>Muud tegevuskulud</v>
      </c>
      <c r="O1067" s="3" t="str">
        <f>VLOOKUP(Table2[[#This Row],[Tulu/kulu liik2]],Table5[],6,FALSE)</f>
        <v>Majandamiskulud</v>
      </c>
      <c r="P1067" s="3" t="str">
        <f>VLOOKUP(Table2[[#This Row],[Tulu/kulu liik2]],Table5[],5,FALSE)</f>
        <v>Põhitegevuse kulu</v>
      </c>
    </row>
    <row r="1068" spans="1:16" hidden="1" x14ac:dyDescent="0.25">
      <c r="A1068" t="str">
        <f t="shared" si="32"/>
        <v>09</v>
      </c>
      <c r="B1068" t="s">
        <v>337</v>
      </c>
      <c r="C1068" s="3" t="str">
        <f>VLOOKUP(Table2[[#This Row],[Tegevusala]],Table4[],2,FALSE)</f>
        <v xml:space="preserve"> Roela Õpilaskodu</v>
      </c>
      <c r="D1068" s="3" t="str">
        <f>VLOOKUP(Table2[[#This Row],[Tegevusala]],Table4[[Tegevusala kood]:[Tegevusala alanimetus]],4,FALSE)</f>
        <v>Öömaja</v>
      </c>
      <c r="E1068" s="3" t="str">
        <f>VLOOKUP(Table2[[#This Row],[Tegevusala nimetus2]],Table4[[Tegevusala nimetus]:[Tegevusala koondnimetus]],2,FALSE)</f>
        <v>Haridus</v>
      </c>
      <c r="F1068" t="s">
        <v>1829</v>
      </c>
      <c r="G1068" t="s">
        <v>1276</v>
      </c>
      <c r="H1068" s="40">
        <v>352</v>
      </c>
      <c r="I1068" s="2" t="s">
        <v>1837</v>
      </c>
      <c r="J1068">
        <v>5513</v>
      </c>
      <c r="K1068" s="3" t="str">
        <f>VLOOKUP(Table2[[#This Row],[Konto]],Table5[[Konto]:[Konto nimetus]],2,FALSE)</f>
        <v>Sõidukite ülalpidamise kulud</v>
      </c>
      <c r="L1068">
        <v>55</v>
      </c>
      <c r="M1068" t="str">
        <f t="shared" si="33"/>
        <v>55</v>
      </c>
      <c r="N1068" s="3" t="str">
        <f>VLOOKUP(Table2[[#This Row],[Tulu/kulu liik2]],Table5[[Tulu/kulu liik]:[Kontode koondnimetus]],4,FALSE)</f>
        <v>Muud tegevuskulud</v>
      </c>
      <c r="O1068" s="3" t="str">
        <f>VLOOKUP(Table2[[#This Row],[Tulu/kulu liik2]],Table5[],6,FALSE)</f>
        <v>Majandamiskulud</v>
      </c>
      <c r="P1068" s="3" t="str">
        <f>VLOOKUP(Table2[[#This Row],[Tulu/kulu liik2]],Table5[],5,FALSE)</f>
        <v>Põhitegevuse kulu</v>
      </c>
    </row>
    <row r="1069" spans="1:16" hidden="1" x14ac:dyDescent="0.25">
      <c r="A1069" t="str">
        <f t="shared" si="32"/>
        <v>09</v>
      </c>
      <c r="B1069" t="s">
        <v>337</v>
      </c>
      <c r="C1069" s="3" t="str">
        <f>VLOOKUP(Table2[[#This Row],[Tegevusala]],Table4[],2,FALSE)</f>
        <v xml:space="preserve"> Roela Õpilaskodu</v>
      </c>
      <c r="D1069" s="3" t="str">
        <f>VLOOKUP(Table2[[#This Row],[Tegevusala]],Table4[[Tegevusala kood]:[Tegevusala alanimetus]],4,FALSE)</f>
        <v>Öömaja</v>
      </c>
      <c r="E1069" s="3" t="str">
        <f>VLOOKUP(Table2[[#This Row],[Tegevusala nimetus2]],Table4[[Tegevusala nimetus]:[Tegevusala koondnimetus]],2,FALSE)</f>
        <v>Haridus</v>
      </c>
      <c r="F1069" t="s">
        <v>1829</v>
      </c>
      <c r="G1069" t="s">
        <v>1838</v>
      </c>
      <c r="H1069" s="40">
        <v>500</v>
      </c>
      <c r="J1069">
        <v>5515</v>
      </c>
      <c r="K1069" s="3" t="str">
        <f>VLOOKUP(Table2[[#This Row],[Konto]],Table5[[Konto]:[Konto nimetus]],2,FALSE)</f>
        <v>Inventari kulud, v.a infotehnoloogia ja kaitseotstarbelised kulud</v>
      </c>
      <c r="L1069">
        <v>55</v>
      </c>
      <c r="M1069" t="str">
        <f t="shared" si="33"/>
        <v>55</v>
      </c>
      <c r="N1069" s="3" t="str">
        <f>VLOOKUP(Table2[[#This Row],[Tulu/kulu liik2]],Table5[[Tulu/kulu liik]:[Kontode koondnimetus]],4,FALSE)</f>
        <v>Muud tegevuskulud</v>
      </c>
      <c r="O1069" s="3" t="str">
        <f>VLOOKUP(Table2[[#This Row],[Tulu/kulu liik2]],Table5[],6,FALSE)</f>
        <v>Majandamiskulud</v>
      </c>
      <c r="P1069" s="3" t="str">
        <f>VLOOKUP(Table2[[#This Row],[Tulu/kulu liik2]],Table5[],5,FALSE)</f>
        <v>Põhitegevuse kulu</v>
      </c>
    </row>
    <row r="1070" spans="1:16" hidden="1" x14ac:dyDescent="0.25">
      <c r="A1070" t="str">
        <f t="shared" si="32"/>
        <v>09</v>
      </c>
      <c r="B1070" t="s">
        <v>337</v>
      </c>
      <c r="C1070" s="3" t="str">
        <f>VLOOKUP(Table2[[#This Row],[Tegevusala]],Table4[],2,FALSE)</f>
        <v xml:space="preserve"> Roela Õpilaskodu</v>
      </c>
      <c r="D1070" s="3" t="str">
        <f>VLOOKUP(Table2[[#This Row],[Tegevusala]],Table4[[Tegevusala kood]:[Tegevusala alanimetus]],4,FALSE)</f>
        <v>Öömaja</v>
      </c>
      <c r="E1070" s="3" t="str">
        <f>VLOOKUP(Table2[[#This Row],[Tegevusala nimetus2]],Table4[[Tegevusala nimetus]:[Tegevusala koondnimetus]],2,FALSE)</f>
        <v>Haridus</v>
      </c>
      <c r="F1070" t="s">
        <v>1829</v>
      </c>
      <c r="G1070" t="s">
        <v>1839</v>
      </c>
      <c r="H1070" s="40">
        <v>250</v>
      </c>
      <c r="J1070">
        <v>5515</v>
      </c>
      <c r="K1070" s="3" t="str">
        <f>VLOOKUP(Table2[[#This Row],[Konto]],Table5[[Konto]:[Konto nimetus]],2,FALSE)</f>
        <v>Inventari kulud, v.a infotehnoloogia ja kaitseotstarbelised kulud</v>
      </c>
      <c r="L1070">
        <v>55</v>
      </c>
      <c r="M1070" t="str">
        <f t="shared" si="33"/>
        <v>55</v>
      </c>
      <c r="N1070" s="3" t="str">
        <f>VLOOKUP(Table2[[#This Row],[Tulu/kulu liik2]],Table5[[Tulu/kulu liik]:[Kontode koondnimetus]],4,FALSE)</f>
        <v>Muud tegevuskulud</v>
      </c>
      <c r="O1070" s="3" t="str">
        <f>VLOOKUP(Table2[[#This Row],[Tulu/kulu liik2]],Table5[],6,FALSE)</f>
        <v>Majandamiskulud</v>
      </c>
      <c r="P1070" s="3" t="str">
        <f>VLOOKUP(Table2[[#This Row],[Tulu/kulu liik2]],Table5[],5,FALSE)</f>
        <v>Põhitegevuse kulu</v>
      </c>
    </row>
    <row r="1071" spans="1:16" hidden="1" x14ac:dyDescent="0.25">
      <c r="A1071" t="str">
        <f t="shared" si="32"/>
        <v>09</v>
      </c>
      <c r="B1071" t="s">
        <v>337</v>
      </c>
      <c r="C1071" s="3" t="str">
        <f>VLOOKUP(Table2[[#This Row],[Tegevusala]],Table4[],2,FALSE)</f>
        <v xml:space="preserve"> Roela Õpilaskodu</v>
      </c>
      <c r="D1071" s="3" t="str">
        <f>VLOOKUP(Table2[[#This Row],[Tegevusala]],Table4[[Tegevusala kood]:[Tegevusala alanimetus]],4,FALSE)</f>
        <v>Öömaja</v>
      </c>
      <c r="E1071" s="3" t="str">
        <f>VLOOKUP(Table2[[#This Row],[Tegevusala nimetus2]],Table4[[Tegevusala nimetus]:[Tegevusala koondnimetus]],2,FALSE)</f>
        <v>Haridus</v>
      </c>
      <c r="F1071" t="s">
        <v>1829</v>
      </c>
      <c r="G1071" t="s">
        <v>1840</v>
      </c>
      <c r="H1071" s="40">
        <v>600</v>
      </c>
      <c r="J1071">
        <v>5515</v>
      </c>
      <c r="K1071" s="3" t="str">
        <f>VLOOKUP(Table2[[#This Row],[Konto]],Table5[[Konto]:[Konto nimetus]],2,FALSE)</f>
        <v>Inventari kulud, v.a infotehnoloogia ja kaitseotstarbelised kulud</v>
      </c>
      <c r="L1071">
        <v>55</v>
      </c>
      <c r="M1071" t="str">
        <f t="shared" si="33"/>
        <v>55</v>
      </c>
      <c r="N1071" s="3" t="str">
        <f>VLOOKUP(Table2[[#This Row],[Tulu/kulu liik2]],Table5[[Tulu/kulu liik]:[Kontode koondnimetus]],4,FALSE)</f>
        <v>Muud tegevuskulud</v>
      </c>
      <c r="O1071" s="3" t="str">
        <f>VLOOKUP(Table2[[#This Row],[Tulu/kulu liik2]],Table5[],6,FALSE)</f>
        <v>Majandamiskulud</v>
      </c>
      <c r="P1071" s="3" t="str">
        <f>VLOOKUP(Table2[[#This Row],[Tulu/kulu liik2]],Table5[],5,FALSE)</f>
        <v>Põhitegevuse kulu</v>
      </c>
    </row>
    <row r="1072" spans="1:16" hidden="1" x14ac:dyDescent="0.25">
      <c r="A1072" t="str">
        <f t="shared" si="32"/>
        <v>09</v>
      </c>
      <c r="B1072" t="s">
        <v>337</v>
      </c>
      <c r="C1072" s="3" t="str">
        <f>VLOOKUP(Table2[[#This Row],[Tegevusala]],Table4[],2,FALSE)</f>
        <v xml:space="preserve"> Roela Õpilaskodu</v>
      </c>
      <c r="D1072" s="3" t="str">
        <f>VLOOKUP(Table2[[#This Row],[Tegevusala]],Table4[[Tegevusala kood]:[Tegevusala alanimetus]],4,FALSE)</f>
        <v>Öömaja</v>
      </c>
      <c r="E1072" s="3" t="str">
        <f>VLOOKUP(Table2[[#This Row],[Tegevusala nimetus2]],Table4[[Tegevusala nimetus]:[Tegevusala koondnimetus]],2,FALSE)</f>
        <v>Haridus</v>
      </c>
      <c r="F1072" t="s">
        <v>1829</v>
      </c>
      <c r="G1072" t="s">
        <v>1841</v>
      </c>
      <c r="H1072" s="40">
        <v>3600</v>
      </c>
      <c r="J1072">
        <v>5521</v>
      </c>
      <c r="K1072" s="3" t="str">
        <f>VLOOKUP(Table2[[#This Row],[Konto]],Table5[[Konto]:[Konto nimetus]],2,FALSE)</f>
        <v>Toiduained ja toitlustusteenused</v>
      </c>
      <c r="L1072">
        <v>55</v>
      </c>
      <c r="M1072" t="str">
        <f t="shared" si="33"/>
        <v>55</v>
      </c>
      <c r="N1072" s="3" t="str">
        <f>VLOOKUP(Table2[[#This Row],[Tulu/kulu liik2]],Table5[[Tulu/kulu liik]:[Kontode koondnimetus]],4,FALSE)</f>
        <v>Muud tegevuskulud</v>
      </c>
      <c r="O1072" s="3" t="str">
        <f>VLOOKUP(Table2[[#This Row],[Tulu/kulu liik2]],Table5[],6,FALSE)</f>
        <v>Majandamiskulud</v>
      </c>
      <c r="P1072" s="3" t="str">
        <f>VLOOKUP(Table2[[#This Row],[Tulu/kulu liik2]],Table5[],5,FALSE)</f>
        <v>Põhitegevuse kulu</v>
      </c>
    </row>
    <row r="1073" spans="1:16" hidden="1" x14ac:dyDescent="0.25">
      <c r="A1073" t="str">
        <f t="shared" si="32"/>
        <v>09</v>
      </c>
      <c r="B1073" t="s">
        <v>337</v>
      </c>
      <c r="C1073" s="3" t="str">
        <f>VLOOKUP(Table2[[#This Row],[Tegevusala]],Table4[],2,FALSE)</f>
        <v xml:space="preserve"> Roela Õpilaskodu</v>
      </c>
      <c r="D1073" s="3" t="str">
        <f>VLOOKUP(Table2[[#This Row],[Tegevusala]],Table4[[Tegevusala kood]:[Tegevusala alanimetus]],4,FALSE)</f>
        <v>Öömaja</v>
      </c>
      <c r="E1073" s="3" t="str">
        <f>VLOOKUP(Table2[[#This Row],[Tegevusala nimetus2]],Table4[[Tegevusala nimetus]:[Tegevusala koondnimetus]],2,FALSE)</f>
        <v>Haridus</v>
      </c>
      <c r="F1073" t="s">
        <v>1829</v>
      </c>
      <c r="G1073" t="s">
        <v>1842</v>
      </c>
      <c r="H1073" s="40">
        <v>150</v>
      </c>
      <c r="J1073">
        <v>5522</v>
      </c>
      <c r="K1073" s="3" t="str">
        <f>VLOOKUP(Table2[[#This Row],[Konto]],Table5[[Konto]:[Konto nimetus]],2,FALSE)</f>
        <v>Meditsiinikulud ja hügieenitarbed</v>
      </c>
      <c r="L1073">
        <v>55</v>
      </c>
      <c r="M1073" t="str">
        <f t="shared" si="33"/>
        <v>55</v>
      </c>
      <c r="N1073" s="3" t="str">
        <f>VLOOKUP(Table2[[#This Row],[Tulu/kulu liik2]],Table5[[Tulu/kulu liik]:[Kontode koondnimetus]],4,FALSE)</f>
        <v>Muud tegevuskulud</v>
      </c>
      <c r="O1073" s="3" t="str">
        <f>VLOOKUP(Table2[[#This Row],[Tulu/kulu liik2]],Table5[],6,FALSE)</f>
        <v>Majandamiskulud</v>
      </c>
      <c r="P1073" s="3" t="str">
        <f>VLOOKUP(Table2[[#This Row],[Tulu/kulu liik2]],Table5[],5,FALSE)</f>
        <v>Põhitegevuse kulu</v>
      </c>
    </row>
    <row r="1074" spans="1:16" hidden="1" x14ac:dyDescent="0.25">
      <c r="A1074" t="str">
        <f t="shared" si="32"/>
        <v>09</v>
      </c>
      <c r="B1074" t="s">
        <v>337</v>
      </c>
      <c r="C1074" s="3" t="str">
        <f>VLOOKUP(Table2[[#This Row],[Tegevusala]],Table4[],2,FALSE)</f>
        <v xml:space="preserve"> Roela Õpilaskodu</v>
      </c>
      <c r="D1074" s="3" t="str">
        <f>VLOOKUP(Table2[[#This Row],[Tegevusala]],Table4[[Tegevusala kood]:[Tegevusala alanimetus]],4,FALSE)</f>
        <v>Öömaja</v>
      </c>
      <c r="E1074" s="3" t="str">
        <f>VLOOKUP(Table2[[#This Row],[Tegevusala nimetus2]],Table4[[Tegevusala nimetus]:[Tegevusala koondnimetus]],2,FALSE)</f>
        <v>Haridus</v>
      </c>
      <c r="F1074" t="s">
        <v>1829</v>
      </c>
      <c r="G1074" t="s">
        <v>1843</v>
      </c>
      <c r="H1074" s="40">
        <v>150</v>
      </c>
      <c r="J1074">
        <v>5524</v>
      </c>
      <c r="K1074" s="3" t="str">
        <f>VLOOKUP(Table2[[#This Row],[Konto]],Table5[[Konto]:[Konto nimetus]],2,FALSE)</f>
        <v>Õppevahendid</v>
      </c>
      <c r="L1074">
        <v>55</v>
      </c>
      <c r="M1074" t="str">
        <f t="shared" si="33"/>
        <v>55</v>
      </c>
      <c r="N1074" s="3" t="str">
        <f>VLOOKUP(Table2[[#This Row],[Tulu/kulu liik2]],Table5[[Tulu/kulu liik]:[Kontode koondnimetus]],4,FALSE)</f>
        <v>Muud tegevuskulud</v>
      </c>
      <c r="O1074" s="3" t="str">
        <f>VLOOKUP(Table2[[#This Row],[Tulu/kulu liik2]],Table5[],6,FALSE)</f>
        <v>Majandamiskulud</v>
      </c>
      <c r="P1074" s="3" t="str">
        <f>VLOOKUP(Table2[[#This Row],[Tulu/kulu liik2]],Table5[],5,FALSE)</f>
        <v>Põhitegevuse kulu</v>
      </c>
    </row>
    <row r="1075" spans="1:16" hidden="1" x14ac:dyDescent="0.25">
      <c r="A1075" t="str">
        <f t="shared" si="32"/>
        <v>09</v>
      </c>
      <c r="B1075" t="s">
        <v>337</v>
      </c>
      <c r="C1075" s="3" t="str">
        <f>VLOOKUP(Table2[[#This Row],[Tegevusala]],Table4[],2,FALSE)</f>
        <v xml:space="preserve"> Roela Õpilaskodu</v>
      </c>
      <c r="D1075" s="3" t="str">
        <f>VLOOKUP(Table2[[#This Row],[Tegevusala]],Table4[[Tegevusala kood]:[Tegevusala alanimetus]],4,FALSE)</f>
        <v>Öömaja</v>
      </c>
      <c r="E1075" s="3" t="str">
        <f>VLOOKUP(Table2[[#This Row],[Tegevusala nimetus2]],Table4[[Tegevusala nimetus]:[Tegevusala koondnimetus]],2,FALSE)</f>
        <v>Haridus</v>
      </c>
      <c r="F1075" t="s">
        <v>1829</v>
      </c>
      <c r="G1075" t="s">
        <v>1844</v>
      </c>
      <c r="H1075" s="40">
        <v>150</v>
      </c>
      <c r="J1075">
        <v>5524</v>
      </c>
      <c r="K1075" s="3" t="str">
        <f>VLOOKUP(Table2[[#This Row],[Konto]],Table5[[Konto]:[Konto nimetus]],2,FALSE)</f>
        <v>Õppevahendid</v>
      </c>
      <c r="L1075">
        <v>55</v>
      </c>
      <c r="M1075" t="str">
        <f t="shared" si="33"/>
        <v>55</v>
      </c>
      <c r="N1075" s="3" t="str">
        <f>VLOOKUP(Table2[[#This Row],[Tulu/kulu liik2]],Table5[[Tulu/kulu liik]:[Kontode koondnimetus]],4,FALSE)</f>
        <v>Muud tegevuskulud</v>
      </c>
      <c r="O1075" s="3" t="str">
        <f>VLOOKUP(Table2[[#This Row],[Tulu/kulu liik2]],Table5[],6,FALSE)</f>
        <v>Majandamiskulud</v>
      </c>
      <c r="P1075" s="3" t="str">
        <f>VLOOKUP(Table2[[#This Row],[Tulu/kulu liik2]],Table5[],5,FALSE)</f>
        <v>Põhitegevuse kulu</v>
      </c>
    </row>
    <row r="1076" spans="1:16" hidden="1" x14ac:dyDescent="0.25">
      <c r="A1076" t="str">
        <f t="shared" si="32"/>
        <v>09</v>
      </c>
      <c r="B1076" t="s">
        <v>337</v>
      </c>
      <c r="C1076" s="3" t="str">
        <f>VLOOKUP(Table2[[#This Row],[Tegevusala]],Table4[],2,FALSE)</f>
        <v xml:space="preserve"> Roela Õpilaskodu</v>
      </c>
      <c r="D1076" s="3" t="str">
        <f>VLOOKUP(Table2[[#This Row],[Tegevusala]],Table4[[Tegevusala kood]:[Tegevusala alanimetus]],4,FALSE)</f>
        <v>Öömaja</v>
      </c>
      <c r="E1076" s="3" t="str">
        <f>VLOOKUP(Table2[[#This Row],[Tegevusala nimetus2]],Table4[[Tegevusala nimetus]:[Tegevusala koondnimetus]],2,FALSE)</f>
        <v>Haridus</v>
      </c>
      <c r="F1076" t="s">
        <v>1829</v>
      </c>
      <c r="G1076" t="s">
        <v>1799</v>
      </c>
      <c r="H1076" s="40">
        <v>200</v>
      </c>
      <c r="J1076">
        <v>5525</v>
      </c>
      <c r="K1076" s="3" t="str">
        <f>VLOOKUP(Table2[[#This Row],[Konto]],Table5[[Konto]:[Konto nimetus]],2,FALSE)</f>
        <v>Kommunikatsiooni-, kultuuri- ja vaba aja sisustamise kulud</v>
      </c>
      <c r="L1076">
        <v>55</v>
      </c>
      <c r="M1076" t="str">
        <f t="shared" si="33"/>
        <v>55</v>
      </c>
      <c r="N1076" s="3" t="str">
        <f>VLOOKUP(Table2[[#This Row],[Tulu/kulu liik2]],Table5[[Tulu/kulu liik]:[Kontode koondnimetus]],4,FALSE)</f>
        <v>Muud tegevuskulud</v>
      </c>
      <c r="O1076" s="3" t="str">
        <f>VLOOKUP(Table2[[#This Row],[Tulu/kulu liik2]],Table5[],6,FALSE)</f>
        <v>Majandamiskulud</v>
      </c>
      <c r="P1076" s="3" t="str">
        <f>VLOOKUP(Table2[[#This Row],[Tulu/kulu liik2]],Table5[],5,FALSE)</f>
        <v>Põhitegevuse kulu</v>
      </c>
    </row>
    <row r="1077" spans="1:16" hidden="1" x14ac:dyDescent="0.25">
      <c r="A1077" t="str">
        <f t="shared" si="32"/>
        <v>09</v>
      </c>
      <c r="B1077" t="s">
        <v>337</v>
      </c>
      <c r="C1077" s="3" t="str">
        <f>VLOOKUP(Table2[[#This Row],[Tegevusala]],Table4[],2,FALSE)</f>
        <v xml:space="preserve"> Roela Õpilaskodu</v>
      </c>
      <c r="D1077" s="3" t="str">
        <f>VLOOKUP(Table2[[#This Row],[Tegevusala]],Table4[[Tegevusala kood]:[Tegevusala alanimetus]],4,FALSE)</f>
        <v>Öömaja</v>
      </c>
      <c r="E1077" s="3" t="str">
        <f>VLOOKUP(Table2[[#This Row],[Tegevusala nimetus2]],Table4[[Tegevusala nimetus]:[Tegevusala koondnimetus]],2,FALSE)</f>
        <v>Haridus</v>
      </c>
      <c r="F1077" t="s">
        <v>1829</v>
      </c>
      <c r="G1077" t="s">
        <v>1285</v>
      </c>
      <c r="H1077" s="40">
        <v>200</v>
      </c>
      <c r="J1077">
        <v>5525</v>
      </c>
      <c r="K1077" s="3" t="str">
        <f>VLOOKUP(Table2[[#This Row],[Konto]],Table5[[Konto]:[Konto nimetus]],2,FALSE)</f>
        <v>Kommunikatsiooni-, kultuuri- ja vaba aja sisustamise kulud</v>
      </c>
      <c r="L1077">
        <v>55</v>
      </c>
      <c r="M1077" t="str">
        <f t="shared" si="33"/>
        <v>55</v>
      </c>
      <c r="N1077" s="3" t="str">
        <f>VLOOKUP(Table2[[#This Row],[Tulu/kulu liik2]],Table5[[Tulu/kulu liik]:[Kontode koondnimetus]],4,FALSE)</f>
        <v>Muud tegevuskulud</v>
      </c>
      <c r="O1077" s="3" t="str">
        <f>VLOOKUP(Table2[[#This Row],[Tulu/kulu liik2]],Table5[],6,FALSE)</f>
        <v>Majandamiskulud</v>
      </c>
      <c r="P1077" s="3" t="str">
        <f>VLOOKUP(Table2[[#This Row],[Tulu/kulu liik2]],Table5[],5,FALSE)</f>
        <v>Põhitegevuse kulu</v>
      </c>
    </row>
    <row r="1078" spans="1:16" hidden="1" x14ac:dyDescent="0.25">
      <c r="A1078" t="str">
        <f t="shared" si="32"/>
        <v>09</v>
      </c>
      <c r="B1078" t="s">
        <v>337</v>
      </c>
      <c r="C1078" s="3" t="str">
        <f>VLOOKUP(Table2[[#This Row],[Tegevusala]],Table4[],2,FALSE)</f>
        <v xml:space="preserve"> Roela Õpilaskodu</v>
      </c>
      <c r="D1078" s="3" t="str">
        <f>VLOOKUP(Table2[[#This Row],[Tegevusala]],Table4[[Tegevusala kood]:[Tegevusala alanimetus]],4,FALSE)</f>
        <v>Öömaja</v>
      </c>
      <c r="E1078" s="3" t="str">
        <f>VLOOKUP(Table2[[#This Row],[Tegevusala nimetus2]],Table4[[Tegevusala nimetus]:[Tegevusala koondnimetus]],2,FALSE)</f>
        <v>Haridus</v>
      </c>
      <c r="F1078" t="s">
        <v>1829</v>
      </c>
      <c r="G1078" t="s">
        <v>177</v>
      </c>
      <c r="H1078" s="40">
        <v>2300</v>
      </c>
      <c r="J1078">
        <v>5511</v>
      </c>
      <c r="K1078" s="3" t="str">
        <f>VLOOKUP(Table2[[#This Row],[Konto]],Table5[[Konto]:[Konto nimetus]],2,FALSE)</f>
        <v>Kinnistute, hoonete ja ruumide majandamiskulud</v>
      </c>
      <c r="L1078">
        <v>55</v>
      </c>
      <c r="M1078" t="str">
        <f t="shared" si="33"/>
        <v>55</v>
      </c>
      <c r="N1078" s="3" t="str">
        <f>VLOOKUP(Table2[[#This Row],[Tulu/kulu liik2]],Table5[[Tulu/kulu liik]:[Kontode koondnimetus]],4,FALSE)</f>
        <v>Muud tegevuskulud</v>
      </c>
      <c r="O1078" s="3" t="str">
        <f>VLOOKUP(Table2[[#This Row],[Tulu/kulu liik2]],Table5[],6,FALSE)</f>
        <v>Majandamiskulud</v>
      </c>
      <c r="P1078" s="3" t="str">
        <f>VLOOKUP(Table2[[#This Row],[Tulu/kulu liik2]],Table5[],5,FALSE)</f>
        <v>Põhitegevuse kulu</v>
      </c>
    </row>
    <row r="1079" spans="1:16" hidden="1" x14ac:dyDescent="0.25">
      <c r="A1079" t="str">
        <f t="shared" si="32"/>
        <v>09</v>
      </c>
      <c r="B1079" t="s">
        <v>337</v>
      </c>
      <c r="C1079" s="3" t="str">
        <f>VLOOKUP(Table2[[#This Row],[Tegevusala]],Table4[],2,FALSE)</f>
        <v xml:space="preserve"> Roela Õpilaskodu</v>
      </c>
      <c r="D1079" s="3" t="str">
        <f>VLOOKUP(Table2[[#This Row],[Tegevusala]],Table4[[Tegevusala kood]:[Tegevusala alanimetus]],4,FALSE)</f>
        <v>Öömaja</v>
      </c>
      <c r="E1079" s="3" t="str">
        <f>VLOOKUP(Table2[[#This Row],[Tegevusala nimetus2]],Table4[[Tegevusala nimetus]:[Tegevusala koondnimetus]],2,FALSE)</f>
        <v>Haridus</v>
      </c>
      <c r="F1079" t="s">
        <v>1829</v>
      </c>
      <c r="G1079" t="s">
        <v>178</v>
      </c>
      <c r="H1079" s="40">
        <v>1000</v>
      </c>
      <c r="J1079">
        <v>5511</v>
      </c>
      <c r="K1079" s="3" t="str">
        <f>VLOOKUP(Table2[[#This Row],[Konto]],Table5[[Konto]:[Konto nimetus]],2,FALSE)</f>
        <v>Kinnistute, hoonete ja ruumide majandamiskulud</v>
      </c>
      <c r="L1079">
        <v>55</v>
      </c>
      <c r="M1079" t="str">
        <f t="shared" si="33"/>
        <v>55</v>
      </c>
      <c r="N1079" s="3" t="str">
        <f>VLOOKUP(Table2[[#This Row],[Tulu/kulu liik2]],Table5[[Tulu/kulu liik]:[Kontode koondnimetus]],4,FALSE)</f>
        <v>Muud tegevuskulud</v>
      </c>
      <c r="O1079" s="3" t="str">
        <f>VLOOKUP(Table2[[#This Row],[Tulu/kulu liik2]],Table5[],6,FALSE)</f>
        <v>Majandamiskulud</v>
      </c>
      <c r="P1079" s="3" t="str">
        <f>VLOOKUP(Table2[[#This Row],[Tulu/kulu liik2]],Table5[],5,FALSE)</f>
        <v>Põhitegevuse kulu</v>
      </c>
    </row>
    <row r="1080" spans="1:16" hidden="1" x14ac:dyDescent="0.25">
      <c r="A1080" t="str">
        <f t="shared" si="32"/>
        <v>09</v>
      </c>
      <c r="B1080" t="s">
        <v>337</v>
      </c>
      <c r="C1080" s="3" t="str">
        <f>VLOOKUP(Table2[[#This Row],[Tegevusala]],Table4[],2,FALSE)</f>
        <v xml:space="preserve"> Roela Õpilaskodu</v>
      </c>
      <c r="D1080" s="3" t="str">
        <f>VLOOKUP(Table2[[#This Row],[Tegevusala]],Table4[[Tegevusala kood]:[Tegevusala alanimetus]],4,FALSE)</f>
        <v>Öömaja</v>
      </c>
      <c r="E1080" s="3" t="str">
        <f>VLOOKUP(Table2[[#This Row],[Tegevusala nimetus2]],Table4[[Tegevusala nimetus]:[Tegevusala koondnimetus]],2,FALSE)</f>
        <v>Haridus</v>
      </c>
      <c r="F1080" t="s">
        <v>1829</v>
      </c>
      <c r="G1080" t="s">
        <v>1460</v>
      </c>
      <c r="H1080" s="40">
        <v>400</v>
      </c>
      <c r="J1080">
        <v>5511</v>
      </c>
      <c r="K1080" s="3" t="str">
        <f>VLOOKUP(Table2[[#This Row],[Konto]],Table5[[Konto]:[Konto nimetus]],2,FALSE)</f>
        <v>Kinnistute, hoonete ja ruumide majandamiskulud</v>
      </c>
      <c r="L1080">
        <v>55</v>
      </c>
      <c r="M1080" t="str">
        <f t="shared" si="33"/>
        <v>55</v>
      </c>
      <c r="N1080" s="3" t="str">
        <f>VLOOKUP(Table2[[#This Row],[Tulu/kulu liik2]],Table5[[Tulu/kulu liik]:[Kontode koondnimetus]],4,FALSE)</f>
        <v>Muud tegevuskulud</v>
      </c>
      <c r="O1080" s="3" t="str">
        <f>VLOOKUP(Table2[[#This Row],[Tulu/kulu liik2]],Table5[],6,FALSE)</f>
        <v>Majandamiskulud</v>
      </c>
      <c r="P1080" s="3" t="str">
        <f>VLOOKUP(Table2[[#This Row],[Tulu/kulu liik2]],Table5[],5,FALSE)</f>
        <v>Põhitegevuse kulu</v>
      </c>
    </row>
    <row r="1081" spans="1:16" hidden="1" x14ac:dyDescent="0.25">
      <c r="A1081" t="str">
        <f t="shared" si="32"/>
        <v>09</v>
      </c>
      <c r="B1081" t="s">
        <v>337</v>
      </c>
      <c r="C1081" s="3" t="str">
        <f>VLOOKUP(Table2[[#This Row],[Tegevusala]],Table4[],2,FALSE)</f>
        <v xml:space="preserve"> Roela Õpilaskodu</v>
      </c>
      <c r="D1081" s="3" t="str">
        <f>VLOOKUP(Table2[[#This Row],[Tegevusala]],Table4[[Tegevusala kood]:[Tegevusala alanimetus]],4,FALSE)</f>
        <v>Öömaja</v>
      </c>
      <c r="E1081" s="3" t="str">
        <f>VLOOKUP(Table2[[#This Row],[Tegevusala nimetus2]],Table4[[Tegevusala nimetus]:[Tegevusala koondnimetus]],2,FALSE)</f>
        <v>Haridus</v>
      </c>
      <c r="F1081" t="s">
        <v>1829</v>
      </c>
      <c r="G1081" t="s">
        <v>180</v>
      </c>
      <c r="H1081" s="40">
        <v>216</v>
      </c>
      <c r="J1081">
        <v>5511</v>
      </c>
      <c r="K1081" s="3" t="str">
        <f>VLOOKUP(Table2[[#This Row],[Konto]],Table5[[Konto]:[Konto nimetus]],2,FALSE)</f>
        <v>Kinnistute, hoonete ja ruumide majandamiskulud</v>
      </c>
      <c r="L1081">
        <v>55</v>
      </c>
      <c r="M1081" t="str">
        <f t="shared" si="33"/>
        <v>55</v>
      </c>
      <c r="N1081" s="3" t="str">
        <f>VLOOKUP(Table2[[#This Row],[Tulu/kulu liik2]],Table5[[Tulu/kulu liik]:[Kontode koondnimetus]],4,FALSE)</f>
        <v>Muud tegevuskulud</v>
      </c>
      <c r="O1081" s="3" t="str">
        <f>VLOOKUP(Table2[[#This Row],[Tulu/kulu liik2]],Table5[],6,FALSE)</f>
        <v>Majandamiskulud</v>
      </c>
      <c r="P1081" s="3" t="str">
        <f>VLOOKUP(Table2[[#This Row],[Tulu/kulu liik2]],Table5[],5,FALSE)</f>
        <v>Põhitegevuse kulu</v>
      </c>
    </row>
    <row r="1082" spans="1:16" hidden="1" x14ac:dyDescent="0.25">
      <c r="A1082" t="str">
        <f t="shared" si="32"/>
        <v>09</v>
      </c>
      <c r="B1082" t="s">
        <v>337</v>
      </c>
      <c r="C1082" s="3" t="str">
        <f>VLOOKUP(Table2[[#This Row],[Tegevusala]],Table4[],2,FALSE)</f>
        <v xml:space="preserve"> Roela Õpilaskodu</v>
      </c>
      <c r="D1082" s="3" t="str">
        <f>VLOOKUP(Table2[[#This Row],[Tegevusala]],Table4[[Tegevusala kood]:[Tegevusala alanimetus]],4,FALSE)</f>
        <v>Öömaja</v>
      </c>
      <c r="E1082" s="3" t="str">
        <f>VLOOKUP(Table2[[#This Row],[Tegevusala nimetus2]],Table4[[Tegevusala nimetus]:[Tegevusala koondnimetus]],2,FALSE)</f>
        <v>Haridus</v>
      </c>
      <c r="F1082" t="s">
        <v>1829</v>
      </c>
      <c r="G1082" t="s">
        <v>194</v>
      </c>
      <c r="H1082" s="40">
        <v>400</v>
      </c>
      <c r="J1082">
        <v>5511</v>
      </c>
      <c r="K1082" s="3" t="str">
        <f>VLOOKUP(Table2[[#This Row],[Konto]],Table5[[Konto]:[Konto nimetus]],2,FALSE)</f>
        <v>Kinnistute, hoonete ja ruumide majandamiskulud</v>
      </c>
      <c r="L1082">
        <v>55</v>
      </c>
      <c r="M1082" t="str">
        <f t="shared" si="33"/>
        <v>55</v>
      </c>
      <c r="N1082" s="3" t="str">
        <f>VLOOKUP(Table2[[#This Row],[Tulu/kulu liik2]],Table5[[Tulu/kulu liik]:[Kontode koondnimetus]],4,FALSE)</f>
        <v>Muud tegevuskulud</v>
      </c>
      <c r="O1082" s="3" t="str">
        <f>VLOOKUP(Table2[[#This Row],[Tulu/kulu liik2]],Table5[],6,FALSE)</f>
        <v>Majandamiskulud</v>
      </c>
      <c r="P1082" s="3" t="str">
        <f>VLOOKUP(Table2[[#This Row],[Tulu/kulu liik2]],Table5[],5,FALSE)</f>
        <v>Põhitegevuse kulu</v>
      </c>
    </row>
    <row r="1083" spans="1:16" hidden="1" x14ac:dyDescent="0.25">
      <c r="A1083" t="str">
        <f t="shared" si="32"/>
        <v>09</v>
      </c>
      <c r="B1083" t="s">
        <v>341</v>
      </c>
      <c r="C1083" s="3" t="str">
        <f>VLOOKUP(Table2[[#This Row],[Tegevusala]],Table4[],2,FALSE)</f>
        <v xml:space="preserve"> Üritused</v>
      </c>
      <c r="D1083" s="3" t="str">
        <f>VLOOKUP(Table2[[#This Row],[Tegevusala]],Table4[[Tegevusala kood]:[Tegevusala alanimetus]],4,FALSE)</f>
        <v>Muu haridus, sh hariduse haldus</v>
      </c>
      <c r="E1083" s="3" t="str">
        <f>VLOOKUP(Table2[[#This Row],[Tegevusala nimetus2]],Table4[[Tegevusala nimetus]:[Tegevusala koondnimetus]],2,FALSE)</f>
        <v>Vabaaeg, kultuur ja religioon</v>
      </c>
      <c r="F1083" t="s">
        <v>1527</v>
      </c>
      <c r="G1083" t="s">
        <v>1542</v>
      </c>
      <c r="H1083" s="40">
        <v>1100</v>
      </c>
      <c r="I1083" s="2" t="s">
        <v>1547</v>
      </c>
      <c r="J1083">
        <v>5525</v>
      </c>
      <c r="K1083" s="3" t="str">
        <f>VLOOKUP(Table2[[#This Row],[Konto]],Table5[[Konto]:[Konto nimetus]],2,FALSE)</f>
        <v>Kommunikatsiooni-, kultuuri- ja vaba aja sisustamise kulud</v>
      </c>
      <c r="L1083">
        <v>55</v>
      </c>
      <c r="M1083" t="str">
        <f t="shared" si="33"/>
        <v>55</v>
      </c>
      <c r="N1083" s="3" t="str">
        <f>VLOOKUP(Table2[[#This Row],[Tulu/kulu liik2]],Table5[[Tulu/kulu liik]:[Kontode koondnimetus]],4,FALSE)</f>
        <v>Muud tegevuskulud</v>
      </c>
      <c r="O1083" s="3" t="str">
        <f>VLOOKUP(Table2[[#This Row],[Tulu/kulu liik2]],Table5[],6,FALSE)</f>
        <v>Majandamiskulud</v>
      </c>
      <c r="P1083" s="3" t="str">
        <f>VLOOKUP(Table2[[#This Row],[Tulu/kulu liik2]],Table5[],5,FALSE)</f>
        <v>Põhitegevuse kulu</v>
      </c>
    </row>
    <row r="1084" spans="1:16" hidden="1" x14ac:dyDescent="0.25">
      <c r="A1084" t="str">
        <f t="shared" si="32"/>
        <v>09</v>
      </c>
      <c r="B1084" t="s">
        <v>341</v>
      </c>
      <c r="C1084" s="3" t="str">
        <f>VLOOKUP(Table2[[#This Row],[Tegevusala]],Table4[],2,FALSE)</f>
        <v xml:space="preserve"> Üritused</v>
      </c>
      <c r="D1084" s="3" t="str">
        <f>VLOOKUP(Table2[[#This Row],[Tegevusala]],Table4[[Tegevusala kood]:[Tegevusala alanimetus]],4,FALSE)</f>
        <v>Muu haridus, sh hariduse haldus</v>
      </c>
      <c r="E1084" s="3" t="str">
        <f>VLOOKUP(Table2[[#This Row],[Tegevusala nimetus2]],Table4[[Tegevusala nimetus]:[Tegevusala koondnimetus]],2,FALSE)</f>
        <v>Vabaaeg, kultuur ja religioon</v>
      </c>
      <c r="F1084" t="s">
        <v>1527</v>
      </c>
      <c r="G1084" t="s">
        <v>1543</v>
      </c>
      <c r="H1084" s="40">
        <v>5000</v>
      </c>
      <c r="I1084" s="2" t="s">
        <v>1548</v>
      </c>
      <c r="J1084">
        <v>5525</v>
      </c>
      <c r="K1084" s="3" t="str">
        <f>VLOOKUP(Table2[[#This Row],[Konto]],Table5[[Konto]:[Konto nimetus]],2,FALSE)</f>
        <v>Kommunikatsiooni-, kultuuri- ja vaba aja sisustamise kulud</v>
      </c>
      <c r="L1084">
        <v>55</v>
      </c>
      <c r="M1084" t="str">
        <f t="shared" si="33"/>
        <v>55</v>
      </c>
      <c r="N1084" s="3" t="str">
        <f>VLOOKUP(Table2[[#This Row],[Tulu/kulu liik2]],Table5[[Tulu/kulu liik]:[Kontode koondnimetus]],4,FALSE)</f>
        <v>Muud tegevuskulud</v>
      </c>
      <c r="O1084" s="3" t="str">
        <f>VLOOKUP(Table2[[#This Row],[Tulu/kulu liik2]],Table5[],6,FALSE)</f>
        <v>Majandamiskulud</v>
      </c>
      <c r="P1084" s="3" t="str">
        <f>VLOOKUP(Table2[[#This Row],[Tulu/kulu liik2]],Table5[],5,FALSE)</f>
        <v>Põhitegevuse kulu</v>
      </c>
    </row>
    <row r="1085" spans="1:16" hidden="1" x14ac:dyDescent="0.25">
      <c r="A1085" t="str">
        <f t="shared" si="32"/>
        <v>09</v>
      </c>
      <c r="B1085" t="s">
        <v>341</v>
      </c>
      <c r="C1085" s="3" t="str">
        <f>VLOOKUP(Table2[[#This Row],[Tegevusala]],Table4[],2,FALSE)</f>
        <v xml:space="preserve"> Üritused</v>
      </c>
      <c r="D1085" s="3" t="str">
        <f>VLOOKUP(Table2[[#This Row],[Tegevusala]],Table4[[Tegevusala kood]:[Tegevusala alanimetus]],4,FALSE)</f>
        <v>Muu haridus, sh hariduse haldus</v>
      </c>
      <c r="E1085" s="3" t="str">
        <f>VLOOKUP(Table2[[#This Row],[Tegevusala nimetus2]],Table4[[Tegevusala nimetus]:[Tegevusala koondnimetus]],2,FALSE)</f>
        <v>Vabaaeg, kultuur ja religioon</v>
      </c>
      <c r="F1085" t="s">
        <v>1527</v>
      </c>
      <c r="G1085" t="s">
        <v>1544</v>
      </c>
      <c r="H1085" s="40">
        <v>3500</v>
      </c>
      <c r="I1085" s="2" t="s">
        <v>1549</v>
      </c>
      <c r="J1085">
        <v>5525</v>
      </c>
      <c r="K1085" s="3" t="str">
        <f>VLOOKUP(Table2[[#This Row],[Konto]],Table5[[Konto]:[Konto nimetus]],2,FALSE)</f>
        <v>Kommunikatsiooni-, kultuuri- ja vaba aja sisustamise kulud</v>
      </c>
      <c r="L1085">
        <v>55</v>
      </c>
      <c r="M1085" t="str">
        <f t="shared" si="33"/>
        <v>55</v>
      </c>
      <c r="N1085" s="3" t="str">
        <f>VLOOKUP(Table2[[#This Row],[Tulu/kulu liik2]],Table5[[Tulu/kulu liik]:[Kontode koondnimetus]],4,FALSE)</f>
        <v>Muud tegevuskulud</v>
      </c>
      <c r="O1085" s="3" t="str">
        <f>VLOOKUP(Table2[[#This Row],[Tulu/kulu liik2]],Table5[],6,FALSE)</f>
        <v>Majandamiskulud</v>
      </c>
      <c r="P1085" s="3" t="str">
        <f>VLOOKUP(Table2[[#This Row],[Tulu/kulu liik2]],Table5[],5,FALSE)</f>
        <v>Põhitegevuse kulu</v>
      </c>
    </row>
    <row r="1086" spans="1:16" hidden="1" x14ac:dyDescent="0.25">
      <c r="A1086" t="str">
        <f t="shared" ref="A1086:A1146" si="34">LEFT(B1086,2)</f>
        <v>09</v>
      </c>
      <c r="B1086" t="s">
        <v>341</v>
      </c>
      <c r="C1086" s="3" t="str">
        <f>VLOOKUP(Table2[[#This Row],[Tegevusala]],Table4[],2,FALSE)</f>
        <v xml:space="preserve"> Üritused</v>
      </c>
      <c r="D1086" s="3" t="str">
        <f>VLOOKUP(Table2[[#This Row],[Tegevusala]],Table4[[Tegevusala kood]:[Tegevusala alanimetus]],4,FALSE)</f>
        <v>Muu haridus, sh hariduse haldus</v>
      </c>
      <c r="E1086" s="3" t="str">
        <f>VLOOKUP(Table2[[#This Row],[Tegevusala nimetus2]],Table4[[Tegevusala nimetus]:[Tegevusala koondnimetus]],2,FALSE)</f>
        <v>Vabaaeg, kultuur ja religioon</v>
      </c>
      <c r="F1086" t="s">
        <v>1527</v>
      </c>
      <c r="G1086" t="s">
        <v>1545</v>
      </c>
      <c r="H1086" s="40">
        <v>1000</v>
      </c>
      <c r="I1086" s="2" t="s">
        <v>1550</v>
      </c>
      <c r="J1086">
        <v>5525</v>
      </c>
      <c r="K1086" s="3" t="str">
        <f>VLOOKUP(Table2[[#This Row],[Konto]],Table5[[Konto]:[Konto nimetus]],2,FALSE)</f>
        <v>Kommunikatsiooni-, kultuuri- ja vaba aja sisustamise kulud</v>
      </c>
      <c r="L1086">
        <v>55</v>
      </c>
      <c r="M1086" t="str">
        <f t="shared" ref="M1086:M1146" si="35">LEFT(J1086,2)</f>
        <v>55</v>
      </c>
      <c r="N1086" s="3" t="str">
        <f>VLOOKUP(Table2[[#This Row],[Tulu/kulu liik2]],Table5[[Tulu/kulu liik]:[Kontode koondnimetus]],4,FALSE)</f>
        <v>Muud tegevuskulud</v>
      </c>
      <c r="O1086" s="3" t="str">
        <f>VLOOKUP(Table2[[#This Row],[Tulu/kulu liik2]],Table5[],6,FALSE)</f>
        <v>Majandamiskulud</v>
      </c>
      <c r="P1086" s="3" t="str">
        <f>VLOOKUP(Table2[[#This Row],[Tulu/kulu liik2]],Table5[],5,FALSE)</f>
        <v>Põhitegevuse kulu</v>
      </c>
    </row>
    <row r="1087" spans="1:16" hidden="1" x14ac:dyDescent="0.25">
      <c r="A1087" t="str">
        <f t="shared" si="34"/>
        <v>09</v>
      </c>
      <c r="B1087" t="s">
        <v>341</v>
      </c>
      <c r="C1087" s="3" t="str">
        <f>VLOOKUP(Table2[[#This Row],[Tegevusala]],Table4[],2,FALSE)</f>
        <v xml:space="preserve"> Üritused</v>
      </c>
      <c r="D1087" s="3" t="str">
        <f>VLOOKUP(Table2[[#This Row],[Tegevusala]],Table4[[Tegevusala kood]:[Tegevusala alanimetus]],4,FALSE)</f>
        <v>Muu haridus, sh hariduse haldus</v>
      </c>
      <c r="E1087" s="3" t="str">
        <f>VLOOKUP(Table2[[#This Row],[Tegevusala nimetus2]],Table4[[Tegevusala nimetus]:[Tegevusala koondnimetus]],2,FALSE)</f>
        <v>Vabaaeg, kultuur ja religioon</v>
      </c>
      <c r="F1087" t="s">
        <v>1527</v>
      </c>
      <c r="G1087" t="s">
        <v>1546</v>
      </c>
      <c r="H1087" s="40">
        <v>7000</v>
      </c>
      <c r="I1087" s="2" t="s">
        <v>1551</v>
      </c>
      <c r="J1087">
        <v>5525</v>
      </c>
      <c r="K1087" s="3" t="str">
        <f>VLOOKUP(Table2[[#This Row],[Konto]],Table5[[Konto]:[Konto nimetus]],2,FALSE)</f>
        <v>Kommunikatsiooni-, kultuuri- ja vaba aja sisustamise kulud</v>
      </c>
      <c r="L1087">
        <v>55</v>
      </c>
      <c r="M1087" t="str">
        <f t="shared" si="35"/>
        <v>55</v>
      </c>
      <c r="N1087" s="3" t="str">
        <f>VLOOKUP(Table2[[#This Row],[Tulu/kulu liik2]],Table5[[Tulu/kulu liik]:[Kontode koondnimetus]],4,FALSE)</f>
        <v>Muud tegevuskulud</v>
      </c>
      <c r="O1087" s="3" t="str">
        <f>VLOOKUP(Table2[[#This Row],[Tulu/kulu liik2]],Table5[],6,FALSE)</f>
        <v>Majandamiskulud</v>
      </c>
      <c r="P1087" s="3" t="str">
        <f>VLOOKUP(Table2[[#This Row],[Tulu/kulu liik2]],Table5[],5,FALSE)</f>
        <v>Põhitegevuse kulu</v>
      </c>
    </row>
    <row r="1088" spans="1:16" hidden="1" x14ac:dyDescent="0.25">
      <c r="A1088" t="str">
        <f t="shared" si="34"/>
        <v>09</v>
      </c>
      <c r="B1088" t="s">
        <v>341</v>
      </c>
      <c r="C1088" s="3" t="str">
        <f>VLOOKUP(Table2[[#This Row],[Tegevusala]],Table4[],2,FALSE)</f>
        <v xml:space="preserve"> Üritused</v>
      </c>
      <c r="D1088" s="3" t="str">
        <f>VLOOKUP(Table2[[#This Row],[Tegevusala]],Table4[[Tegevusala kood]:[Tegevusala alanimetus]],4,FALSE)</f>
        <v>Muu haridus, sh hariduse haldus</v>
      </c>
      <c r="E1088" s="3" t="str">
        <f>VLOOKUP(Table2[[#This Row],[Tegevusala nimetus2]],Table4[[Tegevusala nimetus]:[Tegevusala koondnimetus]],2,FALSE)</f>
        <v>Vabaaeg, kultuur ja religioon</v>
      </c>
      <c r="F1088" t="s">
        <v>1527</v>
      </c>
      <c r="G1088" t="s">
        <v>1552</v>
      </c>
      <c r="H1088" s="40">
        <v>25000</v>
      </c>
      <c r="I1088" s="2" t="s">
        <v>1553</v>
      </c>
      <c r="J1088">
        <v>5525</v>
      </c>
      <c r="K1088" s="3" t="str">
        <f>VLOOKUP(Table2[[#This Row],[Konto]],Table5[[Konto]:[Konto nimetus]],2,FALSE)</f>
        <v>Kommunikatsiooni-, kultuuri- ja vaba aja sisustamise kulud</v>
      </c>
      <c r="L1088">
        <v>55</v>
      </c>
      <c r="M1088" t="str">
        <f t="shared" si="35"/>
        <v>55</v>
      </c>
      <c r="N1088" s="3" t="str">
        <f>VLOOKUP(Table2[[#This Row],[Tulu/kulu liik2]],Table5[[Tulu/kulu liik]:[Kontode koondnimetus]],4,FALSE)</f>
        <v>Muud tegevuskulud</v>
      </c>
      <c r="O1088" s="3" t="str">
        <f>VLOOKUP(Table2[[#This Row],[Tulu/kulu liik2]],Table5[],6,FALSE)</f>
        <v>Majandamiskulud</v>
      </c>
      <c r="P1088" s="3" t="str">
        <f>VLOOKUP(Table2[[#This Row],[Tulu/kulu liik2]],Table5[],5,FALSE)</f>
        <v>Põhitegevuse kulu</v>
      </c>
    </row>
    <row r="1089" spans="1:16" hidden="1" x14ac:dyDescent="0.25">
      <c r="A1089" t="str">
        <f t="shared" si="34"/>
        <v>09</v>
      </c>
      <c r="B1089" t="s">
        <v>343</v>
      </c>
      <c r="C1089" s="3" t="str">
        <f>VLOOKUP(Table2[[#This Row],[Tegevusala]],Table4[],2,FALSE)</f>
        <v xml:space="preserve"> Haldus</v>
      </c>
      <c r="D1089" s="3" t="str">
        <f>VLOOKUP(Table2[[#This Row],[Tegevusala]],Table4[[Tegevusala kood]:[Tegevusala alanimetus]],4,FALSE)</f>
        <v>Muu haridus, sh hariduse haldus</v>
      </c>
      <c r="E1089" s="3" t="str">
        <f>VLOOKUP(Table2[[#This Row],[Tegevusala nimetus2]],Table4[[Tegevusala nimetus]:[Tegevusala koondnimetus]],2,FALSE)</f>
        <v>Haridus</v>
      </c>
      <c r="F1089" t="s">
        <v>1527</v>
      </c>
      <c r="G1089" t="s">
        <v>1523</v>
      </c>
      <c r="H1089" s="40">
        <v>3000</v>
      </c>
      <c r="J1089">
        <v>5504</v>
      </c>
      <c r="K1089" s="3" t="str">
        <f>VLOOKUP(Table2[[#This Row],[Konto]],Table5[[Konto]:[Konto nimetus]],2,FALSE)</f>
        <v>Koolituskulud</v>
      </c>
      <c r="L1089">
        <v>55</v>
      </c>
      <c r="M1089" t="str">
        <f t="shared" si="35"/>
        <v>55</v>
      </c>
      <c r="N1089" s="3" t="str">
        <f>VLOOKUP(Table2[[#This Row],[Tulu/kulu liik2]],Table5[[Tulu/kulu liik]:[Kontode koondnimetus]],4,FALSE)</f>
        <v>Muud tegevuskulud</v>
      </c>
      <c r="O1089" s="3" t="str">
        <f>VLOOKUP(Table2[[#This Row],[Tulu/kulu liik2]],Table5[],6,FALSE)</f>
        <v>Majandamiskulud</v>
      </c>
      <c r="P1089" s="3" t="str">
        <f>VLOOKUP(Table2[[#This Row],[Tulu/kulu liik2]],Table5[],5,FALSE)</f>
        <v>Põhitegevuse kulu</v>
      </c>
    </row>
    <row r="1090" spans="1:16" hidden="1" x14ac:dyDescent="0.25">
      <c r="A1090" t="str">
        <f t="shared" si="34"/>
        <v>09</v>
      </c>
      <c r="B1090" t="s">
        <v>343</v>
      </c>
      <c r="C1090" s="3" t="str">
        <f>VLOOKUP(Table2[[#This Row],[Tegevusala]],Table4[],2,FALSE)</f>
        <v xml:space="preserve"> Haldus</v>
      </c>
      <c r="D1090" s="3" t="str">
        <f>VLOOKUP(Table2[[#This Row],[Tegevusala]],Table4[[Tegevusala kood]:[Tegevusala alanimetus]],4,FALSE)</f>
        <v>Muu haridus, sh hariduse haldus</v>
      </c>
      <c r="E1090" s="3" t="str">
        <f>VLOOKUP(Table2[[#This Row],[Tegevusala nimetus2]],Table4[[Tegevusala nimetus]:[Tegevusala koondnimetus]],2,FALSE)</f>
        <v>Haridus</v>
      </c>
      <c r="F1090" t="s">
        <v>1527</v>
      </c>
      <c r="G1090" t="s">
        <v>424</v>
      </c>
      <c r="H1090" s="40">
        <v>8300</v>
      </c>
      <c r="I1090" s="2" t="s">
        <v>1524</v>
      </c>
      <c r="J1090">
        <v>5513</v>
      </c>
      <c r="K1090" s="3" t="str">
        <f>VLOOKUP(Table2[[#This Row],[Konto]],Table5[[Konto]:[Konto nimetus]],2,FALSE)</f>
        <v>Sõidukite ülalpidamise kulud</v>
      </c>
      <c r="L1090">
        <v>55</v>
      </c>
      <c r="M1090" t="str">
        <f t="shared" si="35"/>
        <v>55</v>
      </c>
      <c r="N1090" s="3" t="str">
        <f>VLOOKUP(Table2[[#This Row],[Tulu/kulu liik2]],Table5[[Tulu/kulu liik]:[Kontode koondnimetus]],4,FALSE)</f>
        <v>Muud tegevuskulud</v>
      </c>
      <c r="O1090" s="3" t="str">
        <f>VLOOKUP(Table2[[#This Row],[Tulu/kulu liik2]],Table5[],6,FALSE)</f>
        <v>Majandamiskulud</v>
      </c>
      <c r="P1090" s="3" t="str">
        <f>VLOOKUP(Table2[[#This Row],[Tulu/kulu liik2]],Table5[],5,FALSE)</f>
        <v>Põhitegevuse kulu</v>
      </c>
    </row>
    <row r="1091" spans="1:16" hidden="1" x14ac:dyDescent="0.25">
      <c r="A1091" t="str">
        <f t="shared" si="34"/>
        <v>09</v>
      </c>
      <c r="B1091" t="s">
        <v>343</v>
      </c>
      <c r="C1091" s="3" t="str">
        <f>VLOOKUP(Table2[[#This Row],[Tegevusala]],Table4[],2,FALSE)</f>
        <v xml:space="preserve"> Haldus</v>
      </c>
      <c r="D1091" s="3" t="str">
        <f>VLOOKUP(Table2[[#This Row],[Tegevusala]],Table4[[Tegevusala kood]:[Tegevusala alanimetus]],4,FALSE)</f>
        <v>Muu haridus, sh hariduse haldus</v>
      </c>
      <c r="E1091" s="3" t="str">
        <f>VLOOKUP(Table2[[#This Row],[Tegevusala nimetus2]],Table4[[Tegevusala nimetus]:[Tegevusala koondnimetus]],2,FALSE)</f>
        <v>Haridus</v>
      </c>
      <c r="F1091" t="s">
        <v>1527</v>
      </c>
      <c r="G1091" t="s">
        <v>1525</v>
      </c>
      <c r="H1091" s="40">
        <v>1000</v>
      </c>
      <c r="J1091">
        <v>5524</v>
      </c>
      <c r="K1091" s="3" t="str">
        <f>VLOOKUP(Table2[[#This Row],[Konto]],Table5[[Konto]:[Konto nimetus]],2,FALSE)</f>
        <v>Õppevahendid</v>
      </c>
      <c r="L1091">
        <v>55</v>
      </c>
      <c r="M1091" t="str">
        <f t="shared" si="35"/>
        <v>55</v>
      </c>
      <c r="N1091" s="3" t="str">
        <f>VLOOKUP(Table2[[#This Row],[Tulu/kulu liik2]],Table5[[Tulu/kulu liik]:[Kontode koondnimetus]],4,FALSE)</f>
        <v>Muud tegevuskulud</v>
      </c>
      <c r="O1091" s="3" t="str">
        <f>VLOOKUP(Table2[[#This Row],[Tulu/kulu liik2]],Table5[],6,FALSE)</f>
        <v>Majandamiskulud</v>
      </c>
      <c r="P1091" s="3" t="str">
        <f>VLOOKUP(Table2[[#This Row],[Tulu/kulu liik2]],Table5[],5,FALSE)</f>
        <v>Põhitegevuse kulu</v>
      </c>
    </row>
    <row r="1092" spans="1:16" hidden="1" x14ac:dyDescent="0.25">
      <c r="A1092" t="str">
        <f t="shared" si="34"/>
        <v>09</v>
      </c>
      <c r="B1092" t="s">
        <v>343</v>
      </c>
      <c r="C1092" s="3" t="str">
        <f>VLOOKUP(Table2[[#This Row],[Tegevusala]],Table4[],2,FALSE)</f>
        <v xml:space="preserve"> Haldus</v>
      </c>
      <c r="D1092" s="3" t="str">
        <f>VLOOKUP(Table2[[#This Row],[Tegevusala]],Table4[[Tegevusala kood]:[Tegevusala alanimetus]],4,FALSE)</f>
        <v>Muu haridus, sh hariduse haldus</v>
      </c>
      <c r="E1092" s="3" t="str">
        <f>VLOOKUP(Table2[[#This Row],[Tegevusala nimetus2]],Table4[[Tegevusala nimetus]:[Tegevusala koondnimetus]],2,FALSE)</f>
        <v>Haridus</v>
      </c>
      <c r="F1092" t="s">
        <v>1527</v>
      </c>
      <c r="G1092" t="s">
        <v>1526</v>
      </c>
      <c r="H1092" s="40">
        <v>300</v>
      </c>
      <c r="J1092">
        <v>5515</v>
      </c>
      <c r="K1092" s="3" t="str">
        <f>VLOOKUP(Table2[[#This Row],[Konto]],Table5[[Konto]:[Konto nimetus]],2,FALSE)</f>
        <v>Inventari kulud, v.a infotehnoloogia ja kaitseotstarbelised kulud</v>
      </c>
      <c r="L1092">
        <v>55</v>
      </c>
      <c r="M1092" t="str">
        <f t="shared" si="35"/>
        <v>55</v>
      </c>
      <c r="N1092" s="3" t="str">
        <f>VLOOKUP(Table2[[#This Row],[Tulu/kulu liik2]],Table5[[Tulu/kulu liik]:[Kontode koondnimetus]],4,FALSE)</f>
        <v>Muud tegevuskulud</v>
      </c>
      <c r="O1092" s="3" t="str">
        <f>VLOOKUP(Table2[[#This Row],[Tulu/kulu liik2]],Table5[],6,FALSE)</f>
        <v>Majandamiskulud</v>
      </c>
      <c r="P1092" s="3" t="str">
        <f>VLOOKUP(Table2[[#This Row],[Tulu/kulu liik2]],Table5[],5,FALSE)</f>
        <v>Põhitegevuse kulu</v>
      </c>
    </row>
    <row r="1093" spans="1:16" hidden="1" x14ac:dyDescent="0.25">
      <c r="A1093" s="33" t="str">
        <f t="shared" si="34"/>
        <v>09</v>
      </c>
      <c r="B1093" s="33" t="s">
        <v>343</v>
      </c>
      <c r="C1093" s="34" t="str">
        <f>VLOOKUP(Table2[[#This Row],[Tegevusala]],Table4[],2,FALSE)</f>
        <v xml:space="preserve"> Haldus</v>
      </c>
      <c r="D1093" s="34" t="str">
        <f>VLOOKUP(Table2[[#This Row],[Tegevusala]],Table4[[Tegevusala kood]:[Tegevusala alanimetus]],4,FALSE)</f>
        <v>Muu haridus, sh hariduse haldus</v>
      </c>
      <c r="E1093" s="34" t="str">
        <f>VLOOKUP(Table2[[#This Row],[Tegevusala nimetus2]],Table4[[Tegevusala nimetus]:[Tegevusala koondnimetus]],2,FALSE)</f>
        <v>Haridus</v>
      </c>
      <c r="F1093" s="33" t="s">
        <v>1527</v>
      </c>
      <c r="G1093" s="33" t="s">
        <v>775</v>
      </c>
      <c r="H1093" s="47">
        <f>45*12</f>
        <v>540</v>
      </c>
      <c r="I1093" s="35"/>
      <c r="J1093" s="33">
        <v>5500</v>
      </c>
      <c r="K1093" s="34" t="str">
        <f>VLOOKUP(Table2[[#This Row],[Konto]],Table5[[Konto]:[Konto nimetus]],2,FALSE)</f>
        <v>Administreerimiskulud</v>
      </c>
      <c r="L1093" s="33">
        <v>55</v>
      </c>
      <c r="M1093" s="33" t="str">
        <f t="shared" si="35"/>
        <v>55</v>
      </c>
      <c r="N1093" s="34" t="str">
        <f>VLOOKUP(Table2[[#This Row],[Tulu/kulu liik2]],Table5[[Tulu/kulu liik]:[Kontode koondnimetus]],4,FALSE)</f>
        <v>Muud tegevuskulud</v>
      </c>
      <c r="O1093" s="34" t="str">
        <f>VLOOKUP(Table2[[#This Row],[Tulu/kulu liik2]],Table5[],6,FALSE)</f>
        <v>Majandamiskulud</v>
      </c>
      <c r="P1093" s="34" t="str">
        <f>VLOOKUP(Table2[[#This Row],[Tulu/kulu liik2]],Table5[],5,FALSE)</f>
        <v>Põhitegevuse kulu</v>
      </c>
    </row>
    <row r="1094" spans="1:16" hidden="1" x14ac:dyDescent="0.25">
      <c r="A1094" t="str">
        <f t="shared" si="34"/>
        <v>09</v>
      </c>
      <c r="B1094" s="31" t="s">
        <v>1556</v>
      </c>
      <c r="C1094" s="3" t="str">
        <f>VLOOKUP(Table2[[#This Row],[Tegevusala]],Table4[],2,FALSE)</f>
        <v xml:space="preserve"> Halduse tagatavad kulud</v>
      </c>
      <c r="D1094" s="3" t="str">
        <f>VLOOKUP(Table2[[#This Row],[Tegevusala]],Table4[[Tegevusala kood]:[Tegevusala alanimetus]],4,FALSE)</f>
        <v>Muu haridus, sh hariduse haldus</v>
      </c>
      <c r="E1094" s="3" t="str">
        <f>VLOOKUP(Table2[[#This Row],[Tegevusala nimetus2]],Table4[[Tegevusala nimetus]:[Tegevusala koondnimetus]],2,FALSE)</f>
        <v>Haridus</v>
      </c>
      <c r="F1094" t="s">
        <v>1527</v>
      </c>
      <c r="G1094" t="s">
        <v>1554</v>
      </c>
      <c r="H1094" s="40">
        <v>10000</v>
      </c>
      <c r="I1094" s="2" t="s">
        <v>1555</v>
      </c>
      <c r="J1094">
        <v>5504</v>
      </c>
      <c r="K1094" s="3" t="str">
        <f>VLOOKUP(Table2[[#This Row],[Konto]],Table5[[Konto]:[Konto nimetus]],2,FALSE)</f>
        <v>Koolituskulud</v>
      </c>
      <c r="L1094">
        <v>55</v>
      </c>
      <c r="M1094" t="str">
        <f t="shared" si="35"/>
        <v>55</v>
      </c>
      <c r="N1094" s="3" t="str">
        <f>VLOOKUP(Table2[[#This Row],[Tulu/kulu liik2]],Table5[[Tulu/kulu liik]:[Kontode koondnimetus]],4,FALSE)</f>
        <v>Muud tegevuskulud</v>
      </c>
      <c r="O1094" s="3" t="str">
        <f>VLOOKUP(Table2[[#This Row],[Tulu/kulu liik2]],Table5[],6,FALSE)</f>
        <v>Majandamiskulud</v>
      </c>
      <c r="P1094" s="3" t="str">
        <f>VLOOKUP(Table2[[#This Row],[Tulu/kulu liik2]],Table5[],5,FALSE)</f>
        <v>Põhitegevuse kulu</v>
      </c>
    </row>
    <row r="1095" spans="1:16" hidden="1" x14ac:dyDescent="0.25">
      <c r="A1095" t="str">
        <f t="shared" si="34"/>
        <v>09</v>
      </c>
      <c r="B1095" s="31" t="s">
        <v>1556</v>
      </c>
      <c r="C1095" s="3" t="str">
        <f>VLOOKUP(Table2[[#This Row],[Tegevusala]],Table4[],2,FALSE)</f>
        <v xml:space="preserve"> Halduse tagatavad kulud</v>
      </c>
      <c r="D1095" s="3" t="str">
        <f>VLOOKUP(Table2[[#This Row],[Tegevusala]],Table4[[Tegevusala kood]:[Tegevusala alanimetus]],4,FALSE)</f>
        <v>Muu haridus, sh hariduse haldus</v>
      </c>
      <c r="E1095" s="3" t="str">
        <f>VLOOKUP(Table2[[#This Row],[Tegevusala nimetus2]],Table4[[Tegevusala nimetus]:[Tegevusala koondnimetus]],2,FALSE)</f>
        <v>Haridus</v>
      </c>
      <c r="F1095" t="s">
        <v>1527</v>
      </c>
      <c r="G1095" t="s">
        <v>1827</v>
      </c>
      <c r="H1095" s="40">
        <v>10000</v>
      </c>
      <c r="J1095">
        <v>5504</v>
      </c>
      <c r="K1095" s="3" t="str">
        <f>VLOOKUP(Table2[[#This Row],[Konto]],Table5[[Konto]:[Konto nimetus]],2,FALSE)</f>
        <v>Koolituskulud</v>
      </c>
      <c r="L1095">
        <v>55</v>
      </c>
      <c r="M1095" t="str">
        <f t="shared" si="35"/>
        <v>55</v>
      </c>
      <c r="N1095" s="3" t="str">
        <f>VLOOKUP(Table2[[#This Row],[Tulu/kulu liik2]],Table5[[Tulu/kulu liik]:[Kontode koondnimetus]],4,FALSE)</f>
        <v>Muud tegevuskulud</v>
      </c>
      <c r="O1095" s="3" t="str">
        <f>VLOOKUP(Table2[[#This Row],[Tulu/kulu liik2]],Table5[],6,FALSE)</f>
        <v>Majandamiskulud</v>
      </c>
      <c r="P1095" s="3" t="str">
        <f>VLOOKUP(Table2[[#This Row],[Tulu/kulu liik2]],Table5[],5,FALSE)</f>
        <v>Põhitegevuse kulu</v>
      </c>
    </row>
    <row r="1096" spans="1:16" hidden="1" x14ac:dyDescent="0.25">
      <c r="A1096" s="33" t="str">
        <f t="shared" si="34"/>
        <v>10</v>
      </c>
      <c r="B1096" s="31" t="s">
        <v>703</v>
      </c>
      <c r="C1096" s="34" t="str">
        <f>VLOOKUP(Table2[[#This Row],[Tegevusala]],Table4[],2,FALSE)</f>
        <v xml:space="preserve"> Haigete sotsiaalne kaitse</v>
      </c>
      <c r="D1096" s="34" t="str">
        <f>VLOOKUP(Table2[[#This Row],[Tegevusala]],Table4[[Tegevusala kood]:[Tegevusala alanimetus]],4,FALSE)</f>
        <v>Haigete sotsiaalne kaitse</v>
      </c>
      <c r="E1096" s="34" t="str">
        <f>VLOOKUP(Table2[[#This Row],[Tegevusala nimetus2]],Table4[[Tegevusala nimetus]:[Tegevusala koondnimetus]],2,FALSE)</f>
        <v>Sotsiaalne kaitse</v>
      </c>
      <c r="F1096" s="33" t="s">
        <v>444</v>
      </c>
      <c r="G1096" s="33" t="s">
        <v>699</v>
      </c>
      <c r="H1096" s="47">
        <v>300</v>
      </c>
      <c r="I1096" s="35"/>
      <c r="J1096" s="33">
        <v>4500</v>
      </c>
      <c r="K1096" s="34" t="str">
        <f>VLOOKUP(Table2[[#This Row],[Konto]],Table5[[Konto]:[Konto nimetus]],2,FALSE)</f>
        <v>Sihtotstarbelised eraldised jooksvateks kuludeks</v>
      </c>
      <c r="L1096" s="33">
        <v>4500</v>
      </c>
      <c r="M1096" s="33" t="str">
        <f t="shared" si="35"/>
        <v>45</v>
      </c>
      <c r="N1096" s="34" t="str">
        <f>VLOOKUP(Table2[[#This Row],[Tulu/kulu liik2]],Table5[[Tulu/kulu liik]:[Kontode koondnimetus]],4,FALSE)</f>
        <v>Antavad toetused tegevuskuludeks</v>
      </c>
      <c r="O1096" s="34" t="str">
        <f>VLOOKUP(Table2[[#This Row],[Tulu/kulu liik2]],Table5[],6,FALSE)</f>
        <v>Sihtotstarbelised toetused tegevuskuludeks</v>
      </c>
      <c r="P1096" s="34" t="str">
        <f>VLOOKUP(Table2[[#This Row],[Tulu/kulu liik2]],Table5[],5,FALSE)</f>
        <v>Põhitegevuse kulu</v>
      </c>
    </row>
    <row r="1097" spans="1:16" hidden="1" x14ac:dyDescent="0.25">
      <c r="A1097" s="33" t="str">
        <f t="shared" si="34"/>
        <v>10</v>
      </c>
      <c r="B1097" s="31" t="s">
        <v>703</v>
      </c>
      <c r="C1097" s="34" t="str">
        <f>VLOOKUP(Table2[[#This Row],[Tegevusala]],Table4[],2,FALSE)</f>
        <v xml:space="preserve"> Haigete sotsiaalne kaitse</v>
      </c>
      <c r="D1097" s="34" t="str">
        <f>VLOOKUP(Table2[[#This Row],[Tegevusala]],Table4[[Tegevusala kood]:[Tegevusala alanimetus]],4,FALSE)</f>
        <v>Haigete sotsiaalne kaitse</v>
      </c>
      <c r="E1097" s="34" t="str">
        <f>VLOOKUP(Table2[[#This Row],[Tegevusala nimetus2]],Table4[[Tegevusala nimetus]:[Tegevusala koondnimetus]],2,FALSE)</f>
        <v>Sotsiaalne kaitse</v>
      </c>
      <c r="F1097" s="33" t="s">
        <v>444</v>
      </c>
      <c r="G1097" s="33" t="s">
        <v>700</v>
      </c>
      <c r="H1097" s="47">
        <v>700</v>
      </c>
      <c r="I1097" s="35"/>
      <c r="J1097" s="33">
        <v>4500</v>
      </c>
      <c r="K1097" s="34" t="str">
        <f>VLOOKUP(Table2[[#This Row],[Konto]],Table5[[Konto]:[Konto nimetus]],2,FALSE)</f>
        <v>Sihtotstarbelised eraldised jooksvateks kuludeks</v>
      </c>
      <c r="L1097" s="33">
        <v>4500</v>
      </c>
      <c r="M1097" s="33" t="str">
        <f t="shared" si="35"/>
        <v>45</v>
      </c>
      <c r="N1097" s="34" t="str">
        <f>VLOOKUP(Table2[[#This Row],[Tulu/kulu liik2]],Table5[[Tulu/kulu liik]:[Kontode koondnimetus]],4,FALSE)</f>
        <v>Antavad toetused tegevuskuludeks</v>
      </c>
      <c r="O1097" s="34" t="str">
        <f>VLOOKUP(Table2[[#This Row],[Tulu/kulu liik2]],Table5[],6,FALSE)</f>
        <v>Sihtotstarbelised toetused tegevuskuludeks</v>
      </c>
      <c r="P1097" s="34" t="str">
        <f>VLOOKUP(Table2[[#This Row],[Tulu/kulu liik2]],Table5[],5,FALSE)</f>
        <v>Põhitegevuse kulu</v>
      </c>
    </row>
    <row r="1098" spans="1:16" hidden="1" x14ac:dyDescent="0.25">
      <c r="A1098" s="33" t="str">
        <f t="shared" si="34"/>
        <v>10</v>
      </c>
      <c r="B1098" s="31" t="s">
        <v>703</v>
      </c>
      <c r="C1098" s="34" t="str">
        <f>VLOOKUP(Table2[[#This Row],[Tegevusala]],Table4[],2,FALSE)</f>
        <v xml:space="preserve"> Haigete sotsiaalne kaitse</v>
      </c>
      <c r="D1098" s="34" t="str">
        <f>VLOOKUP(Table2[[#This Row],[Tegevusala]],Table4[[Tegevusala kood]:[Tegevusala alanimetus]],4,FALSE)</f>
        <v>Haigete sotsiaalne kaitse</v>
      </c>
      <c r="E1098" s="34" t="str">
        <f>VLOOKUP(Table2[[#This Row],[Tegevusala nimetus2]],Table4[[Tegevusala nimetus]:[Tegevusala koondnimetus]],2,FALSE)</f>
        <v>Sotsiaalne kaitse</v>
      </c>
      <c r="F1098" s="33" t="s">
        <v>444</v>
      </c>
      <c r="G1098" s="33" t="s">
        <v>701</v>
      </c>
      <c r="H1098" s="47">
        <v>250</v>
      </c>
      <c r="I1098" s="35"/>
      <c r="J1098" s="33">
        <v>4500</v>
      </c>
      <c r="K1098" s="34" t="str">
        <f>VLOOKUP(Table2[[#This Row],[Konto]],Table5[[Konto]:[Konto nimetus]],2,FALSE)</f>
        <v>Sihtotstarbelised eraldised jooksvateks kuludeks</v>
      </c>
      <c r="L1098" s="33">
        <v>4500</v>
      </c>
      <c r="M1098" s="33" t="str">
        <f t="shared" si="35"/>
        <v>45</v>
      </c>
      <c r="N1098" s="34" t="str">
        <f>VLOOKUP(Table2[[#This Row],[Tulu/kulu liik2]],Table5[[Tulu/kulu liik]:[Kontode koondnimetus]],4,FALSE)</f>
        <v>Antavad toetused tegevuskuludeks</v>
      </c>
      <c r="O1098" s="34" t="str">
        <f>VLOOKUP(Table2[[#This Row],[Tulu/kulu liik2]],Table5[],6,FALSE)</f>
        <v>Sihtotstarbelised toetused tegevuskuludeks</v>
      </c>
      <c r="P1098" s="34" t="str">
        <f>VLOOKUP(Table2[[#This Row],[Tulu/kulu liik2]],Table5[],5,FALSE)</f>
        <v>Põhitegevuse kulu</v>
      </c>
    </row>
    <row r="1099" spans="1:16" hidden="1" x14ac:dyDescent="0.25">
      <c r="A1099" s="33" t="str">
        <f t="shared" si="34"/>
        <v>10</v>
      </c>
      <c r="B1099" s="31" t="s">
        <v>703</v>
      </c>
      <c r="C1099" s="34" t="str">
        <f>VLOOKUP(Table2[[#This Row],[Tegevusala]],Table4[],2,FALSE)</f>
        <v xml:space="preserve"> Haigete sotsiaalne kaitse</v>
      </c>
      <c r="D1099" s="34" t="str">
        <f>VLOOKUP(Table2[[#This Row],[Tegevusala]],Table4[[Tegevusala kood]:[Tegevusala alanimetus]],4,FALSE)</f>
        <v>Haigete sotsiaalne kaitse</v>
      </c>
      <c r="E1099" s="34" t="str">
        <f>VLOOKUP(Table2[[#This Row],[Tegevusala nimetus2]],Table4[[Tegevusala nimetus]:[Tegevusala koondnimetus]],2,FALSE)</f>
        <v>Sotsiaalne kaitse</v>
      </c>
      <c r="F1099" s="33" t="s">
        <v>444</v>
      </c>
      <c r="G1099" s="33" t="s">
        <v>702</v>
      </c>
      <c r="H1099" s="47">
        <v>7000</v>
      </c>
      <c r="I1099" s="35"/>
      <c r="J1099" s="33">
        <v>4500</v>
      </c>
      <c r="K1099" s="34" t="str">
        <f>VLOOKUP(Table2[[#This Row],[Konto]],Table5[[Konto]:[Konto nimetus]],2,FALSE)</f>
        <v>Sihtotstarbelised eraldised jooksvateks kuludeks</v>
      </c>
      <c r="L1099" s="33">
        <v>4500</v>
      </c>
      <c r="M1099" s="33" t="str">
        <f t="shared" si="35"/>
        <v>45</v>
      </c>
      <c r="N1099" s="34" t="str">
        <f>VLOOKUP(Table2[[#This Row],[Tulu/kulu liik2]],Table5[[Tulu/kulu liik]:[Kontode koondnimetus]],4,FALSE)</f>
        <v>Antavad toetused tegevuskuludeks</v>
      </c>
      <c r="O1099" s="34" t="str">
        <f>VLOOKUP(Table2[[#This Row],[Tulu/kulu liik2]],Table5[],6,FALSE)</f>
        <v>Sihtotstarbelised toetused tegevuskuludeks</v>
      </c>
      <c r="P1099" s="34" t="str">
        <f>VLOOKUP(Table2[[#This Row],[Tulu/kulu liik2]],Table5[],5,FALSE)</f>
        <v>Põhitegevuse kulu</v>
      </c>
    </row>
    <row r="1100" spans="1:16" hidden="1" x14ac:dyDescent="0.25">
      <c r="A1100" t="str">
        <f t="shared" si="34"/>
        <v>10</v>
      </c>
      <c r="B1100" t="s">
        <v>55</v>
      </c>
      <c r="C1100" s="3" t="str">
        <f>VLOOKUP(Table2[[#This Row],[Tegevusala]],Table4[],2,FALSE)</f>
        <v xml:space="preserve"> Puuetega inimeste sotsiaalhoolekandeasutused</v>
      </c>
      <c r="D1100" s="3" t="str">
        <f>VLOOKUP(Table2[[#This Row],[Tegevusala]],Table4[[Tegevusala kood]:[Tegevusala alanimetus]],4,FALSE)</f>
        <v>Puuetega inimeste sotsiaalhoolekandeasutused</v>
      </c>
      <c r="E1100" s="3" t="str">
        <f>VLOOKUP(Table2[[#This Row],[Tegevusala nimetus2]],Table4[[Tegevusala nimetus]:[Tegevusala koondnimetus]],2,FALSE)</f>
        <v>Sotsiaalne kaitse</v>
      </c>
      <c r="F1100" t="s">
        <v>444</v>
      </c>
      <c r="G1100" t="s">
        <v>2012</v>
      </c>
      <c r="H1100" s="40">
        <v>1500</v>
      </c>
      <c r="J1100">
        <v>4500</v>
      </c>
      <c r="K1100" s="3" t="str">
        <f>VLOOKUP(Table2[[#This Row],[Konto]],Table5[[Konto]:[Konto nimetus]],2,FALSE)</f>
        <v>Sihtotstarbelised eraldised jooksvateks kuludeks</v>
      </c>
      <c r="L1100">
        <v>4500</v>
      </c>
      <c r="M1100" t="str">
        <f t="shared" si="35"/>
        <v>45</v>
      </c>
      <c r="N1100" s="3" t="str">
        <f>VLOOKUP(Table2[[#This Row],[Tulu/kulu liik2]],Table5[[Tulu/kulu liik]:[Kontode koondnimetus]],4,FALSE)</f>
        <v>Antavad toetused tegevuskuludeks</v>
      </c>
      <c r="O1100" s="3" t="str">
        <f>VLOOKUP(Table2[[#This Row],[Tulu/kulu liik2]],Table5[],6,FALSE)</f>
        <v>Sihtotstarbelised toetused tegevuskuludeks</v>
      </c>
      <c r="P1100" s="3" t="str">
        <f>VLOOKUP(Table2[[#This Row],[Tulu/kulu liik2]],Table5[],5,FALSE)</f>
        <v>Põhitegevuse kulu</v>
      </c>
    </row>
    <row r="1101" spans="1:16" hidden="1" x14ac:dyDescent="0.25">
      <c r="A1101" s="33" t="str">
        <f t="shared" si="34"/>
        <v>10</v>
      </c>
      <c r="B1101" s="33" t="s">
        <v>55</v>
      </c>
      <c r="C1101" s="34" t="str">
        <f>VLOOKUP(Table2[[#This Row],[Tegevusala]],Table4[],2,FALSE)</f>
        <v xml:space="preserve"> Puuetega inimeste sotsiaalhoolekandeasutused</v>
      </c>
      <c r="D1101" s="34" t="str">
        <f>VLOOKUP(Table2[[#This Row],[Tegevusala]],Table4[[Tegevusala kood]:[Tegevusala alanimetus]],4,FALSE)</f>
        <v>Puuetega inimeste sotsiaalhoolekandeasutused</v>
      </c>
      <c r="E1101" s="34" t="str">
        <f>VLOOKUP(Table2[[#This Row],[Tegevusala nimetus2]],Table4[[Tegevusala nimetus]:[Tegevusala koondnimetus]],2,FALSE)</f>
        <v>Sotsiaalne kaitse</v>
      </c>
      <c r="F1101" s="33" t="s">
        <v>444</v>
      </c>
      <c r="G1101" s="33" t="s">
        <v>695</v>
      </c>
      <c r="H1101" s="47">
        <v>8600</v>
      </c>
      <c r="I1101" s="35"/>
      <c r="J1101" s="33">
        <v>45028</v>
      </c>
      <c r="K1101" s="34" t="str">
        <f>VLOOKUP(Table2[[#This Row],[Konto]],Table5[[Konto]:[Konto nimetus]],2,FALSE)</f>
        <v>Sihtotstarbelised eraldised põhivara soetamiseks muudele residentidele</v>
      </c>
      <c r="L1101" s="33">
        <v>4502</v>
      </c>
      <c r="M1101" s="33" t="str">
        <f t="shared" si="35"/>
        <v>45</v>
      </c>
      <c r="N1101" s="34" t="str">
        <f>VLOOKUP(Table2[[#This Row],[Tulu/kulu liik2]],Table5[[Tulu/kulu liik]:[Kontode koondnimetus]],4,FALSE)</f>
        <v>Põhivara soetuseks antav sihtfinantseerimine (-)</v>
      </c>
      <c r="O1101" s="34" t="str">
        <f>VLOOKUP(Table2[[#This Row],[Tulu/kulu liik2]],Table5[],6,FALSE)</f>
        <v>Põhivara soetuseks antav sihtfinantseerimine (-)</v>
      </c>
      <c r="P1101" s="34" t="str">
        <f>VLOOKUP(Table2[[#This Row],[Tulu/kulu liik2]],Table5[],5,FALSE)</f>
        <v>Investeerimistegevus</v>
      </c>
    </row>
    <row r="1102" spans="1:16" hidden="1" x14ac:dyDescent="0.25">
      <c r="A1102" s="33" t="str">
        <f t="shared" si="34"/>
        <v>10</v>
      </c>
      <c r="B1102" s="33" t="s">
        <v>55</v>
      </c>
      <c r="C1102" s="34" t="str">
        <f>VLOOKUP(Table2[[#This Row],[Tegevusala]],Table4[],2,FALSE)</f>
        <v xml:space="preserve"> Puuetega inimeste sotsiaalhoolekandeasutused</v>
      </c>
      <c r="D1102" s="34" t="str">
        <f>VLOOKUP(Table2[[#This Row],[Tegevusala]],Table4[[Tegevusala kood]:[Tegevusala alanimetus]],4,FALSE)</f>
        <v>Puuetega inimeste sotsiaalhoolekandeasutused</v>
      </c>
      <c r="E1102" s="34" t="str">
        <f>VLOOKUP(Table2[[#This Row],[Tegevusala nimetus2]],Table4[[Tegevusala nimetus]:[Tegevusala koondnimetus]],2,FALSE)</f>
        <v>Sotsiaalne kaitse</v>
      </c>
      <c r="F1102" s="33" t="s">
        <v>444</v>
      </c>
      <c r="G1102" s="33" t="s">
        <v>696</v>
      </c>
      <c r="H1102" s="47">
        <v>1000</v>
      </c>
      <c r="I1102" s="35"/>
      <c r="J1102" s="33">
        <v>4500</v>
      </c>
      <c r="K1102" s="34" t="str">
        <f>VLOOKUP(Table2[[#This Row],[Konto]],Table5[[Konto]:[Konto nimetus]],2,FALSE)</f>
        <v>Sihtotstarbelised eraldised jooksvateks kuludeks</v>
      </c>
      <c r="L1102" s="33">
        <v>4500</v>
      </c>
      <c r="M1102" s="33" t="str">
        <f t="shared" si="35"/>
        <v>45</v>
      </c>
      <c r="N1102" s="34" t="str">
        <f>VLOOKUP(Table2[[#This Row],[Tulu/kulu liik2]],Table5[[Tulu/kulu liik]:[Kontode koondnimetus]],4,FALSE)</f>
        <v>Antavad toetused tegevuskuludeks</v>
      </c>
      <c r="O1102" s="34" t="str">
        <f>VLOOKUP(Table2[[#This Row],[Tulu/kulu liik2]],Table5[],6,FALSE)</f>
        <v>Sihtotstarbelised toetused tegevuskuludeks</v>
      </c>
      <c r="P1102" s="34" t="str">
        <f>VLOOKUP(Table2[[#This Row],[Tulu/kulu liik2]],Table5[],5,FALSE)</f>
        <v>Põhitegevuse kulu</v>
      </c>
    </row>
    <row r="1103" spans="1:16" hidden="1" x14ac:dyDescent="0.25">
      <c r="A1103" s="33" t="str">
        <f t="shared" si="34"/>
        <v>10</v>
      </c>
      <c r="B1103" s="33" t="s">
        <v>55</v>
      </c>
      <c r="C1103" s="34" t="str">
        <f>VLOOKUP(Table2[[#This Row],[Tegevusala]],Table4[],2,FALSE)</f>
        <v xml:space="preserve"> Puuetega inimeste sotsiaalhoolekandeasutused</v>
      </c>
      <c r="D1103" s="34" t="str">
        <f>VLOOKUP(Table2[[#This Row],[Tegevusala]],Table4[[Tegevusala kood]:[Tegevusala alanimetus]],4,FALSE)</f>
        <v>Puuetega inimeste sotsiaalhoolekandeasutused</v>
      </c>
      <c r="E1103" s="34" t="str">
        <f>VLOOKUP(Table2[[#This Row],[Tegevusala nimetus2]],Table4[[Tegevusala nimetus]:[Tegevusala koondnimetus]],2,FALSE)</f>
        <v>Sotsiaalne kaitse</v>
      </c>
      <c r="F1103" s="33" t="s">
        <v>444</v>
      </c>
      <c r="G1103" s="33" t="s">
        <v>697</v>
      </c>
      <c r="H1103" s="47">
        <v>3800</v>
      </c>
      <c r="I1103" s="35"/>
      <c r="J1103" s="33">
        <v>4500</v>
      </c>
      <c r="K1103" s="34" t="str">
        <f>VLOOKUP(Table2[[#This Row],[Konto]],Table5[[Konto]:[Konto nimetus]],2,FALSE)</f>
        <v>Sihtotstarbelised eraldised jooksvateks kuludeks</v>
      </c>
      <c r="L1103" s="33">
        <v>4500</v>
      </c>
      <c r="M1103" s="33" t="str">
        <f t="shared" si="35"/>
        <v>45</v>
      </c>
      <c r="N1103" s="34" t="str">
        <f>VLOOKUP(Table2[[#This Row],[Tulu/kulu liik2]],Table5[[Tulu/kulu liik]:[Kontode koondnimetus]],4,FALSE)</f>
        <v>Antavad toetused tegevuskuludeks</v>
      </c>
      <c r="O1103" s="34" t="str">
        <f>VLOOKUP(Table2[[#This Row],[Tulu/kulu liik2]],Table5[],6,FALSE)</f>
        <v>Sihtotstarbelised toetused tegevuskuludeks</v>
      </c>
      <c r="P1103" s="34" t="str">
        <f>VLOOKUP(Table2[[#This Row],[Tulu/kulu liik2]],Table5[],5,FALSE)</f>
        <v>Põhitegevuse kulu</v>
      </c>
    </row>
    <row r="1104" spans="1:16" hidden="1" x14ac:dyDescent="0.25">
      <c r="A1104" s="33" t="str">
        <f t="shared" si="34"/>
        <v>10</v>
      </c>
      <c r="B1104" s="33" t="s">
        <v>55</v>
      </c>
      <c r="C1104" s="34" t="str">
        <f>VLOOKUP(Table2[[#This Row],[Tegevusala]],Table4[],2,FALSE)</f>
        <v xml:space="preserve"> Puuetega inimeste sotsiaalhoolekandeasutused</v>
      </c>
      <c r="D1104" s="34" t="str">
        <f>VLOOKUP(Table2[[#This Row],[Tegevusala]],Table4[[Tegevusala kood]:[Tegevusala alanimetus]],4,FALSE)</f>
        <v>Puuetega inimeste sotsiaalhoolekandeasutused</v>
      </c>
      <c r="E1104" s="34" t="str">
        <f>VLOOKUP(Table2[[#This Row],[Tegevusala nimetus2]],Table4[[Tegevusala nimetus]:[Tegevusala koondnimetus]],2,FALSE)</f>
        <v>Sotsiaalne kaitse</v>
      </c>
      <c r="F1104" s="33" t="s">
        <v>444</v>
      </c>
      <c r="G1104" s="33" t="s">
        <v>698</v>
      </c>
      <c r="H1104" s="47">
        <f>12*136</f>
        <v>1632</v>
      </c>
      <c r="I1104" s="35"/>
      <c r="J1104" s="33">
        <v>5513</v>
      </c>
      <c r="K1104" s="34" t="str">
        <f>VLOOKUP(Table2[[#This Row],[Konto]],Table5[[Konto]:[Konto nimetus]],2,FALSE)</f>
        <v>Sõidukite ülalpidamise kulud</v>
      </c>
      <c r="L1104" s="33">
        <v>55</v>
      </c>
      <c r="M1104" s="33" t="str">
        <f t="shared" si="35"/>
        <v>55</v>
      </c>
      <c r="N1104" s="34" t="str">
        <f>VLOOKUP(Table2[[#This Row],[Tulu/kulu liik2]],Table5[[Tulu/kulu liik]:[Kontode koondnimetus]],4,FALSE)</f>
        <v>Muud tegevuskulud</v>
      </c>
      <c r="O1104" s="34" t="str">
        <f>VLOOKUP(Table2[[#This Row],[Tulu/kulu liik2]],Table5[],6,FALSE)</f>
        <v>Majandamiskulud</v>
      </c>
      <c r="P1104" s="34" t="str">
        <f>VLOOKUP(Table2[[#This Row],[Tulu/kulu liik2]],Table5[],5,FALSE)</f>
        <v>Põhitegevuse kulu</v>
      </c>
    </row>
    <row r="1105" spans="1:16" hidden="1" x14ac:dyDescent="0.25">
      <c r="A1105" s="33" t="str">
        <f t="shared" si="34"/>
        <v>10</v>
      </c>
      <c r="B1105" s="33" t="s">
        <v>345</v>
      </c>
      <c r="C1105" s="34" t="str">
        <f>VLOOKUP(Table2[[#This Row],[Tegevusala]],Table4[],2,FALSE)</f>
        <v xml:space="preserve"> Ravitoetused puuetega inimestele</v>
      </c>
      <c r="D1105" s="34" t="str">
        <f>VLOOKUP(Table2[[#This Row],[Tegevusala]],Table4[[Tegevusala kood]:[Tegevusala alanimetus]],4,FALSE)</f>
        <v>Muu puuetega inimeste sotsiaalne kaitse</v>
      </c>
      <c r="E1105" s="34" t="str">
        <f>VLOOKUP(Table2[[#This Row],[Tegevusala nimetus2]],Table4[[Tegevusala nimetus]:[Tegevusala koondnimetus]],2,FALSE)</f>
        <v>Sotsiaalne kaitse</v>
      </c>
      <c r="F1105" s="33" t="s">
        <v>444</v>
      </c>
      <c r="G1105" s="33" t="s">
        <v>685</v>
      </c>
      <c r="H1105" s="47">
        <v>11000</v>
      </c>
      <c r="I1105" s="35"/>
      <c r="J1105" s="33">
        <v>41337</v>
      </c>
      <c r="K1105" s="34" t="str">
        <f>VLOOKUP(Table2[[#This Row],[Konto]],Table5[[Konto]:[Konto nimetus]],2,FALSE)</f>
        <v>Proteesid, ortopeedilised ja muud abivahendid puuetega inimestele</v>
      </c>
      <c r="L1105" s="33">
        <v>413</v>
      </c>
      <c r="M1105" s="33" t="str">
        <f t="shared" si="35"/>
        <v>41</v>
      </c>
      <c r="N1105" s="34" t="str">
        <f>VLOOKUP(Table2[[#This Row],[Tulu/kulu liik2]],Table5[[Tulu/kulu liik]:[Kontode koondnimetus]],4,FALSE)</f>
        <v>Antavad toetused tegevuskuludeks</v>
      </c>
      <c r="O1105" s="34" t="str">
        <f>VLOOKUP(Table2[[#This Row],[Tulu/kulu liik2]],Table5[],6,FALSE)</f>
        <v>Sotsiaalabitoetused ja muud toetused füüsilistele isikutele</v>
      </c>
      <c r="P1105" s="34" t="str">
        <f>VLOOKUP(Table2[[#This Row],[Tulu/kulu liik2]],Table5[],5,FALSE)</f>
        <v>Põhitegevuse kulu</v>
      </c>
    </row>
    <row r="1106" spans="1:16" hidden="1" x14ac:dyDescent="0.25">
      <c r="A1106" s="33" t="str">
        <f t="shared" si="34"/>
        <v>10</v>
      </c>
      <c r="B1106" s="33" t="s">
        <v>346</v>
      </c>
      <c r="C1106" s="34" t="str">
        <f>VLOOKUP(Table2[[#This Row],[Tegevusala]],Table4[],2,FALSE)</f>
        <v xml:space="preserve"> transport</v>
      </c>
      <c r="D1106" s="34" t="str">
        <f>VLOOKUP(Table2[[#This Row],[Tegevusala]],Table4[[Tegevusala kood]:[Tegevusala alanimetus]],4,FALSE)</f>
        <v>Muu puuetega inimeste sotsiaalne kaitse</v>
      </c>
      <c r="E1106" s="34" t="str">
        <f>VLOOKUP(Table2[[#This Row],[Tegevusala nimetus2]],Table4[[Tegevusala nimetus]:[Tegevusala koondnimetus]],2,FALSE)</f>
        <v>Sotsiaalne kaitse</v>
      </c>
      <c r="F1106" s="33" t="s">
        <v>444</v>
      </c>
      <c r="G1106" s="33" t="s">
        <v>689</v>
      </c>
      <c r="H1106" s="47">
        <v>45500</v>
      </c>
      <c r="I1106" s="35" t="s">
        <v>2013</v>
      </c>
      <c r="J1106" s="33">
        <v>41339</v>
      </c>
      <c r="K1106" s="34" t="str">
        <f>VLOOKUP(Table2[[#This Row],[Konto]],Table5[[Konto]:[Konto nimetus]],2,FALSE)</f>
        <v>Muud toetused puuetega inimestele ja nende hooldajatele</v>
      </c>
      <c r="L1106" s="33">
        <v>413</v>
      </c>
      <c r="M1106" s="33" t="str">
        <f t="shared" si="35"/>
        <v>41</v>
      </c>
      <c r="N1106" s="34" t="str">
        <f>VLOOKUP(Table2[[#This Row],[Tulu/kulu liik2]],Table5[[Tulu/kulu liik]:[Kontode koondnimetus]],4,FALSE)</f>
        <v>Antavad toetused tegevuskuludeks</v>
      </c>
      <c r="O1106" s="34" t="str">
        <f>VLOOKUP(Table2[[#This Row],[Tulu/kulu liik2]],Table5[],6,FALSE)</f>
        <v>Sotsiaalabitoetused ja muud toetused füüsilistele isikutele</v>
      </c>
      <c r="P1106" s="34" t="str">
        <f>VLOOKUP(Table2[[#This Row],[Tulu/kulu liik2]],Table5[],5,FALSE)</f>
        <v>Põhitegevuse kulu</v>
      </c>
    </row>
    <row r="1107" spans="1:16" hidden="1" x14ac:dyDescent="0.25">
      <c r="A1107" s="33" t="str">
        <f t="shared" si="34"/>
        <v>10</v>
      </c>
      <c r="B1107" s="33" t="s">
        <v>348</v>
      </c>
      <c r="C1107" s="34" t="str">
        <f>VLOOKUP(Table2[[#This Row],[Tegevusala]],Table4[],2,FALSE)</f>
        <v xml:space="preserve"> Hooldajad</v>
      </c>
      <c r="D1107" s="34" t="str">
        <f>VLOOKUP(Table2[[#This Row],[Tegevusala]],Table4[[Tegevusala kood]:[Tegevusala alanimetus]],4,FALSE)</f>
        <v>Muu puuetega inimeste sotsiaalne kaitse</v>
      </c>
      <c r="E1107" s="34" t="str">
        <f>VLOOKUP(Table2[[#This Row],[Tegevusala nimetus2]],Table4[[Tegevusala nimetus]:[Tegevusala koondnimetus]],2,FALSE)</f>
        <v>Sotsiaalne kaitse</v>
      </c>
      <c r="F1107" s="33" t="s">
        <v>444</v>
      </c>
      <c r="G1107" s="33" t="s">
        <v>691</v>
      </c>
      <c r="H1107" s="47">
        <v>110000</v>
      </c>
      <c r="I1107" s="35"/>
      <c r="J1107" s="33">
        <v>41332</v>
      </c>
      <c r="K1107" s="34" t="str">
        <f>VLOOKUP(Table2[[#This Row],[Konto]],Table5[[Konto]:[Konto nimetus]],2,FALSE)</f>
        <v>Puudega inimese hooldaja toetus</v>
      </c>
      <c r="L1107" s="33">
        <v>413</v>
      </c>
      <c r="M1107" s="33" t="str">
        <f t="shared" si="35"/>
        <v>41</v>
      </c>
      <c r="N1107" s="34" t="str">
        <f>VLOOKUP(Table2[[#This Row],[Tulu/kulu liik2]],Table5[[Tulu/kulu liik]:[Kontode koondnimetus]],4,FALSE)</f>
        <v>Antavad toetused tegevuskuludeks</v>
      </c>
      <c r="O1107" s="34" t="str">
        <f>VLOOKUP(Table2[[#This Row],[Tulu/kulu liik2]],Table5[],6,FALSE)</f>
        <v>Sotsiaalabitoetused ja muud toetused füüsilistele isikutele</v>
      </c>
      <c r="P1107" s="34" t="str">
        <f>VLOOKUP(Table2[[#This Row],[Tulu/kulu liik2]],Table5[],5,FALSE)</f>
        <v>Põhitegevuse kulu</v>
      </c>
    </row>
    <row r="1108" spans="1:16" hidden="1" x14ac:dyDescent="0.25">
      <c r="A1108" t="str">
        <f t="shared" si="34"/>
        <v>10</v>
      </c>
      <c r="B1108" t="s">
        <v>348</v>
      </c>
      <c r="C1108" s="3" t="str">
        <f>VLOOKUP(Table2[[#This Row],[Tegevusala]],Table4[],2,FALSE)</f>
        <v xml:space="preserve"> Hooldajad</v>
      </c>
      <c r="D1108" s="3" t="str">
        <f>VLOOKUP(Table2[[#This Row],[Tegevusala]],Table4[[Tegevusala kood]:[Tegevusala alanimetus]],4,FALSE)</f>
        <v>Muu puuetega inimeste sotsiaalne kaitse</v>
      </c>
      <c r="E1108" s="3" t="str">
        <f>VLOOKUP(Table2[[#This Row],[Tegevusala nimetus2]],Table4[[Tegevusala nimetus]:[Tegevusala koondnimetus]],2,FALSE)</f>
        <v>Sotsiaalne kaitse</v>
      </c>
      <c r="F1108" t="s">
        <v>444</v>
      </c>
      <c r="G1108" t="s">
        <v>716</v>
      </c>
      <c r="H1108" s="40">
        <v>51600</v>
      </c>
      <c r="J1108">
        <v>4137</v>
      </c>
      <c r="K1108" s="3" t="str">
        <f>VLOOKUP(Table2[[#This Row],[Konto]],Table5[[Konto]:[Konto nimetus]],2,FALSE)</f>
        <v>Erijuhtudel riigi poolt makstavad maksud</v>
      </c>
      <c r="L1108">
        <v>413</v>
      </c>
      <c r="M1108" t="str">
        <f t="shared" si="35"/>
        <v>41</v>
      </c>
      <c r="N1108" s="3" t="str">
        <f>VLOOKUP(Table2[[#This Row],[Tulu/kulu liik2]],Table5[[Tulu/kulu liik]:[Kontode koondnimetus]],4,FALSE)</f>
        <v>Antavad toetused tegevuskuludeks</v>
      </c>
      <c r="O1108" s="3" t="str">
        <f>VLOOKUP(Table2[[#This Row],[Tulu/kulu liik2]],Table5[],6,FALSE)</f>
        <v>Sotsiaalabitoetused ja muud toetused füüsilistele isikutele</v>
      </c>
      <c r="P1108" s="3" t="str">
        <f>VLOOKUP(Table2[[#This Row],[Tulu/kulu liik2]],Table5[],5,FALSE)</f>
        <v>Põhitegevuse kulu</v>
      </c>
    </row>
    <row r="1109" spans="1:16" hidden="1" x14ac:dyDescent="0.25">
      <c r="A1109" s="33" t="str">
        <f t="shared" si="34"/>
        <v>10</v>
      </c>
      <c r="B1109" s="33" t="s">
        <v>350</v>
      </c>
      <c r="C1109" s="34" t="str">
        <f>VLOOKUP(Table2[[#This Row],[Tegevusala]],Table4[],2,FALSE)</f>
        <v xml:space="preserve"> Muud</v>
      </c>
      <c r="D1109" s="34" t="str">
        <f>VLOOKUP(Table2[[#This Row],[Tegevusala]],Table4[[Tegevusala kood]:[Tegevusala alanimetus]],4,FALSE)</f>
        <v>Muu puuetega inimeste sotsiaalne kaitse</v>
      </c>
      <c r="E1109" s="34" t="str">
        <f>VLOOKUP(Table2[[#This Row],[Tegevusala nimetus2]],Table4[[Tegevusala nimetus]:[Tegevusala koondnimetus]],2,FALSE)</f>
        <v>Sotsiaalne kaitse</v>
      </c>
      <c r="F1109" s="33" t="s">
        <v>444</v>
      </c>
      <c r="G1109" s="33" t="s">
        <v>683</v>
      </c>
      <c r="H1109" s="47">
        <v>3800</v>
      </c>
      <c r="I1109" s="35"/>
      <c r="J1109" s="33">
        <v>5526</v>
      </c>
      <c r="K1109" s="34" t="str">
        <f>VLOOKUP(Table2[[#This Row],[Konto]],Table5[[Konto]:[Konto nimetus]],2,FALSE)</f>
        <v>Sotsiaalteenused</v>
      </c>
      <c r="L1109" s="33">
        <v>55</v>
      </c>
      <c r="M1109" s="33" t="str">
        <f t="shared" si="35"/>
        <v>55</v>
      </c>
      <c r="N1109" s="34" t="str">
        <f>VLOOKUP(Table2[[#This Row],[Tulu/kulu liik2]],Table5[[Tulu/kulu liik]:[Kontode koondnimetus]],4,FALSE)</f>
        <v>Muud tegevuskulud</v>
      </c>
      <c r="O1109" s="34" t="str">
        <f>VLOOKUP(Table2[[#This Row],[Tulu/kulu liik2]],Table5[],6,FALSE)</f>
        <v>Majandamiskulud</v>
      </c>
      <c r="P1109" s="34" t="str">
        <f>VLOOKUP(Table2[[#This Row],[Tulu/kulu liik2]],Table5[],5,FALSE)</f>
        <v>Põhitegevuse kulu</v>
      </c>
    </row>
    <row r="1110" spans="1:16" hidden="1" x14ac:dyDescent="0.25">
      <c r="A1110" s="33" t="str">
        <f t="shared" si="34"/>
        <v>10</v>
      </c>
      <c r="B1110" s="33" t="s">
        <v>350</v>
      </c>
      <c r="C1110" s="34" t="str">
        <f>VLOOKUP(Table2[[#This Row],[Tegevusala]],Table4[],2,FALSE)</f>
        <v xml:space="preserve"> Muud</v>
      </c>
      <c r="D1110" s="34" t="str">
        <f>VLOOKUP(Table2[[#This Row],[Tegevusala]],Table4[[Tegevusala kood]:[Tegevusala alanimetus]],4,FALSE)</f>
        <v>Muu puuetega inimeste sotsiaalne kaitse</v>
      </c>
      <c r="E1110" s="34" t="str">
        <f>VLOOKUP(Table2[[#This Row],[Tegevusala nimetus2]],Table4[[Tegevusala nimetus]:[Tegevusala koondnimetus]],2,FALSE)</f>
        <v>Sotsiaalne kaitse</v>
      </c>
      <c r="F1110" s="33" t="s">
        <v>444</v>
      </c>
      <c r="G1110" s="33" t="s">
        <v>684</v>
      </c>
      <c r="H1110" s="47">
        <v>3500</v>
      </c>
      <c r="I1110" s="35"/>
      <c r="J1110" s="33">
        <v>41339</v>
      </c>
      <c r="K1110" s="34" t="str">
        <f>VLOOKUP(Table2[[#This Row],[Konto]],Table5[[Konto]:[Konto nimetus]],2,FALSE)</f>
        <v>Muud toetused puuetega inimestele ja nende hooldajatele</v>
      </c>
      <c r="L1110" s="33">
        <v>413</v>
      </c>
      <c r="M1110" s="33" t="str">
        <f t="shared" si="35"/>
        <v>41</v>
      </c>
      <c r="N1110" s="34" t="str">
        <f>VLOOKUP(Table2[[#This Row],[Tulu/kulu liik2]],Table5[[Tulu/kulu liik]:[Kontode koondnimetus]],4,FALSE)</f>
        <v>Antavad toetused tegevuskuludeks</v>
      </c>
      <c r="O1110" s="34" t="str">
        <f>VLOOKUP(Table2[[#This Row],[Tulu/kulu liik2]],Table5[],6,FALSE)</f>
        <v>Sotsiaalabitoetused ja muud toetused füüsilistele isikutele</v>
      </c>
      <c r="P1110" s="34" t="str">
        <f>VLOOKUP(Table2[[#This Row],[Tulu/kulu liik2]],Table5[],5,FALSE)</f>
        <v>Põhitegevuse kulu</v>
      </c>
    </row>
    <row r="1111" spans="1:16" hidden="1" x14ac:dyDescent="0.25">
      <c r="A1111" s="33" t="str">
        <f t="shared" si="34"/>
        <v>10</v>
      </c>
      <c r="B1111" s="33" t="s">
        <v>350</v>
      </c>
      <c r="C1111" s="34" t="str">
        <f>VLOOKUP(Table2[[#This Row],[Tegevusala]],Table4[],2,FALSE)</f>
        <v xml:space="preserve"> Muud</v>
      </c>
      <c r="D1111" s="34" t="str">
        <f>VLOOKUP(Table2[[#This Row],[Tegevusala]],Table4[[Tegevusala kood]:[Tegevusala alanimetus]],4,FALSE)</f>
        <v>Muu puuetega inimeste sotsiaalne kaitse</v>
      </c>
      <c r="E1111" s="34" t="str">
        <f>VLOOKUP(Table2[[#This Row],[Tegevusala nimetus2]],Table4[[Tegevusala nimetus]:[Tegevusala koondnimetus]],2,FALSE)</f>
        <v>Sotsiaalne kaitse</v>
      </c>
      <c r="F1111" s="33" t="s">
        <v>444</v>
      </c>
      <c r="G1111" s="33" t="s">
        <v>687</v>
      </c>
      <c r="H1111" s="47">
        <v>800</v>
      </c>
      <c r="I1111" s="35"/>
      <c r="J1111" s="33">
        <v>41339</v>
      </c>
      <c r="K1111" s="34" t="str">
        <f>VLOOKUP(Table2[[#This Row],[Konto]],Table5[[Konto]:[Konto nimetus]],2,FALSE)</f>
        <v>Muud toetused puuetega inimestele ja nende hooldajatele</v>
      </c>
      <c r="L1111" s="33">
        <v>413</v>
      </c>
      <c r="M1111" s="33" t="str">
        <f t="shared" si="35"/>
        <v>41</v>
      </c>
      <c r="N1111" s="34" t="str">
        <f>VLOOKUP(Table2[[#This Row],[Tulu/kulu liik2]],Table5[[Tulu/kulu liik]:[Kontode koondnimetus]],4,FALSE)</f>
        <v>Antavad toetused tegevuskuludeks</v>
      </c>
      <c r="O1111" s="34" t="str">
        <f>VLOOKUP(Table2[[#This Row],[Tulu/kulu liik2]],Table5[],6,FALSE)</f>
        <v>Sotsiaalabitoetused ja muud toetused füüsilistele isikutele</v>
      </c>
      <c r="P1111" s="34" t="str">
        <f>VLOOKUP(Table2[[#This Row],[Tulu/kulu liik2]],Table5[],5,FALSE)</f>
        <v>Põhitegevuse kulu</v>
      </c>
    </row>
    <row r="1112" spans="1:16" hidden="1" x14ac:dyDescent="0.25">
      <c r="A1112" s="33" t="str">
        <f t="shared" si="34"/>
        <v>10</v>
      </c>
      <c r="B1112" s="33" t="s">
        <v>350</v>
      </c>
      <c r="C1112" s="34" t="str">
        <f>VLOOKUP(Table2[[#This Row],[Tegevusala]],Table4[],2,FALSE)</f>
        <v xml:space="preserve"> Muud</v>
      </c>
      <c r="D1112" s="34" t="str">
        <f>VLOOKUP(Table2[[#This Row],[Tegevusala]],Table4[[Tegevusala kood]:[Tegevusala alanimetus]],4,FALSE)</f>
        <v>Muu puuetega inimeste sotsiaalne kaitse</v>
      </c>
      <c r="E1112" s="34" t="str">
        <f>VLOOKUP(Table2[[#This Row],[Tegevusala nimetus2]],Table4[[Tegevusala nimetus]:[Tegevusala koondnimetus]],2,FALSE)</f>
        <v>Sotsiaalne kaitse</v>
      </c>
      <c r="F1112" s="33" t="s">
        <v>444</v>
      </c>
      <c r="G1112" s="33" t="s">
        <v>688</v>
      </c>
      <c r="H1112" s="47">
        <v>300</v>
      </c>
      <c r="I1112" s="35"/>
      <c r="J1112" s="33">
        <v>41339</v>
      </c>
      <c r="K1112" s="34" t="str">
        <f>VLOOKUP(Table2[[#This Row],[Konto]],Table5[[Konto]:[Konto nimetus]],2,FALSE)</f>
        <v>Muud toetused puuetega inimestele ja nende hooldajatele</v>
      </c>
      <c r="L1112" s="33">
        <v>413</v>
      </c>
      <c r="M1112" s="33" t="str">
        <f t="shared" si="35"/>
        <v>41</v>
      </c>
      <c r="N1112" s="34" t="str">
        <f>VLOOKUP(Table2[[#This Row],[Tulu/kulu liik2]],Table5[[Tulu/kulu liik]:[Kontode koondnimetus]],4,FALSE)</f>
        <v>Antavad toetused tegevuskuludeks</v>
      </c>
      <c r="O1112" s="34" t="str">
        <f>VLOOKUP(Table2[[#This Row],[Tulu/kulu liik2]],Table5[],6,FALSE)</f>
        <v>Sotsiaalabitoetused ja muud toetused füüsilistele isikutele</v>
      </c>
      <c r="P1112" s="34" t="str">
        <f>VLOOKUP(Table2[[#This Row],[Tulu/kulu liik2]],Table5[],5,FALSE)</f>
        <v>Põhitegevuse kulu</v>
      </c>
    </row>
    <row r="1113" spans="1:16" hidden="1" x14ac:dyDescent="0.25">
      <c r="A1113" s="33" t="str">
        <f t="shared" si="34"/>
        <v>10</v>
      </c>
      <c r="B1113" s="33" t="s">
        <v>350</v>
      </c>
      <c r="C1113" s="34" t="str">
        <f>VLOOKUP(Table2[[#This Row],[Tegevusala]],Table4[],2,FALSE)</f>
        <v xml:space="preserve"> Muud</v>
      </c>
      <c r="D1113" s="34" t="str">
        <f>VLOOKUP(Table2[[#This Row],[Tegevusala]],Table4[[Tegevusala kood]:[Tegevusala alanimetus]],4,FALSE)</f>
        <v>Muu puuetega inimeste sotsiaalne kaitse</v>
      </c>
      <c r="E1113" s="34" t="str">
        <f>VLOOKUP(Table2[[#This Row],[Tegevusala nimetus2]],Table4[[Tegevusala nimetus]:[Tegevusala koondnimetus]],2,FALSE)</f>
        <v>Sotsiaalne kaitse</v>
      </c>
      <c r="F1113" s="33" t="s">
        <v>444</v>
      </c>
      <c r="G1113" s="33" t="s">
        <v>690</v>
      </c>
      <c r="H1113" s="47">
        <v>7000</v>
      </c>
      <c r="I1113" s="35"/>
      <c r="J1113" s="33">
        <v>41339</v>
      </c>
      <c r="K1113" s="34" t="str">
        <f>VLOOKUP(Table2[[#This Row],[Konto]],Table5[[Konto]:[Konto nimetus]],2,FALSE)</f>
        <v>Muud toetused puuetega inimestele ja nende hooldajatele</v>
      </c>
      <c r="L1113" s="33">
        <v>413</v>
      </c>
      <c r="M1113" s="33" t="str">
        <f t="shared" si="35"/>
        <v>41</v>
      </c>
      <c r="N1113" s="34" t="str">
        <f>VLOOKUP(Table2[[#This Row],[Tulu/kulu liik2]],Table5[[Tulu/kulu liik]:[Kontode koondnimetus]],4,FALSE)</f>
        <v>Antavad toetused tegevuskuludeks</v>
      </c>
      <c r="O1113" s="34" t="str">
        <f>VLOOKUP(Table2[[#This Row],[Tulu/kulu liik2]],Table5[],6,FALSE)</f>
        <v>Sotsiaalabitoetused ja muud toetused füüsilistele isikutele</v>
      </c>
      <c r="P1113" s="34" t="str">
        <f>VLOOKUP(Table2[[#This Row],[Tulu/kulu liik2]],Table5[],5,FALSE)</f>
        <v>Põhitegevuse kulu</v>
      </c>
    </row>
    <row r="1114" spans="1:16" hidden="1" x14ac:dyDescent="0.25">
      <c r="A1114" s="33" t="str">
        <f t="shared" si="34"/>
        <v>10</v>
      </c>
      <c r="B1114" s="33" t="s">
        <v>350</v>
      </c>
      <c r="C1114" s="34" t="str">
        <f>VLOOKUP(Table2[[#This Row],[Tegevusala]],Table4[],2,FALSE)</f>
        <v xml:space="preserve"> Muud</v>
      </c>
      <c r="D1114" s="34" t="str">
        <f>VLOOKUP(Table2[[#This Row],[Tegevusala]],Table4[[Tegevusala kood]:[Tegevusala alanimetus]],4,FALSE)</f>
        <v>Muu puuetega inimeste sotsiaalne kaitse</v>
      </c>
      <c r="E1114" s="34" t="str">
        <f>VLOOKUP(Table2[[#This Row],[Tegevusala nimetus2]],Table4[[Tegevusala nimetus]:[Tegevusala koondnimetus]],2,FALSE)</f>
        <v>Sotsiaalne kaitse</v>
      </c>
      <c r="F1114" s="33" t="s">
        <v>444</v>
      </c>
      <c r="G1114" s="33" t="s">
        <v>661</v>
      </c>
      <c r="H1114" s="47">
        <v>1000</v>
      </c>
      <c r="I1114" s="35"/>
      <c r="J1114" s="33">
        <v>5526</v>
      </c>
      <c r="K1114" s="34" t="str">
        <f>VLOOKUP(Table2[[#This Row],[Konto]],Table5[[Konto]:[Konto nimetus]],2,FALSE)</f>
        <v>Sotsiaalteenused</v>
      </c>
      <c r="L1114" s="33">
        <v>55</v>
      </c>
      <c r="M1114" s="33" t="str">
        <f t="shared" si="35"/>
        <v>55</v>
      </c>
      <c r="N1114" s="34" t="str">
        <f>VLOOKUP(Table2[[#This Row],[Tulu/kulu liik2]],Table5[[Tulu/kulu liik]:[Kontode koondnimetus]],4,FALSE)</f>
        <v>Muud tegevuskulud</v>
      </c>
      <c r="O1114" s="34" t="str">
        <f>VLOOKUP(Table2[[#This Row],[Tulu/kulu liik2]],Table5[],6,FALSE)</f>
        <v>Majandamiskulud</v>
      </c>
      <c r="P1114" s="34" t="str">
        <f>VLOOKUP(Table2[[#This Row],[Tulu/kulu liik2]],Table5[],5,FALSE)</f>
        <v>Põhitegevuse kulu</v>
      </c>
    </row>
    <row r="1115" spans="1:16" hidden="1" x14ac:dyDescent="0.25">
      <c r="A1115" t="str">
        <f t="shared" si="34"/>
        <v>10</v>
      </c>
      <c r="B1115" t="s">
        <v>350</v>
      </c>
      <c r="C1115" s="3" t="str">
        <f>VLOOKUP(Table2[[#This Row],[Tegevusala]],Table4[],2,FALSE)</f>
        <v xml:space="preserve"> Muud</v>
      </c>
      <c r="D1115" s="3" t="str">
        <f>VLOOKUP(Table2[[#This Row],[Tegevusala]],Table4[[Tegevusala kood]:[Tegevusala alanimetus]],4,FALSE)</f>
        <v>Muu puuetega inimeste sotsiaalne kaitse</v>
      </c>
      <c r="E1115" s="3" t="str">
        <f>VLOOKUP(Table2[[#This Row],[Tegevusala nimetus2]],Table4[[Tegevusala nimetus]:[Tegevusala koondnimetus]],2,FALSE)</f>
        <v>Sotsiaalne kaitse</v>
      </c>
      <c r="F1115" t="s">
        <v>444</v>
      </c>
      <c r="G1115" t="s">
        <v>693</v>
      </c>
      <c r="H1115" s="40">
        <v>5000</v>
      </c>
      <c r="J1115">
        <v>5511</v>
      </c>
      <c r="K1115" s="3" t="str">
        <f>VLOOKUP(Table2[[#This Row],[Konto]],Table5[[Konto]:[Konto nimetus]],2,FALSE)</f>
        <v>Kinnistute, hoonete ja ruumide majandamiskulud</v>
      </c>
      <c r="L1115">
        <v>55</v>
      </c>
      <c r="M1115" t="str">
        <f t="shared" si="35"/>
        <v>55</v>
      </c>
      <c r="N1115" s="3" t="str">
        <f>VLOOKUP(Table2[[#This Row],[Tulu/kulu liik2]],Table5[[Tulu/kulu liik]:[Kontode koondnimetus]],4,FALSE)</f>
        <v>Muud tegevuskulud</v>
      </c>
      <c r="O1115" s="3" t="str">
        <f>VLOOKUP(Table2[[#This Row],[Tulu/kulu liik2]],Table5[],6,FALSE)</f>
        <v>Majandamiskulud</v>
      </c>
      <c r="P1115" s="3" t="str">
        <f>VLOOKUP(Table2[[#This Row],[Tulu/kulu liik2]],Table5[],5,FALSE)</f>
        <v>Põhitegevuse kulu</v>
      </c>
    </row>
    <row r="1116" spans="1:16" hidden="1" x14ac:dyDescent="0.25">
      <c r="A1116" t="str">
        <f t="shared" si="34"/>
        <v>10</v>
      </c>
      <c r="B1116" t="s">
        <v>351</v>
      </c>
      <c r="C1116" s="3" t="str">
        <f>VLOOKUP(Table2[[#This Row],[Tegevusala]],Table4[],2,FALSE)</f>
        <v xml:space="preserve"> Erivajadustega inimeste tugiteenus</v>
      </c>
      <c r="D1116" s="3" t="str">
        <f>VLOOKUP(Table2[[#This Row],[Tegevusala]],Table4[[Tegevusala kood]:[Tegevusala alanimetus]],4,FALSE)</f>
        <v>Muu puuetega inimeste sotsiaalne kaitse</v>
      </c>
      <c r="E1116" s="3" t="str">
        <f>VLOOKUP(Table2[[#This Row],[Tegevusala nimetus2]],Table4[[Tegevusala nimetus]:[Tegevusala koondnimetus]],2,FALSE)</f>
        <v>Sotsiaalne kaitse</v>
      </c>
      <c r="F1116" t="s">
        <v>444</v>
      </c>
      <c r="G1116" t="s">
        <v>694</v>
      </c>
      <c r="H1116" s="40">
        <v>840</v>
      </c>
      <c r="J1116">
        <v>5526</v>
      </c>
      <c r="K1116" s="3" t="str">
        <f>VLOOKUP(Table2[[#This Row],[Konto]],Table5[[Konto]:[Konto nimetus]],2,FALSE)</f>
        <v>Sotsiaalteenused</v>
      </c>
      <c r="L1116">
        <v>55</v>
      </c>
      <c r="M1116" t="str">
        <f t="shared" si="35"/>
        <v>55</v>
      </c>
      <c r="N1116" s="3" t="str">
        <f>VLOOKUP(Table2[[#This Row],[Tulu/kulu liik2]],Table5[[Tulu/kulu liik]:[Kontode koondnimetus]],4,FALSE)</f>
        <v>Muud tegevuskulud</v>
      </c>
      <c r="O1116" s="3" t="str">
        <f>VLOOKUP(Table2[[#This Row],[Tulu/kulu liik2]],Table5[],6,FALSE)</f>
        <v>Majandamiskulud</v>
      </c>
      <c r="P1116" s="3" t="str">
        <f>VLOOKUP(Table2[[#This Row],[Tulu/kulu liik2]],Table5[],5,FALSE)</f>
        <v>Põhitegevuse kulu</v>
      </c>
    </row>
    <row r="1117" spans="1:16" hidden="1" x14ac:dyDescent="0.25">
      <c r="A1117" s="8" t="str">
        <f t="shared" si="34"/>
        <v>10</v>
      </c>
      <c r="B1117" s="8" t="s">
        <v>354</v>
      </c>
      <c r="C1117" s="32" t="str">
        <f>VLOOKUP(Table2[[#This Row],[Tegevusala]],Table4[],2,FALSE)</f>
        <v xml:space="preserve"> Hooldajatoetused</v>
      </c>
      <c r="D1117" s="32" t="str">
        <f>VLOOKUP(Table2[[#This Row],[Tegevusala]],Table4[[Tegevusala kood]:[Tegevusala alanimetus]],4,FALSE)</f>
        <v>Muu puuetega inimeste sotsiaalne kaitse</v>
      </c>
      <c r="E1117" s="32" t="str">
        <f>VLOOKUP(Table2[[#This Row],[Tegevusala nimetus2]],Table4[[Tegevusala nimetus]:[Tegevusala koondnimetus]],2,FALSE)</f>
        <v>Sotsiaalne kaitse</v>
      </c>
      <c r="F1117" s="8" t="s">
        <v>444</v>
      </c>
      <c r="G1117" s="8" t="s">
        <v>692</v>
      </c>
      <c r="H1117" s="43">
        <v>17831</v>
      </c>
      <c r="I1117" s="9" t="s">
        <v>82</v>
      </c>
      <c r="J1117" s="8">
        <v>41332</v>
      </c>
      <c r="K1117" s="32" t="str">
        <f>VLOOKUP(Table2[[#This Row],[Konto]],Table5[[Konto]:[Konto nimetus]],2,FALSE)</f>
        <v>Puudega inimese hooldaja toetus</v>
      </c>
      <c r="L1117" s="8">
        <v>413</v>
      </c>
      <c r="M1117" s="8" t="str">
        <f t="shared" si="35"/>
        <v>41</v>
      </c>
      <c r="N1117" s="32" t="str">
        <f>VLOOKUP(Table2[[#This Row],[Tulu/kulu liik2]],Table5[[Tulu/kulu liik]:[Kontode koondnimetus]],4,FALSE)</f>
        <v>Antavad toetused tegevuskuludeks</v>
      </c>
      <c r="O1117" s="32" t="str">
        <f>VLOOKUP(Table2[[#This Row],[Tulu/kulu liik2]],Table5[],6,FALSE)</f>
        <v>Sotsiaalabitoetused ja muud toetused füüsilistele isikutele</v>
      </c>
      <c r="P1117" s="32" t="str">
        <f>VLOOKUP(Table2[[#This Row],[Tulu/kulu liik2]],Table5[],5,FALSE)</f>
        <v>Põhitegevuse kulu</v>
      </c>
    </row>
    <row r="1118" spans="1:16" hidden="1" x14ac:dyDescent="0.25">
      <c r="A1118" s="8" t="str">
        <f t="shared" si="34"/>
        <v>10</v>
      </c>
      <c r="B1118" s="8" t="s">
        <v>354</v>
      </c>
      <c r="C1118" s="32" t="str">
        <f>VLOOKUP(Table2[[#This Row],[Tegevusala]],Table4[],2,FALSE)</f>
        <v xml:space="preserve"> Hooldajatoetused</v>
      </c>
      <c r="D1118" s="32" t="str">
        <f>VLOOKUP(Table2[[#This Row],[Tegevusala]],Table4[[Tegevusala kood]:[Tegevusala alanimetus]],4,FALSE)</f>
        <v>Muu puuetega inimeste sotsiaalne kaitse</v>
      </c>
      <c r="E1118" s="32" t="str">
        <f>VLOOKUP(Table2[[#This Row],[Tegevusala nimetus2]],Table4[[Tegevusala nimetus]:[Tegevusala koondnimetus]],2,FALSE)</f>
        <v>Sotsiaalne kaitse</v>
      </c>
      <c r="F1118" s="8" t="s">
        <v>444</v>
      </c>
      <c r="G1118" s="8" t="s">
        <v>82</v>
      </c>
      <c r="H1118" s="43">
        <v>-17831</v>
      </c>
      <c r="I1118" s="8" t="s">
        <v>692</v>
      </c>
      <c r="J1118" s="8">
        <v>35201</v>
      </c>
      <c r="K1118" s="32" t="str">
        <f>VLOOKUP(Table2[[#This Row],[Konto]],Table5[[Konto]:[Konto nimetus]],2,FALSE)</f>
        <v>Toetusfond</v>
      </c>
      <c r="L1118" s="8">
        <v>35201</v>
      </c>
      <c r="M1118" s="8" t="str">
        <f t="shared" si="35"/>
        <v>35</v>
      </c>
      <c r="N1118" s="32" t="str">
        <f>VLOOKUP(Table2[[#This Row],[Tulu/kulu liik2]],Table5[[Tulu/kulu liik]:[Kontode koondnimetus]],4,FALSE)</f>
        <v>Saadavad toetused tegevuskuludeks</v>
      </c>
      <c r="O1118" s="32" t="str">
        <f>VLOOKUP(Table2[[#This Row],[Tulu/kulu liik2]],Table5[],6,FALSE)</f>
        <v>Toetusfond</v>
      </c>
      <c r="P1118" s="32" t="str">
        <f>VLOOKUP(Table2[[#This Row],[Tulu/kulu liik2]],Table5[],5,FALSE)</f>
        <v>Põhitegevuse tulu</v>
      </c>
    </row>
    <row r="1119" spans="1:16" hidden="1" x14ac:dyDescent="0.25">
      <c r="A1119" t="str">
        <f t="shared" si="34"/>
        <v>10</v>
      </c>
      <c r="B1119" t="s">
        <v>356</v>
      </c>
      <c r="C1119" s="3" t="str">
        <f>VLOOKUP(Table2[[#This Row],[Tegevusala]],Table4[],2,FALSE)</f>
        <v xml:space="preserve"> Tammiku Kodu</v>
      </c>
      <c r="D1119" s="3" t="str">
        <f>VLOOKUP(Table2[[#This Row],[Tegevusala]],Table4[[Tegevusala kood]:[Tegevusala alanimetus]],4,FALSE)</f>
        <v>Eakate sotsiaalhoolekande asutused</v>
      </c>
      <c r="E1119" s="3" t="str">
        <f>VLOOKUP(Table2[[#This Row],[Tegevusala nimetus2]],Table4[[Tegevusala nimetus]:[Tegevusala koondnimetus]],2,FALSE)</f>
        <v>Sotsiaalne kaitse</v>
      </c>
      <c r="F1119" t="s">
        <v>1572</v>
      </c>
      <c r="G1119" t="s">
        <v>1575</v>
      </c>
      <c r="H1119" s="40">
        <v>2000</v>
      </c>
      <c r="J1119">
        <v>5500</v>
      </c>
      <c r="K1119" s="3" t="str">
        <f>VLOOKUP(Table2[[#This Row],[Konto]],Table5[[Konto]:[Konto nimetus]],2,FALSE)</f>
        <v>Administreerimiskulud</v>
      </c>
      <c r="L1119">
        <v>55</v>
      </c>
      <c r="M1119" t="str">
        <f t="shared" si="35"/>
        <v>55</v>
      </c>
      <c r="N1119" s="3" t="str">
        <f>VLOOKUP(Table2[[#This Row],[Tulu/kulu liik2]],Table5[[Tulu/kulu liik]:[Kontode koondnimetus]],4,FALSE)</f>
        <v>Muud tegevuskulud</v>
      </c>
      <c r="O1119" s="3" t="str">
        <f>VLOOKUP(Table2[[#This Row],[Tulu/kulu liik2]],Table5[],6,FALSE)</f>
        <v>Majandamiskulud</v>
      </c>
      <c r="P1119" s="3" t="str">
        <f>VLOOKUP(Table2[[#This Row],[Tulu/kulu liik2]],Table5[],5,FALSE)</f>
        <v>Põhitegevuse kulu</v>
      </c>
    </row>
    <row r="1120" spans="1:16" hidden="1" x14ac:dyDescent="0.25">
      <c r="A1120" t="str">
        <f t="shared" si="34"/>
        <v>10</v>
      </c>
      <c r="B1120" t="s">
        <v>356</v>
      </c>
      <c r="C1120" s="3" t="str">
        <f>VLOOKUP(Table2[[#This Row],[Tegevusala]],Table4[],2,FALSE)</f>
        <v xml:space="preserve"> Tammiku Kodu</v>
      </c>
      <c r="D1120" s="3" t="str">
        <f>VLOOKUP(Table2[[#This Row],[Tegevusala]],Table4[[Tegevusala kood]:[Tegevusala alanimetus]],4,FALSE)</f>
        <v>Eakate sotsiaalhoolekande asutused</v>
      </c>
      <c r="E1120" s="3" t="str">
        <f>VLOOKUP(Table2[[#This Row],[Tegevusala nimetus2]],Table4[[Tegevusala nimetus]:[Tegevusala koondnimetus]],2,FALSE)</f>
        <v>Sotsiaalne kaitse</v>
      </c>
      <c r="F1120" t="s">
        <v>1572</v>
      </c>
      <c r="G1120" t="s">
        <v>1576</v>
      </c>
      <c r="H1120" s="40">
        <v>150</v>
      </c>
      <c r="I1120" s="2" t="s">
        <v>1579</v>
      </c>
      <c r="J1120">
        <v>5500</v>
      </c>
      <c r="K1120" s="3" t="str">
        <f>VLOOKUP(Table2[[#This Row],[Konto]],Table5[[Konto]:[Konto nimetus]],2,FALSE)</f>
        <v>Administreerimiskulud</v>
      </c>
      <c r="L1120">
        <v>55</v>
      </c>
      <c r="M1120" t="str">
        <f t="shared" si="35"/>
        <v>55</v>
      </c>
      <c r="N1120" s="3" t="str">
        <f>VLOOKUP(Table2[[#This Row],[Tulu/kulu liik2]],Table5[[Tulu/kulu liik]:[Kontode koondnimetus]],4,FALSE)</f>
        <v>Muud tegevuskulud</v>
      </c>
      <c r="O1120" s="3" t="str">
        <f>VLOOKUP(Table2[[#This Row],[Tulu/kulu liik2]],Table5[],6,FALSE)</f>
        <v>Majandamiskulud</v>
      </c>
      <c r="P1120" s="3" t="str">
        <f>VLOOKUP(Table2[[#This Row],[Tulu/kulu liik2]],Table5[],5,FALSE)</f>
        <v>Põhitegevuse kulu</v>
      </c>
    </row>
    <row r="1121" spans="1:16" hidden="1" x14ac:dyDescent="0.25">
      <c r="A1121" t="str">
        <f t="shared" si="34"/>
        <v>10</v>
      </c>
      <c r="B1121" t="s">
        <v>356</v>
      </c>
      <c r="C1121" s="3" t="str">
        <f>VLOOKUP(Table2[[#This Row],[Tegevusala]],Table4[],2,FALSE)</f>
        <v xml:space="preserve"> Tammiku Kodu</v>
      </c>
      <c r="D1121" s="3" t="str">
        <f>VLOOKUP(Table2[[#This Row],[Tegevusala]],Table4[[Tegevusala kood]:[Tegevusala alanimetus]],4,FALSE)</f>
        <v>Eakate sotsiaalhoolekande asutused</v>
      </c>
      <c r="E1121" s="3" t="str">
        <f>VLOOKUP(Table2[[#This Row],[Tegevusala nimetus2]],Table4[[Tegevusala nimetus]:[Tegevusala koondnimetus]],2,FALSE)</f>
        <v>Sotsiaalne kaitse</v>
      </c>
      <c r="F1121" t="s">
        <v>1572</v>
      </c>
      <c r="G1121" t="s">
        <v>1577</v>
      </c>
      <c r="H1121" s="40">
        <v>174</v>
      </c>
      <c r="I1121" s="2" t="s">
        <v>1580</v>
      </c>
      <c r="J1121">
        <v>5500</v>
      </c>
      <c r="K1121" s="3" t="str">
        <f>VLOOKUP(Table2[[#This Row],[Konto]],Table5[[Konto]:[Konto nimetus]],2,FALSE)</f>
        <v>Administreerimiskulud</v>
      </c>
      <c r="L1121">
        <v>55</v>
      </c>
      <c r="M1121" t="str">
        <f t="shared" si="35"/>
        <v>55</v>
      </c>
      <c r="N1121" s="3" t="str">
        <f>VLOOKUP(Table2[[#This Row],[Tulu/kulu liik2]],Table5[[Tulu/kulu liik]:[Kontode koondnimetus]],4,FALSE)</f>
        <v>Muud tegevuskulud</v>
      </c>
      <c r="O1121" s="3" t="str">
        <f>VLOOKUP(Table2[[#This Row],[Tulu/kulu liik2]],Table5[],6,FALSE)</f>
        <v>Majandamiskulud</v>
      </c>
      <c r="P1121" s="3" t="str">
        <f>VLOOKUP(Table2[[#This Row],[Tulu/kulu liik2]],Table5[],5,FALSE)</f>
        <v>Põhitegevuse kulu</v>
      </c>
    </row>
    <row r="1122" spans="1:16" hidden="1" x14ac:dyDescent="0.25">
      <c r="A1122" t="str">
        <f t="shared" si="34"/>
        <v>10</v>
      </c>
      <c r="B1122" t="s">
        <v>356</v>
      </c>
      <c r="C1122" s="3" t="str">
        <f>VLOOKUP(Table2[[#This Row],[Tegevusala]],Table4[],2,FALSE)</f>
        <v xml:space="preserve"> Tammiku Kodu</v>
      </c>
      <c r="D1122" s="3" t="str">
        <f>VLOOKUP(Table2[[#This Row],[Tegevusala]],Table4[[Tegevusala kood]:[Tegevusala alanimetus]],4,FALSE)</f>
        <v>Eakate sotsiaalhoolekande asutused</v>
      </c>
      <c r="E1122" s="3" t="str">
        <f>VLOOKUP(Table2[[#This Row],[Tegevusala nimetus2]],Table4[[Tegevusala nimetus]:[Tegevusala koondnimetus]],2,FALSE)</f>
        <v>Sotsiaalne kaitse</v>
      </c>
      <c r="F1122" t="s">
        <v>1572</v>
      </c>
      <c r="G1122" t="s">
        <v>1578</v>
      </c>
      <c r="H1122" s="40">
        <v>76</v>
      </c>
      <c r="I1122" s="2" t="s">
        <v>1581</v>
      </c>
      <c r="J1122">
        <v>5500</v>
      </c>
      <c r="K1122" s="3" t="str">
        <f>VLOOKUP(Table2[[#This Row],[Konto]],Table5[[Konto]:[Konto nimetus]],2,FALSE)</f>
        <v>Administreerimiskulud</v>
      </c>
      <c r="L1122">
        <v>55</v>
      </c>
      <c r="M1122" t="str">
        <f t="shared" si="35"/>
        <v>55</v>
      </c>
      <c r="N1122" s="3" t="str">
        <f>VLOOKUP(Table2[[#This Row],[Tulu/kulu liik2]],Table5[[Tulu/kulu liik]:[Kontode koondnimetus]],4,FALSE)</f>
        <v>Muud tegevuskulud</v>
      </c>
      <c r="O1122" s="3" t="str">
        <f>VLOOKUP(Table2[[#This Row],[Tulu/kulu liik2]],Table5[],6,FALSE)</f>
        <v>Majandamiskulud</v>
      </c>
      <c r="P1122" s="3" t="str">
        <f>VLOOKUP(Table2[[#This Row],[Tulu/kulu liik2]],Table5[],5,FALSE)</f>
        <v>Põhitegevuse kulu</v>
      </c>
    </row>
    <row r="1123" spans="1:16" hidden="1" x14ac:dyDescent="0.25">
      <c r="A1123" t="str">
        <f t="shared" si="34"/>
        <v>10</v>
      </c>
      <c r="B1123" t="s">
        <v>356</v>
      </c>
      <c r="C1123" s="3" t="str">
        <f>VLOOKUP(Table2[[#This Row],[Tegevusala]],Table4[],2,FALSE)</f>
        <v xml:space="preserve"> Tammiku Kodu</v>
      </c>
      <c r="D1123" s="3" t="str">
        <f>VLOOKUP(Table2[[#This Row],[Tegevusala]],Table4[[Tegevusala kood]:[Tegevusala alanimetus]],4,FALSE)</f>
        <v>Eakate sotsiaalhoolekande asutused</v>
      </c>
      <c r="E1123" s="3" t="str">
        <f>VLOOKUP(Table2[[#This Row],[Tegevusala nimetus2]],Table4[[Tegevusala nimetus]:[Tegevusala koondnimetus]],2,FALSE)</f>
        <v>Sotsiaalne kaitse</v>
      </c>
      <c r="F1123" t="s">
        <v>1572</v>
      </c>
      <c r="G1123" t="s">
        <v>176</v>
      </c>
      <c r="H1123" s="40">
        <v>50</v>
      </c>
      <c r="I1123" s="2" t="s">
        <v>1583</v>
      </c>
      <c r="J1123">
        <v>5504</v>
      </c>
      <c r="K1123" s="3" t="str">
        <f>VLOOKUP(Table2[[#This Row],[Konto]],Table5[[Konto]:[Konto nimetus]],2,FALSE)</f>
        <v>Koolituskulud</v>
      </c>
      <c r="L1123">
        <v>55</v>
      </c>
      <c r="M1123" t="str">
        <f t="shared" si="35"/>
        <v>55</v>
      </c>
      <c r="N1123" s="3" t="str">
        <f>VLOOKUP(Table2[[#This Row],[Tulu/kulu liik2]],Table5[[Tulu/kulu liik]:[Kontode koondnimetus]],4,FALSE)</f>
        <v>Muud tegevuskulud</v>
      </c>
      <c r="O1123" s="3" t="str">
        <f>VLOOKUP(Table2[[#This Row],[Tulu/kulu liik2]],Table5[],6,FALSE)</f>
        <v>Majandamiskulud</v>
      </c>
      <c r="P1123" s="3" t="str">
        <f>VLOOKUP(Table2[[#This Row],[Tulu/kulu liik2]],Table5[],5,FALSE)</f>
        <v>Põhitegevuse kulu</v>
      </c>
    </row>
    <row r="1124" spans="1:16" hidden="1" x14ac:dyDescent="0.25">
      <c r="A1124" t="str">
        <f t="shared" si="34"/>
        <v>10</v>
      </c>
      <c r="B1124" t="s">
        <v>356</v>
      </c>
      <c r="C1124" s="3" t="str">
        <f>VLOOKUP(Table2[[#This Row],[Tegevusala]],Table4[],2,FALSE)</f>
        <v xml:space="preserve"> Tammiku Kodu</v>
      </c>
      <c r="D1124" s="3" t="str">
        <f>VLOOKUP(Table2[[#This Row],[Tegevusala]],Table4[[Tegevusala kood]:[Tegevusala alanimetus]],4,FALSE)</f>
        <v>Eakate sotsiaalhoolekande asutused</v>
      </c>
      <c r="E1124" s="3" t="str">
        <f>VLOOKUP(Table2[[#This Row],[Tegevusala nimetus2]],Table4[[Tegevusala nimetus]:[Tegevusala koondnimetus]],2,FALSE)</f>
        <v>Sotsiaalne kaitse</v>
      </c>
      <c r="F1124" t="s">
        <v>1572</v>
      </c>
      <c r="G1124" t="s">
        <v>1582</v>
      </c>
      <c r="H1124" s="40">
        <v>150</v>
      </c>
      <c r="I1124" s="2" t="s">
        <v>1584</v>
      </c>
      <c r="J1124">
        <v>5504</v>
      </c>
      <c r="K1124" s="3" t="str">
        <f>VLOOKUP(Table2[[#This Row],[Konto]],Table5[[Konto]:[Konto nimetus]],2,FALSE)</f>
        <v>Koolituskulud</v>
      </c>
      <c r="L1124">
        <v>55</v>
      </c>
      <c r="M1124" t="str">
        <f t="shared" si="35"/>
        <v>55</v>
      </c>
      <c r="N1124" s="3" t="str">
        <f>VLOOKUP(Table2[[#This Row],[Tulu/kulu liik2]],Table5[[Tulu/kulu liik]:[Kontode koondnimetus]],4,FALSE)</f>
        <v>Muud tegevuskulud</v>
      </c>
      <c r="O1124" s="3" t="str">
        <f>VLOOKUP(Table2[[#This Row],[Tulu/kulu liik2]],Table5[],6,FALSE)</f>
        <v>Majandamiskulud</v>
      </c>
      <c r="P1124" s="3" t="str">
        <f>VLOOKUP(Table2[[#This Row],[Tulu/kulu liik2]],Table5[],5,FALSE)</f>
        <v>Põhitegevuse kulu</v>
      </c>
    </row>
    <row r="1125" spans="1:16" hidden="1" x14ac:dyDescent="0.25">
      <c r="A1125" t="str">
        <f t="shared" si="34"/>
        <v>10</v>
      </c>
      <c r="B1125" t="s">
        <v>356</v>
      </c>
      <c r="C1125" s="3" t="str">
        <f>VLOOKUP(Table2[[#This Row],[Tegevusala]],Table4[],2,FALSE)</f>
        <v xml:space="preserve"> Tammiku Kodu</v>
      </c>
      <c r="D1125" s="3" t="str">
        <f>VLOOKUP(Table2[[#This Row],[Tegevusala]],Table4[[Tegevusala kood]:[Tegevusala alanimetus]],4,FALSE)</f>
        <v>Eakate sotsiaalhoolekande asutused</v>
      </c>
      <c r="E1125" s="3" t="str">
        <f>VLOOKUP(Table2[[#This Row],[Tegevusala nimetus2]],Table4[[Tegevusala nimetus]:[Tegevusala koondnimetus]],2,FALSE)</f>
        <v>Sotsiaalne kaitse</v>
      </c>
      <c r="F1125" t="s">
        <v>1572</v>
      </c>
      <c r="G1125" t="s">
        <v>1602</v>
      </c>
      <c r="H1125" s="40">
        <v>800</v>
      </c>
      <c r="J1125">
        <v>5513</v>
      </c>
      <c r="K1125" s="3" t="str">
        <f>VLOOKUP(Table2[[#This Row],[Konto]],Table5[[Konto]:[Konto nimetus]],2,FALSE)</f>
        <v>Sõidukite ülalpidamise kulud</v>
      </c>
      <c r="L1125">
        <v>55</v>
      </c>
      <c r="M1125" t="str">
        <f t="shared" si="35"/>
        <v>55</v>
      </c>
      <c r="N1125" s="3" t="str">
        <f>VLOOKUP(Table2[[#This Row],[Tulu/kulu liik2]],Table5[[Tulu/kulu liik]:[Kontode koondnimetus]],4,FALSE)</f>
        <v>Muud tegevuskulud</v>
      </c>
      <c r="O1125" s="3" t="str">
        <f>VLOOKUP(Table2[[#This Row],[Tulu/kulu liik2]],Table5[],6,FALSE)</f>
        <v>Majandamiskulud</v>
      </c>
      <c r="P1125" s="3" t="str">
        <f>VLOOKUP(Table2[[#This Row],[Tulu/kulu liik2]],Table5[],5,FALSE)</f>
        <v>Põhitegevuse kulu</v>
      </c>
    </row>
    <row r="1126" spans="1:16" hidden="1" x14ac:dyDescent="0.25">
      <c r="A1126" t="str">
        <f t="shared" si="34"/>
        <v>10</v>
      </c>
      <c r="B1126" t="s">
        <v>356</v>
      </c>
      <c r="C1126" s="3" t="str">
        <f>VLOOKUP(Table2[[#This Row],[Tegevusala]],Table4[],2,FALSE)</f>
        <v xml:space="preserve"> Tammiku Kodu</v>
      </c>
      <c r="D1126" s="3" t="str">
        <f>VLOOKUP(Table2[[#This Row],[Tegevusala]],Table4[[Tegevusala kood]:[Tegevusala alanimetus]],4,FALSE)</f>
        <v>Eakate sotsiaalhoolekande asutused</v>
      </c>
      <c r="E1126" s="3" t="str">
        <f>VLOOKUP(Table2[[#This Row],[Tegevusala nimetus2]],Table4[[Tegevusala nimetus]:[Tegevusala koondnimetus]],2,FALSE)</f>
        <v>Sotsiaalne kaitse</v>
      </c>
      <c r="F1126" t="s">
        <v>1572</v>
      </c>
      <c r="G1126" t="s">
        <v>1603</v>
      </c>
      <c r="H1126" s="40">
        <v>432</v>
      </c>
      <c r="J1126">
        <v>5513</v>
      </c>
      <c r="K1126" s="3" t="str">
        <f>VLOOKUP(Table2[[#This Row],[Konto]],Table5[[Konto]:[Konto nimetus]],2,FALSE)</f>
        <v>Sõidukite ülalpidamise kulud</v>
      </c>
      <c r="L1126">
        <v>55</v>
      </c>
      <c r="M1126" t="str">
        <f t="shared" si="35"/>
        <v>55</v>
      </c>
      <c r="N1126" s="3" t="str">
        <f>VLOOKUP(Table2[[#This Row],[Tulu/kulu liik2]],Table5[[Tulu/kulu liik]:[Kontode koondnimetus]],4,FALSE)</f>
        <v>Muud tegevuskulud</v>
      </c>
      <c r="O1126" s="3" t="str">
        <f>VLOOKUP(Table2[[#This Row],[Tulu/kulu liik2]],Table5[],6,FALSE)</f>
        <v>Majandamiskulud</v>
      </c>
      <c r="P1126" s="3" t="str">
        <f>VLOOKUP(Table2[[#This Row],[Tulu/kulu liik2]],Table5[],5,FALSE)</f>
        <v>Põhitegevuse kulu</v>
      </c>
    </row>
    <row r="1127" spans="1:16" hidden="1" x14ac:dyDescent="0.25">
      <c r="A1127" t="str">
        <f t="shared" si="34"/>
        <v>10</v>
      </c>
      <c r="B1127" t="s">
        <v>356</v>
      </c>
      <c r="C1127" s="3" t="str">
        <f>VLOOKUP(Table2[[#This Row],[Tegevusala]],Table4[],2,FALSE)</f>
        <v xml:space="preserve"> Tammiku Kodu</v>
      </c>
      <c r="D1127" s="3" t="str">
        <f>VLOOKUP(Table2[[#This Row],[Tegevusala]],Table4[[Tegevusala kood]:[Tegevusala alanimetus]],4,FALSE)</f>
        <v>Eakate sotsiaalhoolekande asutused</v>
      </c>
      <c r="E1127" s="3" t="str">
        <f>VLOOKUP(Table2[[#This Row],[Tegevusala nimetus2]],Table4[[Tegevusala nimetus]:[Tegevusala koondnimetus]],2,FALSE)</f>
        <v>Sotsiaalne kaitse</v>
      </c>
      <c r="F1127" t="s">
        <v>1572</v>
      </c>
      <c r="G1127" t="s">
        <v>1605</v>
      </c>
      <c r="H1127" s="40">
        <v>19535</v>
      </c>
      <c r="I1127" s="2" t="s">
        <v>1606</v>
      </c>
      <c r="J1127">
        <v>5521</v>
      </c>
      <c r="K1127" s="3" t="str">
        <f>VLOOKUP(Table2[[#This Row],[Konto]],Table5[[Konto]:[Konto nimetus]],2,FALSE)</f>
        <v>Toiduained ja toitlustusteenused</v>
      </c>
      <c r="L1127">
        <v>55</v>
      </c>
      <c r="M1127" t="str">
        <f t="shared" si="35"/>
        <v>55</v>
      </c>
      <c r="N1127" s="3" t="str">
        <f>VLOOKUP(Table2[[#This Row],[Tulu/kulu liik2]],Table5[[Tulu/kulu liik]:[Kontode koondnimetus]],4,FALSE)</f>
        <v>Muud tegevuskulud</v>
      </c>
      <c r="O1127" s="3" t="str">
        <f>VLOOKUP(Table2[[#This Row],[Tulu/kulu liik2]],Table5[],6,FALSE)</f>
        <v>Majandamiskulud</v>
      </c>
      <c r="P1127" s="3" t="str">
        <f>VLOOKUP(Table2[[#This Row],[Tulu/kulu liik2]],Table5[],5,FALSE)</f>
        <v>Põhitegevuse kulu</v>
      </c>
    </row>
    <row r="1128" spans="1:16" hidden="1" x14ac:dyDescent="0.25">
      <c r="A1128" t="str">
        <f t="shared" si="34"/>
        <v>10</v>
      </c>
      <c r="B1128" t="s">
        <v>356</v>
      </c>
      <c r="C1128" s="3" t="str">
        <f>VLOOKUP(Table2[[#This Row],[Tegevusala]],Table4[],2,FALSE)</f>
        <v xml:space="preserve"> Tammiku Kodu</v>
      </c>
      <c r="D1128" s="3" t="str">
        <f>VLOOKUP(Table2[[#This Row],[Tegevusala]],Table4[[Tegevusala kood]:[Tegevusala alanimetus]],4,FALSE)</f>
        <v>Eakate sotsiaalhoolekande asutused</v>
      </c>
      <c r="E1128" s="3" t="str">
        <f>VLOOKUP(Table2[[#This Row],[Tegevusala nimetus2]],Table4[[Tegevusala nimetus]:[Tegevusala koondnimetus]],2,FALSE)</f>
        <v>Sotsiaalne kaitse</v>
      </c>
      <c r="F1128" t="s">
        <v>1572</v>
      </c>
      <c r="G1128" t="s">
        <v>1607</v>
      </c>
      <c r="H1128" s="40">
        <v>100</v>
      </c>
      <c r="I1128" s="2" t="s">
        <v>1611</v>
      </c>
      <c r="J1128">
        <v>5522</v>
      </c>
      <c r="K1128" s="3" t="str">
        <f>VLOOKUP(Table2[[#This Row],[Konto]],Table5[[Konto]:[Konto nimetus]],2,FALSE)</f>
        <v>Meditsiinikulud ja hügieenitarbed</v>
      </c>
      <c r="L1128">
        <v>55</v>
      </c>
      <c r="M1128" t="str">
        <f t="shared" si="35"/>
        <v>55</v>
      </c>
      <c r="N1128" s="3" t="str">
        <f>VLOOKUP(Table2[[#This Row],[Tulu/kulu liik2]],Table5[[Tulu/kulu liik]:[Kontode koondnimetus]],4,FALSE)</f>
        <v>Muud tegevuskulud</v>
      </c>
      <c r="O1128" s="3" t="str">
        <f>VLOOKUP(Table2[[#This Row],[Tulu/kulu liik2]],Table5[],6,FALSE)</f>
        <v>Majandamiskulud</v>
      </c>
      <c r="P1128" s="3" t="str">
        <f>VLOOKUP(Table2[[#This Row],[Tulu/kulu liik2]],Table5[],5,FALSE)</f>
        <v>Põhitegevuse kulu</v>
      </c>
    </row>
    <row r="1129" spans="1:16" hidden="1" x14ac:dyDescent="0.25">
      <c r="A1129" t="str">
        <f t="shared" si="34"/>
        <v>10</v>
      </c>
      <c r="B1129" t="s">
        <v>356</v>
      </c>
      <c r="C1129" s="3" t="str">
        <f>VLOOKUP(Table2[[#This Row],[Tegevusala]],Table4[],2,FALSE)</f>
        <v xml:space="preserve"> Tammiku Kodu</v>
      </c>
      <c r="D1129" s="3" t="str">
        <f>VLOOKUP(Table2[[#This Row],[Tegevusala]],Table4[[Tegevusala kood]:[Tegevusala alanimetus]],4,FALSE)</f>
        <v>Eakate sotsiaalhoolekande asutused</v>
      </c>
      <c r="E1129" s="3" t="str">
        <f>VLOOKUP(Table2[[#This Row],[Tegevusala nimetus2]],Table4[[Tegevusala nimetus]:[Tegevusala koondnimetus]],2,FALSE)</f>
        <v>Sotsiaalne kaitse</v>
      </c>
      <c r="F1129" t="s">
        <v>1572</v>
      </c>
      <c r="G1129" t="s">
        <v>1608</v>
      </c>
      <c r="H1129" s="40">
        <v>1000</v>
      </c>
      <c r="I1129" s="2" t="s">
        <v>1612</v>
      </c>
      <c r="J1129">
        <v>5522</v>
      </c>
      <c r="K1129" s="3" t="str">
        <f>VLOOKUP(Table2[[#This Row],[Konto]],Table5[[Konto]:[Konto nimetus]],2,FALSE)</f>
        <v>Meditsiinikulud ja hügieenitarbed</v>
      </c>
      <c r="L1129">
        <v>55</v>
      </c>
      <c r="M1129" t="str">
        <f t="shared" si="35"/>
        <v>55</v>
      </c>
      <c r="N1129" s="3" t="str">
        <f>VLOOKUP(Table2[[#This Row],[Tulu/kulu liik2]],Table5[[Tulu/kulu liik]:[Kontode koondnimetus]],4,FALSE)</f>
        <v>Muud tegevuskulud</v>
      </c>
      <c r="O1129" s="3" t="str">
        <f>VLOOKUP(Table2[[#This Row],[Tulu/kulu liik2]],Table5[],6,FALSE)</f>
        <v>Majandamiskulud</v>
      </c>
      <c r="P1129" s="3" t="str">
        <f>VLOOKUP(Table2[[#This Row],[Tulu/kulu liik2]],Table5[],5,FALSE)</f>
        <v>Põhitegevuse kulu</v>
      </c>
    </row>
    <row r="1130" spans="1:16" hidden="1" x14ac:dyDescent="0.25">
      <c r="A1130" t="str">
        <f t="shared" si="34"/>
        <v>10</v>
      </c>
      <c r="B1130" t="s">
        <v>356</v>
      </c>
      <c r="C1130" s="3" t="str">
        <f>VLOOKUP(Table2[[#This Row],[Tegevusala]],Table4[],2,FALSE)</f>
        <v xml:space="preserve"> Tammiku Kodu</v>
      </c>
      <c r="D1130" s="3" t="str">
        <f>VLOOKUP(Table2[[#This Row],[Tegevusala]],Table4[[Tegevusala kood]:[Tegevusala alanimetus]],4,FALSE)</f>
        <v>Eakate sotsiaalhoolekande asutused</v>
      </c>
      <c r="E1130" s="3" t="str">
        <f>VLOOKUP(Table2[[#This Row],[Tegevusala nimetus2]],Table4[[Tegevusala nimetus]:[Tegevusala koondnimetus]],2,FALSE)</f>
        <v>Sotsiaalne kaitse</v>
      </c>
      <c r="F1130" t="s">
        <v>1572</v>
      </c>
      <c r="G1130" t="s">
        <v>1609</v>
      </c>
      <c r="H1130" s="40">
        <v>1850</v>
      </c>
      <c r="I1130" s="2" t="s">
        <v>1613</v>
      </c>
      <c r="J1130">
        <v>5522</v>
      </c>
      <c r="K1130" s="3" t="str">
        <f>VLOOKUP(Table2[[#This Row],[Konto]],Table5[[Konto]:[Konto nimetus]],2,FALSE)</f>
        <v>Meditsiinikulud ja hügieenitarbed</v>
      </c>
      <c r="L1130">
        <v>55</v>
      </c>
      <c r="M1130" t="str">
        <f t="shared" si="35"/>
        <v>55</v>
      </c>
      <c r="N1130" s="3" t="str">
        <f>VLOOKUP(Table2[[#This Row],[Tulu/kulu liik2]],Table5[[Tulu/kulu liik]:[Kontode koondnimetus]],4,FALSE)</f>
        <v>Muud tegevuskulud</v>
      </c>
      <c r="O1130" s="3" t="str">
        <f>VLOOKUP(Table2[[#This Row],[Tulu/kulu liik2]],Table5[],6,FALSE)</f>
        <v>Majandamiskulud</v>
      </c>
      <c r="P1130" s="3" t="str">
        <f>VLOOKUP(Table2[[#This Row],[Tulu/kulu liik2]],Table5[],5,FALSE)</f>
        <v>Põhitegevuse kulu</v>
      </c>
    </row>
    <row r="1131" spans="1:16" hidden="1" x14ac:dyDescent="0.25">
      <c r="A1131" t="str">
        <f t="shared" si="34"/>
        <v>10</v>
      </c>
      <c r="B1131" t="s">
        <v>356</v>
      </c>
      <c r="C1131" s="3" t="str">
        <f>VLOOKUP(Table2[[#This Row],[Tegevusala]],Table4[],2,FALSE)</f>
        <v xml:space="preserve"> Tammiku Kodu</v>
      </c>
      <c r="D1131" s="3" t="str">
        <f>VLOOKUP(Table2[[#This Row],[Tegevusala]],Table4[[Tegevusala kood]:[Tegevusala alanimetus]],4,FALSE)</f>
        <v>Eakate sotsiaalhoolekande asutused</v>
      </c>
      <c r="E1131" s="3" t="str">
        <f>VLOOKUP(Table2[[#This Row],[Tegevusala nimetus2]],Table4[[Tegevusala nimetus]:[Tegevusala koondnimetus]],2,FALSE)</f>
        <v>Sotsiaalne kaitse</v>
      </c>
      <c r="F1131" t="s">
        <v>1572</v>
      </c>
      <c r="G1131" t="s">
        <v>1232</v>
      </c>
      <c r="H1131" s="40">
        <v>2060</v>
      </c>
      <c r="I1131" s="2" t="s">
        <v>1614</v>
      </c>
      <c r="J1131">
        <v>5522</v>
      </c>
      <c r="K1131" s="3" t="str">
        <f>VLOOKUP(Table2[[#This Row],[Konto]],Table5[[Konto]:[Konto nimetus]],2,FALSE)</f>
        <v>Meditsiinikulud ja hügieenitarbed</v>
      </c>
      <c r="L1131">
        <v>55</v>
      </c>
      <c r="M1131" t="str">
        <f t="shared" si="35"/>
        <v>55</v>
      </c>
      <c r="N1131" s="3" t="str">
        <f>VLOOKUP(Table2[[#This Row],[Tulu/kulu liik2]],Table5[[Tulu/kulu liik]:[Kontode koondnimetus]],4,FALSE)</f>
        <v>Muud tegevuskulud</v>
      </c>
      <c r="O1131" s="3" t="str">
        <f>VLOOKUP(Table2[[#This Row],[Tulu/kulu liik2]],Table5[],6,FALSE)</f>
        <v>Majandamiskulud</v>
      </c>
      <c r="P1131" s="3" t="str">
        <f>VLOOKUP(Table2[[#This Row],[Tulu/kulu liik2]],Table5[],5,FALSE)</f>
        <v>Põhitegevuse kulu</v>
      </c>
    </row>
    <row r="1132" spans="1:16" hidden="1" x14ac:dyDescent="0.25">
      <c r="A1132" t="str">
        <f t="shared" si="34"/>
        <v>10</v>
      </c>
      <c r="B1132" t="s">
        <v>356</v>
      </c>
      <c r="C1132" s="3" t="str">
        <f>VLOOKUP(Table2[[#This Row],[Tegevusala]],Table4[],2,FALSE)</f>
        <v xml:space="preserve"> Tammiku Kodu</v>
      </c>
      <c r="D1132" s="3" t="str">
        <f>VLOOKUP(Table2[[#This Row],[Tegevusala]],Table4[[Tegevusala kood]:[Tegevusala alanimetus]],4,FALSE)</f>
        <v>Eakate sotsiaalhoolekande asutused</v>
      </c>
      <c r="E1132" s="3" t="str">
        <f>VLOOKUP(Table2[[#This Row],[Tegevusala nimetus2]],Table4[[Tegevusala nimetus]:[Tegevusala koondnimetus]],2,FALSE)</f>
        <v>Sotsiaalne kaitse</v>
      </c>
      <c r="F1132" t="s">
        <v>1572</v>
      </c>
      <c r="G1132" t="s">
        <v>1610</v>
      </c>
      <c r="H1132" s="40">
        <v>300</v>
      </c>
      <c r="I1132" s="2" t="s">
        <v>1615</v>
      </c>
      <c r="J1132">
        <v>5522</v>
      </c>
      <c r="K1132" s="3" t="str">
        <f>VLOOKUP(Table2[[#This Row],[Konto]],Table5[[Konto]:[Konto nimetus]],2,FALSE)</f>
        <v>Meditsiinikulud ja hügieenitarbed</v>
      </c>
      <c r="L1132">
        <v>55</v>
      </c>
      <c r="M1132" t="str">
        <f t="shared" si="35"/>
        <v>55</v>
      </c>
      <c r="N1132" s="3" t="str">
        <f>VLOOKUP(Table2[[#This Row],[Tulu/kulu liik2]],Table5[[Tulu/kulu liik]:[Kontode koondnimetus]],4,FALSE)</f>
        <v>Muud tegevuskulud</v>
      </c>
      <c r="O1132" s="3" t="str">
        <f>VLOOKUP(Table2[[#This Row],[Tulu/kulu liik2]],Table5[],6,FALSE)</f>
        <v>Majandamiskulud</v>
      </c>
      <c r="P1132" s="3" t="str">
        <f>VLOOKUP(Table2[[#This Row],[Tulu/kulu liik2]],Table5[],5,FALSE)</f>
        <v>Põhitegevuse kulu</v>
      </c>
    </row>
    <row r="1133" spans="1:16" hidden="1" x14ac:dyDescent="0.25">
      <c r="A1133" t="str">
        <f t="shared" si="34"/>
        <v>10</v>
      </c>
      <c r="B1133" t="s">
        <v>356</v>
      </c>
      <c r="C1133" s="3" t="str">
        <f>VLOOKUP(Table2[[#This Row],[Tegevusala]],Table4[],2,FALSE)</f>
        <v xml:space="preserve"> Tammiku Kodu</v>
      </c>
      <c r="D1133" s="3" t="str">
        <f>VLOOKUP(Table2[[#This Row],[Tegevusala]],Table4[[Tegevusala kood]:[Tegevusala alanimetus]],4,FALSE)</f>
        <v>Eakate sotsiaalhoolekande asutused</v>
      </c>
      <c r="E1133" s="3" t="str">
        <f>VLOOKUP(Table2[[#This Row],[Tegevusala nimetus2]],Table4[[Tegevusala nimetus]:[Tegevusala koondnimetus]],2,FALSE)</f>
        <v>Sotsiaalne kaitse</v>
      </c>
      <c r="F1133" t="s">
        <v>1572</v>
      </c>
      <c r="G1133" t="s">
        <v>1616</v>
      </c>
      <c r="H1133" s="40">
        <v>1000</v>
      </c>
      <c r="J1133">
        <v>5525</v>
      </c>
      <c r="K1133" s="3" t="str">
        <f>VLOOKUP(Table2[[#This Row],[Konto]],Table5[[Konto]:[Konto nimetus]],2,FALSE)</f>
        <v>Kommunikatsiooni-, kultuuri- ja vaba aja sisustamise kulud</v>
      </c>
      <c r="L1133">
        <v>55</v>
      </c>
      <c r="M1133" t="str">
        <f t="shared" si="35"/>
        <v>55</v>
      </c>
      <c r="N1133" s="3" t="str">
        <f>VLOOKUP(Table2[[#This Row],[Tulu/kulu liik2]],Table5[[Tulu/kulu liik]:[Kontode koondnimetus]],4,FALSE)</f>
        <v>Muud tegevuskulud</v>
      </c>
      <c r="O1133" s="3" t="str">
        <f>VLOOKUP(Table2[[#This Row],[Tulu/kulu liik2]],Table5[],6,FALSE)</f>
        <v>Majandamiskulud</v>
      </c>
      <c r="P1133" s="3" t="str">
        <f>VLOOKUP(Table2[[#This Row],[Tulu/kulu liik2]],Table5[],5,FALSE)</f>
        <v>Põhitegevuse kulu</v>
      </c>
    </row>
    <row r="1134" spans="1:16" hidden="1" x14ac:dyDescent="0.25">
      <c r="A1134" t="str">
        <f t="shared" si="34"/>
        <v>10</v>
      </c>
      <c r="B1134" t="s">
        <v>356</v>
      </c>
      <c r="C1134" s="3" t="str">
        <f>VLOOKUP(Table2[[#This Row],[Tegevusala]],Table4[],2,FALSE)</f>
        <v xml:space="preserve"> Tammiku Kodu</v>
      </c>
      <c r="D1134" s="3" t="str">
        <f>VLOOKUP(Table2[[#This Row],[Tegevusala]],Table4[[Tegevusala kood]:[Tegevusala alanimetus]],4,FALSE)</f>
        <v>Eakate sotsiaalhoolekande asutused</v>
      </c>
      <c r="E1134" s="3" t="str">
        <f>VLOOKUP(Table2[[#This Row],[Tegevusala nimetus2]],Table4[[Tegevusala nimetus]:[Tegevusala koondnimetus]],2,FALSE)</f>
        <v>Sotsiaalne kaitse</v>
      </c>
      <c r="F1134" t="s">
        <v>1572</v>
      </c>
      <c r="G1134" t="s">
        <v>1617</v>
      </c>
      <c r="H1134" s="40">
        <v>940</v>
      </c>
      <c r="J1134">
        <v>5540</v>
      </c>
      <c r="K1134" s="3" t="str">
        <f>VLOOKUP(Table2[[#This Row],[Konto]],Table5[[Konto]:[Konto nimetus]],2,FALSE)</f>
        <v>Mitmesugused majanduskulud</v>
      </c>
      <c r="L1134">
        <v>55</v>
      </c>
      <c r="M1134" t="str">
        <f t="shared" si="35"/>
        <v>55</v>
      </c>
      <c r="N1134" s="3" t="str">
        <f>VLOOKUP(Table2[[#This Row],[Tulu/kulu liik2]],Table5[[Tulu/kulu liik]:[Kontode koondnimetus]],4,FALSE)</f>
        <v>Muud tegevuskulud</v>
      </c>
      <c r="O1134" s="3" t="str">
        <f>VLOOKUP(Table2[[#This Row],[Tulu/kulu liik2]],Table5[],6,FALSE)</f>
        <v>Majandamiskulud</v>
      </c>
      <c r="P1134" s="3" t="str">
        <f>VLOOKUP(Table2[[#This Row],[Tulu/kulu liik2]],Table5[],5,FALSE)</f>
        <v>Põhitegevuse kulu</v>
      </c>
    </row>
    <row r="1135" spans="1:16" hidden="1" x14ac:dyDescent="0.25">
      <c r="A1135" t="str">
        <f t="shared" si="34"/>
        <v>10</v>
      </c>
      <c r="B1135" t="s">
        <v>356</v>
      </c>
      <c r="C1135" s="3" t="str">
        <f>VLOOKUP(Table2[[#This Row],[Tegevusala]],Table4[],2,FALSE)</f>
        <v xml:space="preserve"> Tammiku Kodu</v>
      </c>
      <c r="D1135" s="3" t="str">
        <f>VLOOKUP(Table2[[#This Row],[Tegevusala]],Table4[[Tegevusala kood]:[Tegevusala alanimetus]],4,FALSE)</f>
        <v>Eakate sotsiaalhoolekande asutused</v>
      </c>
      <c r="E1135" s="3" t="str">
        <f>VLOOKUP(Table2[[#This Row],[Tegevusala nimetus2]],Table4[[Tegevusala nimetus]:[Tegevusala koondnimetus]],2,FALSE)</f>
        <v>Sotsiaalne kaitse</v>
      </c>
      <c r="F1135" t="s">
        <v>1572</v>
      </c>
      <c r="G1135" t="s">
        <v>177</v>
      </c>
      <c r="H1135" s="40">
        <v>1500</v>
      </c>
      <c r="I1135" s="2" t="s">
        <v>1592</v>
      </c>
      <c r="J1135">
        <v>5511</v>
      </c>
      <c r="K1135" s="3" t="str">
        <f>VLOOKUP(Table2[[#This Row],[Konto]],Table5[[Konto]:[Konto nimetus]],2,FALSE)</f>
        <v>Kinnistute, hoonete ja ruumide majandamiskulud</v>
      </c>
      <c r="L1135">
        <v>55</v>
      </c>
      <c r="M1135" t="str">
        <f t="shared" si="35"/>
        <v>55</v>
      </c>
      <c r="N1135" s="3" t="str">
        <f>VLOOKUP(Table2[[#This Row],[Tulu/kulu liik2]],Table5[[Tulu/kulu liik]:[Kontode koondnimetus]],4,FALSE)</f>
        <v>Muud tegevuskulud</v>
      </c>
      <c r="O1135" s="3" t="str">
        <f>VLOOKUP(Table2[[#This Row],[Tulu/kulu liik2]],Table5[],6,FALSE)</f>
        <v>Majandamiskulud</v>
      </c>
      <c r="P1135" s="3" t="str">
        <f>VLOOKUP(Table2[[#This Row],[Tulu/kulu liik2]],Table5[],5,FALSE)</f>
        <v>Põhitegevuse kulu</v>
      </c>
    </row>
    <row r="1136" spans="1:16" hidden="1" x14ac:dyDescent="0.25">
      <c r="A1136" t="str">
        <f t="shared" si="34"/>
        <v>10</v>
      </c>
      <c r="B1136" t="s">
        <v>356</v>
      </c>
      <c r="C1136" s="3" t="str">
        <f>VLOOKUP(Table2[[#This Row],[Tegevusala]],Table4[],2,FALSE)</f>
        <v xml:space="preserve"> Tammiku Kodu</v>
      </c>
      <c r="D1136" s="3" t="str">
        <f>VLOOKUP(Table2[[#This Row],[Tegevusala]],Table4[[Tegevusala kood]:[Tegevusala alanimetus]],4,FALSE)</f>
        <v>Eakate sotsiaalhoolekande asutused</v>
      </c>
      <c r="E1136" s="3" t="str">
        <f>VLOOKUP(Table2[[#This Row],[Tegevusala nimetus2]],Table4[[Tegevusala nimetus]:[Tegevusala koondnimetus]],2,FALSE)</f>
        <v>Sotsiaalne kaitse</v>
      </c>
      <c r="F1136" t="s">
        <v>1572</v>
      </c>
      <c r="G1136" t="s">
        <v>178</v>
      </c>
      <c r="H1136" s="40">
        <v>4150</v>
      </c>
      <c r="I1136" s="2" t="s">
        <v>1593</v>
      </c>
      <c r="J1136">
        <v>5511</v>
      </c>
      <c r="K1136" s="3" t="str">
        <f>VLOOKUP(Table2[[#This Row],[Konto]],Table5[[Konto]:[Konto nimetus]],2,FALSE)</f>
        <v>Kinnistute, hoonete ja ruumide majandamiskulud</v>
      </c>
      <c r="L1136">
        <v>55</v>
      </c>
      <c r="M1136" t="str">
        <f t="shared" si="35"/>
        <v>55</v>
      </c>
      <c r="N1136" s="3" t="str">
        <f>VLOOKUP(Table2[[#This Row],[Tulu/kulu liik2]],Table5[[Tulu/kulu liik]:[Kontode koondnimetus]],4,FALSE)</f>
        <v>Muud tegevuskulud</v>
      </c>
      <c r="O1136" s="3" t="str">
        <f>VLOOKUP(Table2[[#This Row],[Tulu/kulu liik2]],Table5[],6,FALSE)</f>
        <v>Majandamiskulud</v>
      </c>
      <c r="P1136" s="3" t="str">
        <f>VLOOKUP(Table2[[#This Row],[Tulu/kulu liik2]],Table5[],5,FALSE)</f>
        <v>Põhitegevuse kulu</v>
      </c>
    </row>
    <row r="1137" spans="1:16" hidden="1" x14ac:dyDescent="0.25">
      <c r="A1137" t="str">
        <f t="shared" si="34"/>
        <v>10</v>
      </c>
      <c r="B1137" t="s">
        <v>356</v>
      </c>
      <c r="C1137" s="3" t="str">
        <f>VLOOKUP(Table2[[#This Row],[Tegevusala]],Table4[],2,FALSE)</f>
        <v xml:space="preserve"> Tammiku Kodu</v>
      </c>
      <c r="D1137" s="3" t="str">
        <f>VLOOKUP(Table2[[#This Row],[Tegevusala]],Table4[[Tegevusala kood]:[Tegevusala alanimetus]],4,FALSE)</f>
        <v>Eakate sotsiaalhoolekande asutused</v>
      </c>
      <c r="E1137" s="3" t="str">
        <f>VLOOKUP(Table2[[#This Row],[Tegevusala nimetus2]],Table4[[Tegevusala nimetus]:[Tegevusala koondnimetus]],2,FALSE)</f>
        <v>Sotsiaalne kaitse</v>
      </c>
      <c r="F1137" t="s">
        <v>1572</v>
      </c>
      <c r="G1137" t="s">
        <v>425</v>
      </c>
      <c r="H1137" s="40">
        <v>2760</v>
      </c>
      <c r="I1137" s="2" t="s">
        <v>1594</v>
      </c>
      <c r="J1137">
        <v>5511</v>
      </c>
      <c r="K1137" s="3" t="str">
        <f>VLOOKUP(Table2[[#This Row],[Konto]],Table5[[Konto]:[Konto nimetus]],2,FALSE)</f>
        <v>Kinnistute, hoonete ja ruumide majandamiskulud</v>
      </c>
      <c r="L1137">
        <v>55</v>
      </c>
      <c r="M1137" t="str">
        <f t="shared" si="35"/>
        <v>55</v>
      </c>
      <c r="N1137" s="3" t="str">
        <f>VLOOKUP(Table2[[#This Row],[Tulu/kulu liik2]],Table5[[Tulu/kulu liik]:[Kontode koondnimetus]],4,FALSE)</f>
        <v>Muud tegevuskulud</v>
      </c>
      <c r="O1137" s="3" t="str">
        <f>VLOOKUP(Table2[[#This Row],[Tulu/kulu liik2]],Table5[],6,FALSE)</f>
        <v>Majandamiskulud</v>
      </c>
      <c r="P1137" s="3" t="str">
        <f>VLOOKUP(Table2[[#This Row],[Tulu/kulu liik2]],Table5[],5,FALSE)</f>
        <v>Põhitegevuse kulu</v>
      </c>
    </row>
    <row r="1138" spans="1:16" hidden="1" x14ac:dyDescent="0.25">
      <c r="A1138" t="str">
        <f t="shared" si="34"/>
        <v>10</v>
      </c>
      <c r="B1138" t="s">
        <v>356</v>
      </c>
      <c r="C1138" s="3" t="str">
        <f>VLOOKUP(Table2[[#This Row],[Tegevusala]],Table4[],2,FALSE)</f>
        <v xml:space="preserve"> Tammiku Kodu</v>
      </c>
      <c r="D1138" s="3" t="str">
        <f>VLOOKUP(Table2[[#This Row],[Tegevusala]],Table4[[Tegevusala kood]:[Tegevusala alanimetus]],4,FALSE)</f>
        <v>Eakate sotsiaalhoolekande asutused</v>
      </c>
      <c r="E1138" s="3" t="str">
        <f>VLOOKUP(Table2[[#This Row],[Tegevusala nimetus2]],Table4[[Tegevusala nimetus]:[Tegevusala koondnimetus]],2,FALSE)</f>
        <v>Sotsiaalne kaitse</v>
      </c>
      <c r="F1138" t="s">
        <v>1572</v>
      </c>
      <c r="G1138" t="s">
        <v>1585</v>
      </c>
      <c r="H1138" s="40">
        <v>4100</v>
      </c>
      <c r="I1138" s="2" t="s">
        <v>1595</v>
      </c>
      <c r="J1138">
        <v>5511</v>
      </c>
      <c r="K1138" s="3" t="str">
        <f>VLOOKUP(Table2[[#This Row],[Konto]],Table5[[Konto]:[Konto nimetus]],2,FALSE)</f>
        <v>Kinnistute, hoonete ja ruumide majandamiskulud</v>
      </c>
      <c r="L1138">
        <v>55</v>
      </c>
      <c r="M1138" t="str">
        <f t="shared" si="35"/>
        <v>55</v>
      </c>
      <c r="N1138" s="3" t="str">
        <f>VLOOKUP(Table2[[#This Row],[Tulu/kulu liik2]],Table5[[Tulu/kulu liik]:[Kontode koondnimetus]],4,FALSE)</f>
        <v>Muud tegevuskulud</v>
      </c>
      <c r="O1138" s="3" t="str">
        <f>VLOOKUP(Table2[[#This Row],[Tulu/kulu liik2]],Table5[],6,FALSE)</f>
        <v>Majandamiskulud</v>
      </c>
      <c r="P1138" s="3" t="str">
        <f>VLOOKUP(Table2[[#This Row],[Tulu/kulu liik2]],Table5[],5,FALSE)</f>
        <v>Põhitegevuse kulu</v>
      </c>
    </row>
    <row r="1139" spans="1:16" hidden="1" x14ac:dyDescent="0.25">
      <c r="A1139" t="str">
        <f t="shared" si="34"/>
        <v>10</v>
      </c>
      <c r="B1139" t="s">
        <v>356</v>
      </c>
      <c r="C1139" s="3" t="str">
        <f>VLOOKUP(Table2[[#This Row],[Tegevusala]],Table4[],2,FALSE)</f>
        <v xml:space="preserve"> Tammiku Kodu</v>
      </c>
      <c r="D1139" s="3" t="str">
        <f>VLOOKUP(Table2[[#This Row],[Tegevusala]],Table4[[Tegevusala kood]:[Tegevusala alanimetus]],4,FALSE)</f>
        <v>Eakate sotsiaalhoolekande asutused</v>
      </c>
      <c r="E1139" s="3" t="str">
        <f>VLOOKUP(Table2[[#This Row],[Tegevusala nimetus2]],Table4[[Tegevusala nimetus]:[Tegevusala koondnimetus]],2,FALSE)</f>
        <v>Sotsiaalne kaitse</v>
      </c>
      <c r="F1139" t="s">
        <v>1572</v>
      </c>
      <c r="G1139" t="s">
        <v>1586</v>
      </c>
      <c r="H1139" s="40">
        <v>4300</v>
      </c>
      <c r="I1139" s="2" t="s">
        <v>1596</v>
      </c>
      <c r="J1139">
        <v>5511</v>
      </c>
      <c r="K1139" s="3" t="str">
        <f>VLOOKUP(Table2[[#This Row],[Konto]],Table5[[Konto]:[Konto nimetus]],2,FALSE)</f>
        <v>Kinnistute, hoonete ja ruumide majandamiskulud</v>
      </c>
      <c r="L1139">
        <v>55</v>
      </c>
      <c r="M1139" t="str">
        <f t="shared" si="35"/>
        <v>55</v>
      </c>
      <c r="N1139" s="3" t="str">
        <f>VLOOKUP(Table2[[#This Row],[Tulu/kulu liik2]],Table5[[Tulu/kulu liik]:[Kontode koondnimetus]],4,FALSE)</f>
        <v>Muud tegevuskulud</v>
      </c>
      <c r="O1139" s="3" t="str">
        <f>VLOOKUP(Table2[[#This Row],[Tulu/kulu liik2]],Table5[],6,FALSE)</f>
        <v>Majandamiskulud</v>
      </c>
      <c r="P1139" s="3" t="str">
        <f>VLOOKUP(Table2[[#This Row],[Tulu/kulu liik2]],Table5[],5,FALSE)</f>
        <v>Põhitegevuse kulu</v>
      </c>
    </row>
    <row r="1140" spans="1:16" hidden="1" x14ac:dyDescent="0.25">
      <c r="A1140" t="str">
        <f t="shared" si="34"/>
        <v>10</v>
      </c>
      <c r="B1140" t="s">
        <v>356</v>
      </c>
      <c r="C1140" s="3" t="str">
        <f>VLOOKUP(Table2[[#This Row],[Tegevusala]],Table4[],2,FALSE)</f>
        <v xml:space="preserve"> Tammiku Kodu</v>
      </c>
      <c r="D1140" s="3" t="str">
        <f>VLOOKUP(Table2[[#This Row],[Tegevusala]],Table4[[Tegevusala kood]:[Tegevusala alanimetus]],4,FALSE)</f>
        <v>Eakate sotsiaalhoolekande asutused</v>
      </c>
      <c r="E1140" s="3" t="str">
        <f>VLOOKUP(Table2[[#This Row],[Tegevusala nimetus2]],Table4[[Tegevusala nimetus]:[Tegevusala koondnimetus]],2,FALSE)</f>
        <v>Sotsiaalne kaitse</v>
      </c>
      <c r="F1140" t="s">
        <v>1572</v>
      </c>
      <c r="G1140" t="s">
        <v>1587</v>
      </c>
      <c r="H1140" s="40">
        <v>288</v>
      </c>
      <c r="I1140" s="2" t="s">
        <v>1597</v>
      </c>
      <c r="J1140">
        <v>5511</v>
      </c>
      <c r="K1140" s="3" t="str">
        <f>VLOOKUP(Table2[[#This Row],[Konto]],Table5[[Konto]:[Konto nimetus]],2,FALSE)</f>
        <v>Kinnistute, hoonete ja ruumide majandamiskulud</v>
      </c>
      <c r="L1140">
        <v>55</v>
      </c>
      <c r="M1140" t="str">
        <f t="shared" si="35"/>
        <v>55</v>
      </c>
      <c r="N1140" s="3" t="str">
        <f>VLOOKUP(Table2[[#This Row],[Tulu/kulu liik2]],Table5[[Tulu/kulu liik]:[Kontode koondnimetus]],4,FALSE)</f>
        <v>Muud tegevuskulud</v>
      </c>
      <c r="O1140" s="3" t="str">
        <f>VLOOKUP(Table2[[#This Row],[Tulu/kulu liik2]],Table5[],6,FALSE)</f>
        <v>Majandamiskulud</v>
      </c>
      <c r="P1140" s="3" t="str">
        <f>VLOOKUP(Table2[[#This Row],[Tulu/kulu liik2]],Table5[],5,FALSE)</f>
        <v>Põhitegevuse kulu</v>
      </c>
    </row>
    <row r="1141" spans="1:16" hidden="1" x14ac:dyDescent="0.25">
      <c r="A1141" t="str">
        <f t="shared" si="34"/>
        <v>10</v>
      </c>
      <c r="B1141" t="s">
        <v>356</v>
      </c>
      <c r="C1141" s="3" t="str">
        <f>VLOOKUP(Table2[[#This Row],[Tegevusala]],Table4[],2,FALSE)</f>
        <v xml:space="preserve"> Tammiku Kodu</v>
      </c>
      <c r="D1141" s="3" t="str">
        <f>VLOOKUP(Table2[[#This Row],[Tegevusala]],Table4[[Tegevusala kood]:[Tegevusala alanimetus]],4,FALSE)</f>
        <v>Eakate sotsiaalhoolekande asutused</v>
      </c>
      <c r="E1141" s="3" t="str">
        <f>VLOOKUP(Table2[[#This Row],[Tegevusala nimetus2]],Table4[[Tegevusala nimetus]:[Tegevusala koondnimetus]],2,FALSE)</f>
        <v>Sotsiaalne kaitse</v>
      </c>
      <c r="F1141" t="s">
        <v>1572</v>
      </c>
      <c r="G1141" t="s">
        <v>1588</v>
      </c>
      <c r="H1141" s="40">
        <v>150</v>
      </c>
      <c r="I1141" s="2" t="s">
        <v>1598</v>
      </c>
      <c r="J1141">
        <v>5511</v>
      </c>
      <c r="K1141" s="3" t="str">
        <f>VLOOKUP(Table2[[#This Row],[Konto]],Table5[[Konto]:[Konto nimetus]],2,FALSE)</f>
        <v>Kinnistute, hoonete ja ruumide majandamiskulud</v>
      </c>
      <c r="L1141">
        <v>55</v>
      </c>
      <c r="M1141" t="str">
        <f t="shared" si="35"/>
        <v>55</v>
      </c>
      <c r="N1141" s="3" t="str">
        <f>VLOOKUP(Table2[[#This Row],[Tulu/kulu liik2]],Table5[[Tulu/kulu liik]:[Kontode koondnimetus]],4,FALSE)</f>
        <v>Muud tegevuskulud</v>
      </c>
      <c r="O1141" s="3" t="str">
        <f>VLOOKUP(Table2[[#This Row],[Tulu/kulu liik2]],Table5[],6,FALSE)</f>
        <v>Majandamiskulud</v>
      </c>
      <c r="P1141" s="3" t="str">
        <f>VLOOKUP(Table2[[#This Row],[Tulu/kulu liik2]],Table5[],5,FALSE)</f>
        <v>Põhitegevuse kulu</v>
      </c>
    </row>
    <row r="1142" spans="1:16" hidden="1" x14ac:dyDescent="0.25">
      <c r="A1142" t="str">
        <f t="shared" si="34"/>
        <v>10</v>
      </c>
      <c r="B1142" t="s">
        <v>356</v>
      </c>
      <c r="C1142" s="3" t="str">
        <f>VLOOKUP(Table2[[#This Row],[Tegevusala]],Table4[],2,FALSE)</f>
        <v xml:space="preserve"> Tammiku Kodu</v>
      </c>
      <c r="D1142" s="3" t="str">
        <f>VLOOKUP(Table2[[#This Row],[Tegevusala]],Table4[[Tegevusala kood]:[Tegevusala alanimetus]],4,FALSE)</f>
        <v>Eakate sotsiaalhoolekande asutused</v>
      </c>
      <c r="E1142" s="3" t="str">
        <f>VLOOKUP(Table2[[#This Row],[Tegevusala nimetus2]],Table4[[Tegevusala nimetus]:[Tegevusala koondnimetus]],2,FALSE)</f>
        <v>Sotsiaalne kaitse</v>
      </c>
      <c r="F1142" t="s">
        <v>1572</v>
      </c>
      <c r="G1142" t="s">
        <v>1589</v>
      </c>
      <c r="H1142" s="40">
        <v>654</v>
      </c>
      <c r="I1142" s="2" t="s">
        <v>1599</v>
      </c>
      <c r="J1142">
        <v>5511</v>
      </c>
      <c r="K1142" s="3" t="str">
        <f>VLOOKUP(Table2[[#This Row],[Konto]],Table5[[Konto]:[Konto nimetus]],2,FALSE)</f>
        <v>Kinnistute, hoonete ja ruumide majandamiskulud</v>
      </c>
      <c r="L1142">
        <v>55</v>
      </c>
      <c r="M1142" t="str">
        <f t="shared" si="35"/>
        <v>55</v>
      </c>
      <c r="N1142" s="3" t="str">
        <f>VLOOKUP(Table2[[#This Row],[Tulu/kulu liik2]],Table5[[Tulu/kulu liik]:[Kontode koondnimetus]],4,FALSE)</f>
        <v>Muud tegevuskulud</v>
      </c>
      <c r="O1142" s="3" t="str">
        <f>VLOOKUP(Table2[[#This Row],[Tulu/kulu liik2]],Table5[],6,FALSE)</f>
        <v>Majandamiskulud</v>
      </c>
      <c r="P1142" s="3" t="str">
        <f>VLOOKUP(Table2[[#This Row],[Tulu/kulu liik2]],Table5[],5,FALSE)</f>
        <v>Põhitegevuse kulu</v>
      </c>
    </row>
    <row r="1143" spans="1:16" hidden="1" x14ac:dyDescent="0.25">
      <c r="A1143" t="str">
        <f t="shared" si="34"/>
        <v>10</v>
      </c>
      <c r="B1143" t="s">
        <v>356</v>
      </c>
      <c r="C1143" s="3" t="str">
        <f>VLOOKUP(Table2[[#This Row],[Tegevusala]],Table4[],2,FALSE)</f>
        <v xml:space="preserve"> Tammiku Kodu</v>
      </c>
      <c r="D1143" s="3" t="str">
        <f>VLOOKUP(Table2[[#This Row],[Tegevusala]],Table4[[Tegevusala kood]:[Tegevusala alanimetus]],4,FALSE)</f>
        <v>Eakate sotsiaalhoolekande asutused</v>
      </c>
      <c r="E1143" s="3" t="str">
        <f>VLOOKUP(Table2[[#This Row],[Tegevusala nimetus2]],Table4[[Tegevusala nimetus]:[Tegevusala koondnimetus]],2,FALSE)</f>
        <v>Sotsiaalne kaitse</v>
      </c>
      <c r="F1143" t="s">
        <v>1572</v>
      </c>
      <c r="G1143" t="s">
        <v>1590</v>
      </c>
      <c r="H1143" s="40">
        <v>296</v>
      </c>
      <c r="I1143" s="2" t="s">
        <v>1601</v>
      </c>
      <c r="J1143">
        <v>5511</v>
      </c>
      <c r="K1143" s="3" t="str">
        <f>VLOOKUP(Table2[[#This Row],[Konto]],Table5[[Konto]:[Konto nimetus]],2,FALSE)</f>
        <v>Kinnistute, hoonete ja ruumide majandamiskulud</v>
      </c>
      <c r="L1143">
        <v>55</v>
      </c>
      <c r="M1143" t="str">
        <f t="shared" si="35"/>
        <v>55</v>
      </c>
      <c r="N1143" s="3" t="str">
        <f>VLOOKUP(Table2[[#This Row],[Tulu/kulu liik2]],Table5[[Tulu/kulu liik]:[Kontode koondnimetus]],4,FALSE)</f>
        <v>Muud tegevuskulud</v>
      </c>
      <c r="O1143" s="3" t="str">
        <f>VLOOKUP(Table2[[#This Row],[Tulu/kulu liik2]],Table5[],6,FALSE)</f>
        <v>Majandamiskulud</v>
      </c>
      <c r="P1143" s="3" t="str">
        <f>VLOOKUP(Table2[[#This Row],[Tulu/kulu liik2]],Table5[],5,FALSE)</f>
        <v>Põhitegevuse kulu</v>
      </c>
    </row>
    <row r="1144" spans="1:16" hidden="1" x14ac:dyDescent="0.25">
      <c r="A1144" t="str">
        <f t="shared" si="34"/>
        <v>10</v>
      </c>
      <c r="B1144" t="s">
        <v>356</v>
      </c>
      <c r="C1144" s="3" t="str">
        <f>VLOOKUP(Table2[[#This Row],[Tegevusala]],Table4[],2,FALSE)</f>
        <v xml:space="preserve"> Tammiku Kodu</v>
      </c>
      <c r="D1144" s="3" t="str">
        <f>VLOOKUP(Table2[[#This Row],[Tegevusala]],Table4[[Tegevusala kood]:[Tegevusala alanimetus]],4,FALSE)</f>
        <v>Eakate sotsiaalhoolekande asutused</v>
      </c>
      <c r="E1144" s="3" t="str">
        <f>VLOOKUP(Table2[[#This Row],[Tegevusala nimetus2]],Table4[[Tegevusala nimetus]:[Tegevusala koondnimetus]],2,FALSE)</f>
        <v>Sotsiaalne kaitse</v>
      </c>
      <c r="F1144" t="s">
        <v>1572</v>
      </c>
      <c r="G1144" t="s">
        <v>1591</v>
      </c>
      <c r="H1144" s="40">
        <v>180</v>
      </c>
      <c r="I1144" s="2" t="s">
        <v>1600</v>
      </c>
      <c r="J1144">
        <v>5511</v>
      </c>
      <c r="K1144" s="3" t="str">
        <f>VLOOKUP(Table2[[#This Row],[Konto]],Table5[[Konto]:[Konto nimetus]],2,FALSE)</f>
        <v>Kinnistute, hoonete ja ruumide majandamiskulud</v>
      </c>
      <c r="L1144">
        <v>55</v>
      </c>
      <c r="M1144" t="str">
        <f t="shared" si="35"/>
        <v>55</v>
      </c>
      <c r="N1144" s="3" t="str">
        <f>VLOOKUP(Table2[[#This Row],[Tulu/kulu liik2]],Table5[[Tulu/kulu liik]:[Kontode koondnimetus]],4,FALSE)</f>
        <v>Muud tegevuskulud</v>
      </c>
      <c r="O1144" s="3" t="str">
        <f>VLOOKUP(Table2[[#This Row],[Tulu/kulu liik2]],Table5[],6,FALSE)</f>
        <v>Majandamiskulud</v>
      </c>
      <c r="P1144" s="3" t="str">
        <f>VLOOKUP(Table2[[#This Row],[Tulu/kulu liik2]],Table5[],5,FALSE)</f>
        <v>Põhitegevuse kulu</v>
      </c>
    </row>
    <row r="1145" spans="1:16" hidden="1" x14ac:dyDescent="0.25">
      <c r="A1145" t="str">
        <f t="shared" si="34"/>
        <v>10</v>
      </c>
      <c r="B1145" t="s">
        <v>356</v>
      </c>
      <c r="C1145" s="3" t="str">
        <f>VLOOKUP(Table2[[#This Row],[Tegevusala]],Table4[],2,FALSE)</f>
        <v xml:space="preserve"> Tammiku Kodu</v>
      </c>
      <c r="D1145" s="3" t="str">
        <f>VLOOKUP(Table2[[#This Row],[Tegevusala]],Table4[[Tegevusala kood]:[Tegevusala alanimetus]],4,FALSE)</f>
        <v>Eakate sotsiaalhoolekande asutused</v>
      </c>
      <c r="E1145" s="3" t="str">
        <f>VLOOKUP(Table2[[#This Row],[Tegevusala nimetus2]],Table4[[Tegevusala nimetus]:[Tegevusala koondnimetus]],2,FALSE)</f>
        <v>Sotsiaalne kaitse</v>
      </c>
      <c r="F1145" t="s">
        <v>1572</v>
      </c>
      <c r="G1145" t="s">
        <v>1604</v>
      </c>
      <c r="H1145" s="40">
        <v>1100</v>
      </c>
      <c r="J1145">
        <v>5514</v>
      </c>
      <c r="K1145" s="3" t="str">
        <f>VLOOKUP(Table2[[#This Row],[Konto]],Table5[[Konto]:[Konto nimetus]],2,FALSE)</f>
        <v>Info- ja kommunikatsioonitehnoliigised kulud</v>
      </c>
      <c r="L1145">
        <v>55</v>
      </c>
      <c r="M1145" t="str">
        <f t="shared" si="35"/>
        <v>55</v>
      </c>
      <c r="N1145" s="3" t="str">
        <f>VLOOKUP(Table2[[#This Row],[Tulu/kulu liik2]],Table5[[Tulu/kulu liik]:[Kontode koondnimetus]],4,FALSE)</f>
        <v>Muud tegevuskulud</v>
      </c>
      <c r="O1145" s="3" t="str">
        <f>VLOOKUP(Table2[[#This Row],[Tulu/kulu liik2]],Table5[],6,FALSE)</f>
        <v>Majandamiskulud</v>
      </c>
      <c r="P1145" s="3" t="str">
        <f>VLOOKUP(Table2[[#This Row],[Tulu/kulu liik2]],Table5[],5,FALSE)</f>
        <v>Põhitegevuse kulu</v>
      </c>
    </row>
    <row r="1146" spans="1:16" hidden="1" x14ac:dyDescent="0.25">
      <c r="A1146" t="str">
        <f t="shared" si="34"/>
        <v>10</v>
      </c>
      <c r="B1146" t="s">
        <v>358</v>
      </c>
      <c r="C1146" s="3" t="str">
        <f>VLOOKUP(Table2[[#This Row],[Tegevusala]],Table4[],2,FALSE)</f>
        <v xml:space="preserve"> Ulvi Kodu</v>
      </c>
      <c r="D1146" s="3" t="str">
        <f>VLOOKUP(Table2[[#This Row],[Tegevusala]],Table4[[Tegevusala kood]:[Tegevusala alanimetus]],4,FALSE)</f>
        <v>Eakate sotsiaalhoolekande asutused</v>
      </c>
      <c r="E1146" s="3" t="str">
        <f>VLOOKUP(Table2[[#This Row],[Tegevusala nimetus2]],Table4[[Tegevusala nimetus]:[Tegevusala koondnimetus]],2,FALSE)</f>
        <v>Sotsiaalne kaitse</v>
      </c>
      <c r="F1146" t="s">
        <v>630</v>
      </c>
      <c r="G1146" t="s">
        <v>1569</v>
      </c>
      <c r="H1146" s="40">
        <v>400000</v>
      </c>
      <c r="J1146">
        <v>1551</v>
      </c>
      <c r="K1146" s="3" t="str">
        <f>VLOOKUP(Table2[[#This Row],[Konto]],Table5[[Konto]:[Konto nimetus]],2,FALSE)</f>
        <v>Rajatiste ja hoonete soetamine ja renoveerimine</v>
      </c>
      <c r="L1146">
        <v>15</v>
      </c>
      <c r="M1146" t="str">
        <f t="shared" si="35"/>
        <v>15</v>
      </c>
      <c r="N1146" s="3" t="str">
        <f>VLOOKUP(Table2[[#This Row],[Tulu/kulu liik2]],Table5[[Tulu/kulu liik]:[Kontode koondnimetus]],4,FALSE)</f>
        <v>Põhivara soetus (-)</v>
      </c>
      <c r="O1146" s="3" t="str">
        <f>VLOOKUP(Table2[[#This Row],[Tulu/kulu liik2]],Table5[],6,FALSE)</f>
        <v>Põhivara soetus (-)</v>
      </c>
      <c r="P1146" s="3" t="str">
        <f>VLOOKUP(Table2[[#This Row],[Tulu/kulu liik2]],Table5[],5,FALSE)</f>
        <v>Investeerimistegevus</v>
      </c>
    </row>
    <row r="1147" spans="1:16" hidden="1" x14ac:dyDescent="0.25">
      <c r="A1147" t="str">
        <f t="shared" ref="A1147:A1209" si="36">LEFT(B1147,2)</f>
        <v>10</v>
      </c>
      <c r="B1147" s="3" t="s">
        <v>358</v>
      </c>
      <c r="C1147" s="3" t="str">
        <f>VLOOKUP(Table2[[#This Row],[Tegevusala]],Table4[],2,FALSE)</f>
        <v xml:space="preserve"> Ulvi Kodu</v>
      </c>
      <c r="D1147" s="3" t="str">
        <f>VLOOKUP(Table2[[#This Row],[Tegevusala]],Table4[[Tegevusala kood]:[Tegevusala alanimetus]],4,FALSE)</f>
        <v>Eakate sotsiaalhoolekande asutused</v>
      </c>
      <c r="E1147" s="3" t="str">
        <f>VLOOKUP(Table2[[#This Row],[Tegevusala nimetus2]],Table4[[Tegevusala nimetus]:[Tegevusala koondnimetus]],2,FALSE)</f>
        <v>Sotsiaalne kaitse</v>
      </c>
      <c r="F1147" t="s">
        <v>1619</v>
      </c>
      <c r="G1147" t="s">
        <v>382</v>
      </c>
      <c r="H1147" s="40">
        <v>120</v>
      </c>
      <c r="J1147">
        <v>5500</v>
      </c>
      <c r="K1147" s="3" t="str">
        <f>VLOOKUP(Table2[[#This Row],[Konto]],Table5[[Konto]:[Konto nimetus]],2,FALSE)</f>
        <v>Administreerimiskulud</v>
      </c>
      <c r="L1147">
        <v>55</v>
      </c>
      <c r="M1147" t="str">
        <f t="shared" ref="M1147:M1209" si="37">LEFT(J1147,2)</f>
        <v>55</v>
      </c>
      <c r="N1147" s="3" t="str">
        <f>VLOOKUP(Table2[[#This Row],[Tulu/kulu liik2]],Table5[[Tulu/kulu liik]:[Kontode koondnimetus]],4,FALSE)</f>
        <v>Muud tegevuskulud</v>
      </c>
      <c r="O1147" s="3" t="str">
        <f>VLOOKUP(Table2[[#This Row],[Tulu/kulu liik2]],Table5[],6,FALSE)</f>
        <v>Majandamiskulud</v>
      </c>
      <c r="P1147" s="3" t="str">
        <f>VLOOKUP(Table2[[#This Row],[Tulu/kulu liik2]],Table5[],5,FALSE)</f>
        <v>Põhitegevuse kulu</v>
      </c>
    </row>
    <row r="1148" spans="1:16" hidden="1" x14ac:dyDescent="0.25">
      <c r="A1148" t="str">
        <f t="shared" si="36"/>
        <v>10</v>
      </c>
      <c r="B1148" s="3" t="s">
        <v>358</v>
      </c>
      <c r="C1148" s="3" t="str">
        <f>VLOOKUP(Table2[[#This Row],[Tegevusala]],Table4[],2,FALSE)</f>
        <v xml:space="preserve"> Ulvi Kodu</v>
      </c>
      <c r="D1148" s="3" t="str">
        <f>VLOOKUP(Table2[[#This Row],[Tegevusala]],Table4[[Tegevusala kood]:[Tegevusala alanimetus]],4,FALSE)</f>
        <v>Eakate sotsiaalhoolekande asutused</v>
      </c>
      <c r="E1148" s="3" t="str">
        <f>VLOOKUP(Table2[[#This Row],[Tegevusala nimetus2]],Table4[[Tegevusala nimetus]:[Tegevusala koondnimetus]],2,FALSE)</f>
        <v>Sotsiaalne kaitse</v>
      </c>
      <c r="F1148" t="s">
        <v>1619</v>
      </c>
      <c r="G1148" t="s">
        <v>1621</v>
      </c>
      <c r="H1148" s="40">
        <v>170</v>
      </c>
      <c r="J1148">
        <v>5500</v>
      </c>
      <c r="K1148" s="3" t="str">
        <f>VLOOKUP(Table2[[#This Row],[Konto]],Table5[[Konto]:[Konto nimetus]],2,FALSE)</f>
        <v>Administreerimiskulud</v>
      </c>
      <c r="L1148">
        <v>55</v>
      </c>
      <c r="M1148" t="str">
        <f t="shared" si="37"/>
        <v>55</v>
      </c>
      <c r="N1148" s="3" t="str">
        <f>VLOOKUP(Table2[[#This Row],[Tulu/kulu liik2]],Table5[[Tulu/kulu liik]:[Kontode koondnimetus]],4,FALSE)</f>
        <v>Muud tegevuskulud</v>
      </c>
      <c r="O1148" s="3" t="str">
        <f>VLOOKUP(Table2[[#This Row],[Tulu/kulu liik2]],Table5[],6,FALSE)</f>
        <v>Majandamiskulud</v>
      </c>
      <c r="P1148" s="3" t="str">
        <f>VLOOKUP(Table2[[#This Row],[Tulu/kulu liik2]],Table5[],5,FALSE)</f>
        <v>Põhitegevuse kulu</v>
      </c>
    </row>
    <row r="1149" spans="1:16" hidden="1" x14ac:dyDescent="0.25">
      <c r="A1149" t="str">
        <f t="shared" si="36"/>
        <v>10</v>
      </c>
      <c r="B1149" s="3" t="s">
        <v>358</v>
      </c>
      <c r="C1149" s="3" t="str">
        <f>VLOOKUP(Table2[[#This Row],[Tegevusala]],Table4[],2,FALSE)</f>
        <v xml:space="preserve"> Ulvi Kodu</v>
      </c>
      <c r="D1149" s="3" t="str">
        <f>VLOOKUP(Table2[[#This Row],[Tegevusala]],Table4[[Tegevusala kood]:[Tegevusala alanimetus]],4,FALSE)</f>
        <v>Eakate sotsiaalhoolekande asutused</v>
      </c>
      <c r="E1149" s="3" t="str">
        <f>VLOOKUP(Table2[[#This Row],[Tegevusala nimetus2]],Table4[[Tegevusala nimetus]:[Tegevusala koondnimetus]],2,FALSE)</f>
        <v>Sotsiaalne kaitse</v>
      </c>
      <c r="F1149" t="s">
        <v>1619</v>
      </c>
      <c r="G1149" t="s">
        <v>1622</v>
      </c>
      <c r="H1149" s="40">
        <v>200</v>
      </c>
      <c r="J1149">
        <v>5500</v>
      </c>
      <c r="K1149" s="3" t="str">
        <f>VLOOKUP(Table2[[#This Row],[Konto]],Table5[[Konto]:[Konto nimetus]],2,FALSE)</f>
        <v>Administreerimiskulud</v>
      </c>
      <c r="L1149">
        <v>55</v>
      </c>
      <c r="M1149" t="str">
        <f t="shared" si="37"/>
        <v>55</v>
      </c>
      <c r="N1149" s="3" t="str">
        <f>VLOOKUP(Table2[[#This Row],[Tulu/kulu liik2]],Table5[[Tulu/kulu liik]:[Kontode koondnimetus]],4,FALSE)</f>
        <v>Muud tegevuskulud</v>
      </c>
      <c r="O1149" s="3" t="str">
        <f>VLOOKUP(Table2[[#This Row],[Tulu/kulu liik2]],Table5[],6,FALSE)</f>
        <v>Majandamiskulud</v>
      </c>
      <c r="P1149" s="3" t="str">
        <f>VLOOKUP(Table2[[#This Row],[Tulu/kulu liik2]],Table5[],5,FALSE)</f>
        <v>Põhitegevuse kulu</v>
      </c>
    </row>
    <row r="1150" spans="1:16" hidden="1" x14ac:dyDescent="0.25">
      <c r="A1150" t="str">
        <f t="shared" si="36"/>
        <v>10</v>
      </c>
      <c r="B1150" s="3" t="s">
        <v>358</v>
      </c>
      <c r="C1150" s="3" t="str">
        <f>VLOOKUP(Table2[[#This Row],[Tegevusala]],Table4[],2,FALSE)</f>
        <v xml:space="preserve"> Ulvi Kodu</v>
      </c>
      <c r="D1150" s="3" t="str">
        <f>VLOOKUP(Table2[[#This Row],[Tegevusala]],Table4[[Tegevusala kood]:[Tegevusala alanimetus]],4,FALSE)</f>
        <v>Eakate sotsiaalhoolekande asutused</v>
      </c>
      <c r="E1150" s="3" t="str">
        <f>VLOOKUP(Table2[[#This Row],[Tegevusala nimetus2]],Table4[[Tegevusala nimetus]:[Tegevusala koondnimetus]],2,FALSE)</f>
        <v>Sotsiaalne kaitse</v>
      </c>
      <c r="F1150" t="s">
        <v>1619</v>
      </c>
      <c r="G1150" t="s">
        <v>1500</v>
      </c>
      <c r="H1150" s="40">
        <v>650</v>
      </c>
      <c r="J1150">
        <v>5504</v>
      </c>
      <c r="K1150" s="3" t="str">
        <f>VLOOKUP(Table2[[#This Row],[Konto]],Table5[[Konto]:[Konto nimetus]],2,FALSE)</f>
        <v>Koolituskulud</v>
      </c>
      <c r="L1150">
        <v>55</v>
      </c>
      <c r="M1150" t="str">
        <f t="shared" si="37"/>
        <v>55</v>
      </c>
      <c r="N1150" s="3" t="str">
        <f>VLOOKUP(Table2[[#This Row],[Tulu/kulu liik2]],Table5[[Tulu/kulu liik]:[Kontode koondnimetus]],4,FALSE)</f>
        <v>Muud tegevuskulud</v>
      </c>
      <c r="O1150" s="3" t="str">
        <f>VLOOKUP(Table2[[#This Row],[Tulu/kulu liik2]],Table5[],6,FALSE)</f>
        <v>Majandamiskulud</v>
      </c>
      <c r="P1150" s="3" t="str">
        <f>VLOOKUP(Table2[[#This Row],[Tulu/kulu liik2]],Table5[],5,FALSE)</f>
        <v>Põhitegevuse kulu</v>
      </c>
    </row>
    <row r="1151" spans="1:16" hidden="1" x14ac:dyDescent="0.25">
      <c r="A1151" t="str">
        <f t="shared" si="36"/>
        <v>10</v>
      </c>
      <c r="B1151" s="3" t="s">
        <v>358</v>
      </c>
      <c r="C1151" s="3" t="str">
        <f>VLOOKUP(Table2[[#This Row],[Tegevusala]],Table4[],2,FALSE)</f>
        <v xml:space="preserve"> Ulvi Kodu</v>
      </c>
      <c r="D1151" s="3" t="str">
        <f>VLOOKUP(Table2[[#This Row],[Tegevusala]],Table4[[Tegevusala kood]:[Tegevusala alanimetus]],4,FALSE)</f>
        <v>Eakate sotsiaalhoolekande asutused</v>
      </c>
      <c r="E1151" s="3" t="str">
        <f>VLOOKUP(Table2[[#This Row],[Tegevusala nimetus2]],Table4[[Tegevusala nimetus]:[Tegevusala koondnimetus]],2,FALSE)</f>
        <v>Sotsiaalne kaitse</v>
      </c>
      <c r="F1151" t="s">
        <v>1619</v>
      </c>
      <c r="G1151" t="s">
        <v>1628</v>
      </c>
      <c r="H1151" s="40">
        <v>1650</v>
      </c>
      <c r="I1151" s="2" t="s">
        <v>1629</v>
      </c>
      <c r="J1151">
        <v>5513</v>
      </c>
      <c r="K1151" s="3" t="str">
        <f>VLOOKUP(Table2[[#This Row],[Konto]],Table5[[Konto]:[Konto nimetus]],2,FALSE)</f>
        <v>Sõidukite ülalpidamise kulud</v>
      </c>
      <c r="L1151">
        <v>55</v>
      </c>
      <c r="M1151" t="str">
        <f t="shared" si="37"/>
        <v>55</v>
      </c>
      <c r="N1151" s="3" t="str">
        <f>VLOOKUP(Table2[[#This Row],[Tulu/kulu liik2]],Table5[[Tulu/kulu liik]:[Kontode koondnimetus]],4,FALSE)</f>
        <v>Muud tegevuskulud</v>
      </c>
      <c r="O1151" s="3" t="str">
        <f>VLOOKUP(Table2[[#This Row],[Tulu/kulu liik2]],Table5[],6,FALSE)</f>
        <v>Majandamiskulud</v>
      </c>
      <c r="P1151" s="3" t="str">
        <f>VLOOKUP(Table2[[#This Row],[Tulu/kulu liik2]],Table5[],5,FALSE)</f>
        <v>Põhitegevuse kulu</v>
      </c>
    </row>
    <row r="1152" spans="1:16" hidden="1" x14ac:dyDescent="0.25">
      <c r="A1152" t="str">
        <f t="shared" si="36"/>
        <v>10</v>
      </c>
      <c r="B1152" s="3" t="s">
        <v>358</v>
      </c>
      <c r="C1152" s="3" t="str">
        <f>VLOOKUP(Table2[[#This Row],[Tegevusala]],Table4[],2,FALSE)</f>
        <v xml:space="preserve"> Ulvi Kodu</v>
      </c>
      <c r="D1152" s="3" t="str">
        <f>VLOOKUP(Table2[[#This Row],[Tegevusala]],Table4[[Tegevusala kood]:[Tegevusala alanimetus]],4,FALSE)</f>
        <v>Eakate sotsiaalhoolekande asutused</v>
      </c>
      <c r="E1152" s="3" t="str">
        <f>VLOOKUP(Table2[[#This Row],[Tegevusala nimetus2]],Table4[[Tegevusala nimetus]:[Tegevusala koondnimetus]],2,FALSE)</f>
        <v>Sotsiaalne kaitse</v>
      </c>
      <c r="F1152" t="s">
        <v>1619</v>
      </c>
      <c r="G1152" t="s">
        <v>1632</v>
      </c>
      <c r="H1152" s="40">
        <v>600</v>
      </c>
      <c r="J1152">
        <v>5515</v>
      </c>
      <c r="K1152" s="3" t="str">
        <f>VLOOKUP(Table2[[#This Row],[Konto]],Table5[[Konto]:[Konto nimetus]],2,FALSE)</f>
        <v>Inventari kulud, v.a infotehnoloogia ja kaitseotstarbelised kulud</v>
      </c>
      <c r="L1152">
        <v>55</v>
      </c>
      <c r="M1152" t="str">
        <f t="shared" si="37"/>
        <v>55</v>
      </c>
      <c r="N1152" s="3" t="str">
        <f>VLOOKUP(Table2[[#This Row],[Tulu/kulu liik2]],Table5[[Tulu/kulu liik]:[Kontode koondnimetus]],4,FALSE)</f>
        <v>Muud tegevuskulud</v>
      </c>
      <c r="O1152" s="3" t="str">
        <f>VLOOKUP(Table2[[#This Row],[Tulu/kulu liik2]],Table5[],6,FALSE)</f>
        <v>Majandamiskulud</v>
      </c>
      <c r="P1152" s="3" t="str">
        <f>VLOOKUP(Table2[[#This Row],[Tulu/kulu liik2]],Table5[],5,FALSE)</f>
        <v>Põhitegevuse kulu</v>
      </c>
    </row>
    <row r="1153" spans="1:16" hidden="1" x14ac:dyDescent="0.25">
      <c r="A1153" t="str">
        <f t="shared" si="36"/>
        <v>10</v>
      </c>
      <c r="B1153" s="3" t="s">
        <v>358</v>
      </c>
      <c r="C1153" s="3" t="str">
        <f>VLOOKUP(Table2[[#This Row],[Tegevusala]],Table4[],2,FALSE)</f>
        <v xml:space="preserve"> Ulvi Kodu</v>
      </c>
      <c r="D1153" s="3" t="str">
        <f>VLOOKUP(Table2[[#This Row],[Tegevusala]],Table4[[Tegevusala kood]:[Tegevusala alanimetus]],4,FALSE)</f>
        <v>Eakate sotsiaalhoolekande asutused</v>
      </c>
      <c r="E1153" s="3" t="str">
        <f>VLOOKUP(Table2[[#This Row],[Tegevusala nimetus2]],Table4[[Tegevusala nimetus]:[Tegevusala koondnimetus]],2,FALSE)</f>
        <v>Sotsiaalne kaitse</v>
      </c>
      <c r="F1153" t="s">
        <v>1619</v>
      </c>
      <c r="G1153" t="s">
        <v>1633</v>
      </c>
      <c r="H1153" s="40">
        <v>230</v>
      </c>
      <c r="J1153">
        <v>5515</v>
      </c>
      <c r="K1153" s="3" t="str">
        <f>VLOOKUP(Table2[[#This Row],[Konto]],Table5[[Konto]:[Konto nimetus]],2,FALSE)</f>
        <v>Inventari kulud, v.a infotehnoloogia ja kaitseotstarbelised kulud</v>
      </c>
      <c r="L1153">
        <v>55</v>
      </c>
      <c r="M1153" t="str">
        <f t="shared" si="37"/>
        <v>55</v>
      </c>
      <c r="N1153" s="3" t="str">
        <f>VLOOKUP(Table2[[#This Row],[Tulu/kulu liik2]],Table5[[Tulu/kulu liik]:[Kontode koondnimetus]],4,FALSE)</f>
        <v>Muud tegevuskulud</v>
      </c>
      <c r="O1153" s="3" t="str">
        <f>VLOOKUP(Table2[[#This Row],[Tulu/kulu liik2]],Table5[],6,FALSE)</f>
        <v>Majandamiskulud</v>
      </c>
      <c r="P1153" s="3" t="str">
        <f>VLOOKUP(Table2[[#This Row],[Tulu/kulu liik2]],Table5[],5,FALSE)</f>
        <v>Põhitegevuse kulu</v>
      </c>
    </row>
    <row r="1154" spans="1:16" hidden="1" x14ac:dyDescent="0.25">
      <c r="A1154" t="str">
        <f t="shared" si="36"/>
        <v>10</v>
      </c>
      <c r="B1154" s="3" t="s">
        <v>358</v>
      </c>
      <c r="C1154" s="3" t="str">
        <f>VLOOKUP(Table2[[#This Row],[Tegevusala]],Table4[],2,FALSE)</f>
        <v xml:space="preserve"> Ulvi Kodu</v>
      </c>
      <c r="D1154" s="3" t="str">
        <f>VLOOKUP(Table2[[#This Row],[Tegevusala]],Table4[[Tegevusala kood]:[Tegevusala alanimetus]],4,FALSE)</f>
        <v>Eakate sotsiaalhoolekande asutused</v>
      </c>
      <c r="E1154" s="3" t="str">
        <f>VLOOKUP(Table2[[#This Row],[Tegevusala nimetus2]],Table4[[Tegevusala nimetus]:[Tegevusala koondnimetus]],2,FALSE)</f>
        <v>Sotsiaalne kaitse</v>
      </c>
      <c r="F1154" t="s">
        <v>1619</v>
      </c>
      <c r="G1154" t="s">
        <v>1634</v>
      </c>
      <c r="H1154" s="40">
        <v>600</v>
      </c>
      <c r="J1154">
        <v>5515</v>
      </c>
      <c r="K1154" s="3" t="str">
        <f>VLOOKUP(Table2[[#This Row],[Konto]],Table5[[Konto]:[Konto nimetus]],2,FALSE)</f>
        <v>Inventari kulud, v.a infotehnoloogia ja kaitseotstarbelised kulud</v>
      </c>
      <c r="L1154">
        <v>55</v>
      </c>
      <c r="M1154" t="str">
        <f t="shared" si="37"/>
        <v>55</v>
      </c>
      <c r="N1154" s="3" t="str">
        <f>VLOOKUP(Table2[[#This Row],[Tulu/kulu liik2]],Table5[[Tulu/kulu liik]:[Kontode koondnimetus]],4,FALSE)</f>
        <v>Muud tegevuskulud</v>
      </c>
      <c r="O1154" s="3" t="str">
        <f>VLOOKUP(Table2[[#This Row],[Tulu/kulu liik2]],Table5[],6,FALSE)</f>
        <v>Majandamiskulud</v>
      </c>
      <c r="P1154" s="3" t="str">
        <f>VLOOKUP(Table2[[#This Row],[Tulu/kulu liik2]],Table5[],5,FALSE)</f>
        <v>Põhitegevuse kulu</v>
      </c>
    </row>
    <row r="1155" spans="1:16" hidden="1" x14ac:dyDescent="0.25">
      <c r="A1155" t="str">
        <f t="shared" si="36"/>
        <v>10</v>
      </c>
      <c r="B1155" s="3" t="s">
        <v>358</v>
      </c>
      <c r="C1155" s="3" t="str">
        <f>VLOOKUP(Table2[[#This Row],[Tegevusala]],Table4[],2,FALSE)</f>
        <v xml:space="preserve"> Ulvi Kodu</v>
      </c>
      <c r="D1155" s="3" t="str">
        <f>VLOOKUP(Table2[[#This Row],[Tegevusala]],Table4[[Tegevusala kood]:[Tegevusala alanimetus]],4,FALSE)</f>
        <v>Eakate sotsiaalhoolekande asutused</v>
      </c>
      <c r="E1155" s="3" t="str">
        <f>VLOOKUP(Table2[[#This Row],[Tegevusala nimetus2]],Table4[[Tegevusala nimetus]:[Tegevusala koondnimetus]],2,FALSE)</f>
        <v>Sotsiaalne kaitse</v>
      </c>
      <c r="F1155" t="s">
        <v>1619</v>
      </c>
      <c r="G1155" t="s">
        <v>1635</v>
      </c>
      <c r="H1155" s="40">
        <v>500</v>
      </c>
      <c r="J1155">
        <v>5515</v>
      </c>
      <c r="K1155" s="3" t="str">
        <f>VLOOKUP(Table2[[#This Row],[Konto]],Table5[[Konto]:[Konto nimetus]],2,FALSE)</f>
        <v>Inventari kulud, v.a infotehnoloogia ja kaitseotstarbelised kulud</v>
      </c>
      <c r="L1155">
        <v>55</v>
      </c>
      <c r="M1155" t="str">
        <f t="shared" si="37"/>
        <v>55</v>
      </c>
      <c r="N1155" s="3" t="str">
        <f>VLOOKUP(Table2[[#This Row],[Tulu/kulu liik2]],Table5[[Tulu/kulu liik]:[Kontode koondnimetus]],4,FALSE)</f>
        <v>Muud tegevuskulud</v>
      </c>
      <c r="O1155" s="3" t="str">
        <f>VLOOKUP(Table2[[#This Row],[Tulu/kulu liik2]],Table5[],6,FALSE)</f>
        <v>Majandamiskulud</v>
      </c>
      <c r="P1155" s="3" t="str">
        <f>VLOOKUP(Table2[[#This Row],[Tulu/kulu liik2]],Table5[],5,FALSE)</f>
        <v>Põhitegevuse kulu</v>
      </c>
    </row>
    <row r="1156" spans="1:16" hidden="1" x14ac:dyDescent="0.25">
      <c r="A1156" t="str">
        <f t="shared" si="36"/>
        <v>10</v>
      </c>
      <c r="B1156" s="3" t="s">
        <v>358</v>
      </c>
      <c r="C1156" s="3" t="str">
        <f>VLOOKUP(Table2[[#This Row],[Tegevusala]],Table4[],2,FALSE)</f>
        <v xml:space="preserve"> Ulvi Kodu</v>
      </c>
      <c r="D1156" s="3" t="str">
        <f>VLOOKUP(Table2[[#This Row],[Tegevusala]],Table4[[Tegevusala kood]:[Tegevusala alanimetus]],4,FALSE)</f>
        <v>Eakate sotsiaalhoolekande asutused</v>
      </c>
      <c r="E1156" s="3" t="str">
        <f>VLOOKUP(Table2[[#This Row],[Tegevusala nimetus2]],Table4[[Tegevusala nimetus]:[Tegevusala koondnimetus]],2,FALSE)</f>
        <v>Sotsiaalne kaitse</v>
      </c>
      <c r="F1156" t="s">
        <v>1619</v>
      </c>
      <c r="G1156" t="s">
        <v>1636</v>
      </c>
      <c r="H1156" s="40">
        <v>0</v>
      </c>
      <c r="I1156" s="2" t="s">
        <v>2122</v>
      </c>
      <c r="J1156">
        <v>5515</v>
      </c>
      <c r="K1156" s="3" t="str">
        <f>VLOOKUP(Table2[[#This Row],[Konto]],Table5[[Konto]:[Konto nimetus]],2,FALSE)</f>
        <v>Inventari kulud, v.a infotehnoloogia ja kaitseotstarbelised kulud</v>
      </c>
      <c r="L1156">
        <v>55</v>
      </c>
      <c r="M1156" t="str">
        <f t="shared" si="37"/>
        <v>55</v>
      </c>
      <c r="N1156" s="3" t="str">
        <f>VLOOKUP(Table2[[#This Row],[Tulu/kulu liik2]],Table5[[Tulu/kulu liik]:[Kontode koondnimetus]],4,FALSE)</f>
        <v>Muud tegevuskulud</v>
      </c>
      <c r="O1156" s="3" t="str">
        <f>VLOOKUP(Table2[[#This Row],[Tulu/kulu liik2]],Table5[],6,FALSE)</f>
        <v>Majandamiskulud</v>
      </c>
      <c r="P1156" s="3" t="str">
        <f>VLOOKUP(Table2[[#This Row],[Tulu/kulu liik2]],Table5[],5,FALSE)</f>
        <v>Põhitegevuse kulu</v>
      </c>
    </row>
    <row r="1157" spans="1:16" hidden="1" x14ac:dyDescent="0.25">
      <c r="A1157" t="str">
        <f t="shared" si="36"/>
        <v>10</v>
      </c>
      <c r="B1157" s="3" t="s">
        <v>358</v>
      </c>
      <c r="C1157" s="3" t="str">
        <f>VLOOKUP(Table2[[#This Row],[Tegevusala]],Table4[],2,FALSE)</f>
        <v xml:space="preserve"> Ulvi Kodu</v>
      </c>
      <c r="D1157" s="3" t="str">
        <f>VLOOKUP(Table2[[#This Row],[Tegevusala]],Table4[[Tegevusala kood]:[Tegevusala alanimetus]],4,FALSE)</f>
        <v>Eakate sotsiaalhoolekande asutused</v>
      </c>
      <c r="E1157" s="3" t="str">
        <f>VLOOKUP(Table2[[#This Row],[Tegevusala nimetus2]],Table4[[Tegevusala nimetus]:[Tegevusala koondnimetus]],2,FALSE)</f>
        <v>Sotsiaalne kaitse</v>
      </c>
      <c r="F1157" t="s">
        <v>1619</v>
      </c>
      <c r="G1157" t="s">
        <v>1637</v>
      </c>
      <c r="H1157" s="40">
        <v>200</v>
      </c>
      <c r="J1157">
        <v>5515</v>
      </c>
      <c r="K1157" s="3" t="str">
        <f>VLOOKUP(Table2[[#This Row],[Konto]],Table5[[Konto]:[Konto nimetus]],2,FALSE)</f>
        <v>Inventari kulud, v.a infotehnoloogia ja kaitseotstarbelised kulud</v>
      </c>
      <c r="L1157">
        <v>55</v>
      </c>
      <c r="M1157" t="str">
        <f t="shared" si="37"/>
        <v>55</v>
      </c>
      <c r="N1157" s="3" t="str">
        <f>VLOOKUP(Table2[[#This Row],[Tulu/kulu liik2]],Table5[[Tulu/kulu liik]:[Kontode koondnimetus]],4,FALSE)</f>
        <v>Muud tegevuskulud</v>
      </c>
      <c r="O1157" s="3" t="str">
        <f>VLOOKUP(Table2[[#This Row],[Tulu/kulu liik2]],Table5[],6,FALSE)</f>
        <v>Majandamiskulud</v>
      </c>
      <c r="P1157" s="3" t="str">
        <f>VLOOKUP(Table2[[#This Row],[Tulu/kulu liik2]],Table5[],5,FALSE)</f>
        <v>Põhitegevuse kulu</v>
      </c>
    </row>
    <row r="1158" spans="1:16" hidden="1" x14ac:dyDescent="0.25">
      <c r="A1158" t="str">
        <f t="shared" si="36"/>
        <v>10</v>
      </c>
      <c r="B1158" s="3" t="s">
        <v>358</v>
      </c>
      <c r="C1158" s="3" t="str">
        <f>VLOOKUP(Table2[[#This Row],[Tegevusala]],Table4[],2,FALSE)</f>
        <v xml:space="preserve"> Ulvi Kodu</v>
      </c>
      <c r="D1158" s="3" t="str">
        <f>VLOOKUP(Table2[[#This Row],[Tegevusala]],Table4[[Tegevusala kood]:[Tegevusala alanimetus]],4,FALSE)</f>
        <v>Eakate sotsiaalhoolekande asutused</v>
      </c>
      <c r="E1158" s="3" t="str">
        <f>VLOOKUP(Table2[[#This Row],[Tegevusala nimetus2]],Table4[[Tegevusala nimetus]:[Tegevusala koondnimetus]],2,FALSE)</f>
        <v>Sotsiaalne kaitse</v>
      </c>
      <c r="F1158" t="s">
        <v>1619</v>
      </c>
      <c r="G1158" t="s">
        <v>1638</v>
      </c>
      <c r="H1158" s="40">
        <v>0</v>
      </c>
      <c r="I1158" s="2" t="s">
        <v>2122</v>
      </c>
      <c r="J1158">
        <v>5515</v>
      </c>
      <c r="K1158" s="3" t="str">
        <f>VLOOKUP(Table2[[#This Row],[Konto]],Table5[[Konto]:[Konto nimetus]],2,FALSE)</f>
        <v>Inventari kulud, v.a infotehnoloogia ja kaitseotstarbelised kulud</v>
      </c>
      <c r="L1158">
        <v>55</v>
      </c>
      <c r="M1158" t="str">
        <f t="shared" si="37"/>
        <v>55</v>
      </c>
      <c r="N1158" s="3" t="str">
        <f>VLOOKUP(Table2[[#This Row],[Tulu/kulu liik2]],Table5[[Tulu/kulu liik]:[Kontode koondnimetus]],4,FALSE)</f>
        <v>Muud tegevuskulud</v>
      </c>
      <c r="O1158" s="3" t="str">
        <f>VLOOKUP(Table2[[#This Row],[Tulu/kulu liik2]],Table5[],6,FALSE)</f>
        <v>Majandamiskulud</v>
      </c>
      <c r="P1158" s="3" t="str">
        <f>VLOOKUP(Table2[[#This Row],[Tulu/kulu liik2]],Table5[],5,FALSE)</f>
        <v>Põhitegevuse kulu</v>
      </c>
    </row>
    <row r="1159" spans="1:16" hidden="1" x14ac:dyDescent="0.25">
      <c r="A1159" t="str">
        <f t="shared" si="36"/>
        <v>10</v>
      </c>
      <c r="B1159" s="3" t="s">
        <v>358</v>
      </c>
      <c r="C1159" s="3" t="str">
        <f>VLOOKUP(Table2[[#This Row],[Tegevusala]],Table4[],2,FALSE)</f>
        <v xml:space="preserve"> Ulvi Kodu</v>
      </c>
      <c r="D1159" s="3" t="str">
        <f>VLOOKUP(Table2[[#This Row],[Tegevusala]],Table4[[Tegevusala kood]:[Tegevusala alanimetus]],4,FALSE)</f>
        <v>Eakate sotsiaalhoolekande asutused</v>
      </c>
      <c r="E1159" s="3" t="str">
        <f>VLOOKUP(Table2[[#This Row],[Tegevusala nimetus2]],Table4[[Tegevusala nimetus]:[Tegevusala koondnimetus]],2,FALSE)</f>
        <v>Sotsiaalne kaitse</v>
      </c>
      <c r="F1159" t="s">
        <v>1619</v>
      </c>
      <c r="G1159" t="s">
        <v>1118</v>
      </c>
      <c r="H1159" s="40">
        <v>24012</v>
      </c>
      <c r="J1159">
        <v>5521</v>
      </c>
      <c r="K1159" s="3" t="str">
        <f>VLOOKUP(Table2[[#This Row],[Konto]],Table5[[Konto]:[Konto nimetus]],2,FALSE)</f>
        <v>Toiduained ja toitlustusteenused</v>
      </c>
      <c r="L1159">
        <v>55</v>
      </c>
      <c r="M1159" t="str">
        <f t="shared" si="37"/>
        <v>55</v>
      </c>
      <c r="N1159" s="3" t="str">
        <f>VLOOKUP(Table2[[#This Row],[Tulu/kulu liik2]],Table5[[Tulu/kulu liik]:[Kontode koondnimetus]],4,FALSE)</f>
        <v>Muud tegevuskulud</v>
      </c>
      <c r="O1159" s="3" t="str">
        <f>VLOOKUP(Table2[[#This Row],[Tulu/kulu liik2]],Table5[],6,FALSE)</f>
        <v>Majandamiskulud</v>
      </c>
      <c r="P1159" s="3" t="str">
        <f>VLOOKUP(Table2[[#This Row],[Tulu/kulu liik2]],Table5[],5,FALSE)</f>
        <v>Põhitegevuse kulu</v>
      </c>
    </row>
    <row r="1160" spans="1:16" hidden="1" x14ac:dyDescent="0.25">
      <c r="A1160" t="str">
        <f t="shared" si="36"/>
        <v>10</v>
      </c>
      <c r="B1160" s="3" t="s">
        <v>358</v>
      </c>
      <c r="C1160" s="3" t="str">
        <f>VLOOKUP(Table2[[#This Row],[Tegevusala]],Table4[],2,FALSE)</f>
        <v xml:space="preserve"> Ulvi Kodu</v>
      </c>
      <c r="D1160" s="3" t="str">
        <f>VLOOKUP(Table2[[#This Row],[Tegevusala]],Table4[[Tegevusala kood]:[Tegevusala alanimetus]],4,FALSE)</f>
        <v>Eakate sotsiaalhoolekande asutused</v>
      </c>
      <c r="E1160" s="3" t="str">
        <f>VLOOKUP(Table2[[#This Row],[Tegevusala nimetus2]],Table4[[Tegevusala nimetus]:[Tegevusala koondnimetus]],2,FALSE)</f>
        <v>Sotsiaalne kaitse</v>
      </c>
      <c r="F1160" t="s">
        <v>1619</v>
      </c>
      <c r="G1160" t="s">
        <v>1639</v>
      </c>
      <c r="H1160" s="40">
        <v>2200</v>
      </c>
      <c r="J1160">
        <v>5521</v>
      </c>
      <c r="K1160" s="3" t="str">
        <f>VLOOKUP(Table2[[#This Row],[Konto]],Table5[[Konto]:[Konto nimetus]],2,FALSE)</f>
        <v>Toiduained ja toitlustusteenused</v>
      </c>
      <c r="L1160">
        <v>55</v>
      </c>
      <c r="M1160" t="str">
        <f t="shared" si="37"/>
        <v>55</v>
      </c>
      <c r="N1160" s="3" t="str">
        <f>VLOOKUP(Table2[[#This Row],[Tulu/kulu liik2]],Table5[[Tulu/kulu liik]:[Kontode koondnimetus]],4,FALSE)</f>
        <v>Muud tegevuskulud</v>
      </c>
      <c r="O1160" s="3" t="str">
        <f>VLOOKUP(Table2[[#This Row],[Tulu/kulu liik2]],Table5[],6,FALSE)</f>
        <v>Majandamiskulud</v>
      </c>
      <c r="P1160" s="3" t="str">
        <f>VLOOKUP(Table2[[#This Row],[Tulu/kulu liik2]],Table5[],5,FALSE)</f>
        <v>Põhitegevuse kulu</v>
      </c>
    </row>
    <row r="1161" spans="1:16" hidden="1" x14ac:dyDescent="0.25">
      <c r="A1161" t="str">
        <f t="shared" si="36"/>
        <v>10</v>
      </c>
      <c r="B1161" s="3" t="s">
        <v>358</v>
      </c>
      <c r="C1161" s="3" t="str">
        <f>VLOOKUP(Table2[[#This Row],[Tegevusala]],Table4[],2,FALSE)</f>
        <v xml:space="preserve"> Ulvi Kodu</v>
      </c>
      <c r="D1161" s="3" t="str">
        <f>VLOOKUP(Table2[[#This Row],[Tegevusala]],Table4[[Tegevusala kood]:[Tegevusala alanimetus]],4,FALSE)</f>
        <v>Eakate sotsiaalhoolekande asutused</v>
      </c>
      <c r="E1161" s="3" t="str">
        <f>VLOOKUP(Table2[[#This Row],[Tegevusala nimetus2]],Table4[[Tegevusala nimetus]:[Tegevusala koondnimetus]],2,FALSE)</f>
        <v>Sotsiaalne kaitse</v>
      </c>
      <c r="F1161" t="s">
        <v>1619</v>
      </c>
      <c r="G1161" t="s">
        <v>1640</v>
      </c>
      <c r="H1161" s="40">
        <v>200</v>
      </c>
      <c r="J1161">
        <v>5522</v>
      </c>
      <c r="K1161" s="3" t="str">
        <f>VLOOKUP(Table2[[#This Row],[Konto]],Table5[[Konto]:[Konto nimetus]],2,FALSE)</f>
        <v>Meditsiinikulud ja hügieenitarbed</v>
      </c>
      <c r="L1161">
        <v>55</v>
      </c>
      <c r="M1161" t="str">
        <f t="shared" si="37"/>
        <v>55</v>
      </c>
      <c r="N1161" s="3" t="str">
        <f>VLOOKUP(Table2[[#This Row],[Tulu/kulu liik2]],Table5[[Tulu/kulu liik]:[Kontode koondnimetus]],4,FALSE)</f>
        <v>Muud tegevuskulud</v>
      </c>
      <c r="O1161" s="3" t="str">
        <f>VLOOKUP(Table2[[#This Row],[Tulu/kulu liik2]],Table5[],6,FALSE)</f>
        <v>Majandamiskulud</v>
      </c>
      <c r="P1161" s="3" t="str">
        <f>VLOOKUP(Table2[[#This Row],[Tulu/kulu liik2]],Table5[],5,FALSE)</f>
        <v>Põhitegevuse kulu</v>
      </c>
    </row>
    <row r="1162" spans="1:16" hidden="1" x14ac:dyDescent="0.25">
      <c r="A1162" t="str">
        <f t="shared" si="36"/>
        <v>10</v>
      </c>
      <c r="B1162" s="3" t="s">
        <v>358</v>
      </c>
      <c r="C1162" s="3" t="str">
        <f>VLOOKUP(Table2[[#This Row],[Tegevusala]],Table4[],2,FALSE)</f>
        <v xml:space="preserve"> Ulvi Kodu</v>
      </c>
      <c r="D1162" s="3" t="str">
        <f>VLOOKUP(Table2[[#This Row],[Tegevusala]],Table4[[Tegevusala kood]:[Tegevusala alanimetus]],4,FALSE)</f>
        <v>Eakate sotsiaalhoolekande asutused</v>
      </c>
      <c r="E1162" s="3" t="str">
        <f>VLOOKUP(Table2[[#This Row],[Tegevusala nimetus2]],Table4[[Tegevusala nimetus]:[Tegevusala koondnimetus]],2,FALSE)</f>
        <v>Sotsiaalne kaitse</v>
      </c>
      <c r="F1162" t="s">
        <v>1619</v>
      </c>
      <c r="G1162" t="s">
        <v>1641</v>
      </c>
      <c r="H1162" s="40">
        <v>0</v>
      </c>
      <c r="I1162" s="2" t="s">
        <v>2122</v>
      </c>
      <c r="J1162">
        <v>5511</v>
      </c>
      <c r="K1162" s="3" t="str">
        <f>VLOOKUP(Table2[[#This Row],[Konto]],Table5[[Konto]:[Konto nimetus]],2,FALSE)</f>
        <v>Kinnistute, hoonete ja ruumide majandamiskulud</v>
      </c>
      <c r="L1162">
        <v>55</v>
      </c>
      <c r="M1162" t="str">
        <f t="shared" si="37"/>
        <v>55</v>
      </c>
      <c r="N1162" s="3" t="str">
        <f>VLOOKUP(Table2[[#This Row],[Tulu/kulu liik2]],Table5[[Tulu/kulu liik]:[Kontode koondnimetus]],4,FALSE)</f>
        <v>Muud tegevuskulud</v>
      </c>
      <c r="O1162" s="3" t="str">
        <f>VLOOKUP(Table2[[#This Row],[Tulu/kulu liik2]],Table5[],6,FALSE)</f>
        <v>Majandamiskulud</v>
      </c>
      <c r="P1162" s="3" t="str">
        <f>VLOOKUP(Table2[[#This Row],[Tulu/kulu liik2]],Table5[],5,FALSE)</f>
        <v>Põhitegevuse kulu</v>
      </c>
    </row>
    <row r="1163" spans="1:16" hidden="1" x14ac:dyDescent="0.25">
      <c r="A1163" t="str">
        <f t="shared" si="36"/>
        <v>10</v>
      </c>
      <c r="B1163" s="3" t="s">
        <v>358</v>
      </c>
      <c r="C1163" s="3" t="str">
        <f>VLOOKUP(Table2[[#This Row],[Tegevusala]],Table4[],2,FALSE)</f>
        <v xml:space="preserve"> Ulvi Kodu</v>
      </c>
      <c r="D1163" s="3" t="str">
        <f>VLOOKUP(Table2[[#This Row],[Tegevusala]],Table4[[Tegevusala kood]:[Tegevusala alanimetus]],4,FALSE)</f>
        <v>Eakate sotsiaalhoolekande asutused</v>
      </c>
      <c r="E1163" s="3" t="str">
        <f>VLOOKUP(Table2[[#This Row],[Tegevusala nimetus2]],Table4[[Tegevusala nimetus]:[Tegevusala koondnimetus]],2,FALSE)</f>
        <v>Sotsiaalne kaitse</v>
      </c>
      <c r="F1163" t="s">
        <v>1619</v>
      </c>
      <c r="G1163" t="s">
        <v>1642</v>
      </c>
      <c r="H1163" s="40">
        <v>1600</v>
      </c>
      <c r="J1163">
        <v>5525</v>
      </c>
      <c r="K1163" s="3" t="str">
        <f>VLOOKUP(Table2[[#This Row],[Konto]],Table5[[Konto]:[Konto nimetus]],2,FALSE)</f>
        <v>Kommunikatsiooni-, kultuuri- ja vaba aja sisustamise kulud</v>
      </c>
      <c r="L1163">
        <v>55</v>
      </c>
      <c r="M1163" t="str">
        <f t="shared" si="37"/>
        <v>55</v>
      </c>
      <c r="N1163" s="3" t="str">
        <f>VLOOKUP(Table2[[#This Row],[Tulu/kulu liik2]],Table5[[Tulu/kulu liik]:[Kontode koondnimetus]],4,FALSE)</f>
        <v>Muud tegevuskulud</v>
      </c>
      <c r="O1163" s="3" t="str">
        <f>VLOOKUP(Table2[[#This Row],[Tulu/kulu liik2]],Table5[],6,FALSE)</f>
        <v>Majandamiskulud</v>
      </c>
      <c r="P1163" s="3" t="str">
        <f>VLOOKUP(Table2[[#This Row],[Tulu/kulu liik2]],Table5[],5,FALSE)</f>
        <v>Põhitegevuse kulu</v>
      </c>
    </row>
    <row r="1164" spans="1:16" hidden="1" x14ac:dyDescent="0.25">
      <c r="A1164" t="str">
        <f t="shared" si="36"/>
        <v>10</v>
      </c>
      <c r="B1164" s="3" t="s">
        <v>358</v>
      </c>
      <c r="C1164" s="3" t="str">
        <f>VLOOKUP(Table2[[#This Row],[Tegevusala]],Table4[],2,FALSE)</f>
        <v xml:space="preserve"> Ulvi Kodu</v>
      </c>
      <c r="D1164" s="3" t="str">
        <f>VLOOKUP(Table2[[#This Row],[Tegevusala]],Table4[[Tegevusala kood]:[Tegevusala alanimetus]],4,FALSE)</f>
        <v>Eakate sotsiaalhoolekande asutused</v>
      </c>
      <c r="E1164" s="3" t="str">
        <f>VLOOKUP(Table2[[#This Row],[Tegevusala nimetus2]],Table4[[Tegevusala nimetus]:[Tegevusala koondnimetus]],2,FALSE)</f>
        <v>Sotsiaalne kaitse</v>
      </c>
      <c r="F1164" t="s">
        <v>1619</v>
      </c>
      <c r="G1164" t="s">
        <v>1643</v>
      </c>
      <c r="H1164" s="40">
        <v>500</v>
      </c>
      <c r="J1164">
        <v>5532</v>
      </c>
      <c r="K1164" s="3" t="str">
        <f>VLOOKUP(Table2[[#This Row],[Konto]],Table5[[Konto]:[Konto nimetus]],2,FALSE)</f>
        <v>Eri- ja vormiriietus</v>
      </c>
      <c r="L1164">
        <v>55</v>
      </c>
      <c r="M1164" t="str">
        <f t="shared" si="37"/>
        <v>55</v>
      </c>
      <c r="N1164" s="3" t="str">
        <f>VLOOKUP(Table2[[#This Row],[Tulu/kulu liik2]],Table5[[Tulu/kulu liik]:[Kontode koondnimetus]],4,FALSE)</f>
        <v>Muud tegevuskulud</v>
      </c>
      <c r="O1164" s="3" t="str">
        <f>VLOOKUP(Table2[[#This Row],[Tulu/kulu liik2]],Table5[],6,FALSE)</f>
        <v>Majandamiskulud</v>
      </c>
      <c r="P1164" s="3" t="str">
        <f>VLOOKUP(Table2[[#This Row],[Tulu/kulu liik2]],Table5[],5,FALSE)</f>
        <v>Põhitegevuse kulu</v>
      </c>
    </row>
    <row r="1165" spans="1:16" hidden="1" x14ac:dyDescent="0.25">
      <c r="A1165" t="str">
        <f t="shared" si="36"/>
        <v>10</v>
      </c>
      <c r="B1165" s="3" t="s">
        <v>358</v>
      </c>
      <c r="C1165" s="3" t="str">
        <f>VLOOKUP(Table2[[#This Row],[Tegevusala]],Table4[],2,FALSE)</f>
        <v xml:space="preserve"> Ulvi Kodu</v>
      </c>
      <c r="D1165" s="3" t="str">
        <f>VLOOKUP(Table2[[#This Row],[Tegevusala]],Table4[[Tegevusala kood]:[Tegevusala alanimetus]],4,FALSE)</f>
        <v>Eakate sotsiaalhoolekande asutused</v>
      </c>
      <c r="E1165" s="3" t="str">
        <f>VLOOKUP(Table2[[#This Row],[Tegevusala nimetus2]],Table4[[Tegevusala nimetus]:[Tegevusala koondnimetus]],2,FALSE)</f>
        <v>Sotsiaalne kaitse</v>
      </c>
      <c r="F1165" t="s">
        <v>1619</v>
      </c>
      <c r="G1165" t="s">
        <v>1645</v>
      </c>
      <c r="H1165" s="40">
        <v>300</v>
      </c>
      <c r="J1165">
        <v>5526</v>
      </c>
      <c r="K1165" s="3" t="str">
        <f>VLOOKUP(Table2[[#This Row],[Konto]],Table5[[Konto]:[Konto nimetus]],2,FALSE)</f>
        <v>Sotsiaalteenused</v>
      </c>
      <c r="L1165">
        <v>55</v>
      </c>
      <c r="M1165" t="str">
        <f t="shared" si="37"/>
        <v>55</v>
      </c>
      <c r="N1165" s="3" t="str">
        <f>VLOOKUP(Table2[[#This Row],[Tulu/kulu liik2]],Table5[[Tulu/kulu liik]:[Kontode koondnimetus]],4,FALSE)</f>
        <v>Muud tegevuskulud</v>
      </c>
      <c r="O1165" s="3" t="str">
        <f>VLOOKUP(Table2[[#This Row],[Tulu/kulu liik2]],Table5[],6,FALSE)</f>
        <v>Majandamiskulud</v>
      </c>
      <c r="P1165" s="3" t="str">
        <f>VLOOKUP(Table2[[#This Row],[Tulu/kulu liik2]],Table5[],5,FALSE)</f>
        <v>Põhitegevuse kulu</v>
      </c>
    </row>
    <row r="1166" spans="1:16" hidden="1" x14ac:dyDescent="0.25">
      <c r="A1166" t="str">
        <f t="shared" si="36"/>
        <v>10</v>
      </c>
      <c r="B1166" s="3" t="s">
        <v>358</v>
      </c>
      <c r="C1166" s="3" t="str">
        <f>VLOOKUP(Table2[[#This Row],[Tegevusala]],Table4[],2,FALSE)</f>
        <v xml:space="preserve"> Ulvi Kodu</v>
      </c>
      <c r="D1166" s="3" t="str">
        <f>VLOOKUP(Table2[[#This Row],[Tegevusala]],Table4[[Tegevusala kood]:[Tegevusala alanimetus]],4,FALSE)</f>
        <v>Eakate sotsiaalhoolekande asutused</v>
      </c>
      <c r="E1166" s="3" t="str">
        <f>VLOOKUP(Table2[[#This Row],[Tegevusala nimetus2]],Table4[[Tegevusala nimetus]:[Tegevusala koondnimetus]],2,FALSE)</f>
        <v>Sotsiaalne kaitse</v>
      </c>
      <c r="F1166" t="s">
        <v>1619</v>
      </c>
      <c r="G1166" t="s">
        <v>1646</v>
      </c>
      <c r="H1166" s="40">
        <v>1000</v>
      </c>
      <c r="I1166" s="2" t="s">
        <v>1644</v>
      </c>
      <c r="J1166">
        <v>5526</v>
      </c>
      <c r="K1166" s="3" t="str">
        <f>VLOOKUP(Table2[[#This Row],[Konto]],Table5[[Konto]:[Konto nimetus]],2,FALSE)</f>
        <v>Sotsiaalteenused</v>
      </c>
      <c r="L1166">
        <v>55</v>
      </c>
      <c r="M1166" t="str">
        <f t="shared" si="37"/>
        <v>55</v>
      </c>
      <c r="N1166" s="3" t="str">
        <f>VLOOKUP(Table2[[#This Row],[Tulu/kulu liik2]],Table5[[Tulu/kulu liik]:[Kontode koondnimetus]],4,FALSE)</f>
        <v>Muud tegevuskulud</v>
      </c>
      <c r="O1166" s="3" t="str">
        <f>VLOOKUP(Table2[[#This Row],[Tulu/kulu liik2]],Table5[],6,FALSE)</f>
        <v>Majandamiskulud</v>
      </c>
      <c r="P1166" s="3" t="str">
        <f>VLOOKUP(Table2[[#This Row],[Tulu/kulu liik2]],Table5[],5,FALSE)</f>
        <v>Põhitegevuse kulu</v>
      </c>
    </row>
    <row r="1167" spans="1:16" hidden="1" x14ac:dyDescent="0.25">
      <c r="A1167" t="str">
        <f t="shared" si="36"/>
        <v>10</v>
      </c>
      <c r="B1167" s="3" t="s">
        <v>358</v>
      </c>
      <c r="C1167" s="3" t="str">
        <f>VLOOKUP(Table2[[#This Row],[Tegevusala]],Table4[],2,FALSE)</f>
        <v xml:space="preserve"> Ulvi Kodu</v>
      </c>
      <c r="D1167" s="3" t="str">
        <f>VLOOKUP(Table2[[#This Row],[Tegevusala]],Table4[[Tegevusala kood]:[Tegevusala alanimetus]],4,FALSE)</f>
        <v>Eakate sotsiaalhoolekande asutused</v>
      </c>
      <c r="E1167" s="3" t="str">
        <f>VLOOKUP(Table2[[#This Row],[Tegevusala nimetus2]],Table4[[Tegevusala nimetus]:[Tegevusala koondnimetus]],2,FALSE)</f>
        <v>Sotsiaalne kaitse</v>
      </c>
      <c r="F1167" t="s">
        <v>1619</v>
      </c>
      <c r="G1167" t="s">
        <v>1627</v>
      </c>
      <c r="H1167" s="40">
        <v>9000</v>
      </c>
      <c r="J1167">
        <v>5511</v>
      </c>
      <c r="K1167" s="3" t="str">
        <f>VLOOKUP(Table2[[#This Row],[Konto]],Table5[[Konto]:[Konto nimetus]],2,FALSE)</f>
        <v>Kinnistute, hoonete ja ruumide majandamiskulud</v>
      </c>
      <c r="L1167">
        <v>55</v>
      </c>
      <c r="M1167" t="str">
        <f t="shared" si="37"/>
        <v>55</v>
      </c>
      <c r="N1167" s="3" t="str">
        <f>VLOOKUP(Table2[[#This Row],[Tulu/kulu liik2]],Table5[[Tulu/kulu liik]:[Kontode koondnimetus]],4,FALSE)</f>
        <v>Muud tegevuskulud</v>
      </c>
      <c r="O1167" s="3" t="str">
        <f>VLOOKUP(Table2[[#This Row],[Tulu/kulu liik2]],Table5[],6,FALSE)</f>
        <v>Majandamiskulud</v>
      </c>
      <c r="P1167" s="3" t="str">
        <f>VLOOKUP(Table2[[#This Row],[Tulu/kulu liik2]],Table5[],5,FALSE)</f>
        <v>Põhitegevuse kulu</v>
      </c>
    </row>
    <row r="1168" spans="1:16" hidden="1" x14ac:dyDescent="0.25">
      <c r="A1168" t="str">
        <f t="shared" si="36"/>
        <v>10</v>
      </c>
      <c r="B1168" s="3" t="s">
        <v>358</v>
      </c>
      <c r="C1168" s="3" t="str">
        <f>VLOOKUP(Table2[[#This Row],[Tegevusala]],Table4[],2,FALSE)</f>
        <v xml:space="preserve"> Ulvi Kodu</v>
      </c>
      <c r="D1168" s="3" t="str">
        <f>VLOOKUP(Table2[[#This Row],[Tegevusala]],Table4[[Tegevusala kood]:[Tegevusala alanimetus]],4,FALSE)</f>
        <v>Eakate sotsiaalhoolekande asutused</v>
      </c>
      <c r="E1168" s="3" t="str">
        <f>VLOOKUP(Table2[[#This Row],[Tegevusala nimetus2]],Table4[[Tegevusala nimetus]:[Tegevusala koondnimetus]],2,FALSE)</f>
        <v>Sotsiaalne kaitse</v>
      </c>
      <c r="F1168" t="s">
        <v>1619</v>
      </c>
      <c r="G1168" t="s">
        <v>178</v>
      </c>
      <c r="H1168" s="40">
        <v>6000</v>
      </c>
      <c r="J1168">
        <v>5511</v>
      </c>
      <c r="K1168" s="3" t="str">
        <f>VLOOKUP(Table2[[#This Row],[Konto]],Table5[[Konto]:[Konto nimetus]],2,FALSE)</f>
        <v>Kinnistute, hoonete ja ruumide majandamiskulud</v>
      </c>
      <c r="L1168">
        <v>55</v>
      </c>
      <c r="M1168" t="str">
        <f t="shared" si="37"/>
        <v>55</v>
      </c>
      <c r="N1168" s="3" t="str">
        <f>VLOOKUP(Table2[[#This Row],[Tulu/kulu liik2]],Table5[[Tulu/kulu liik]:[Kontode koondnimetus]],4,FALSE)</f>
        <v>Muud tegevuskulud</v>
      </c>
      <c r="O1168" s="3" t="str">
        <f>VLOOKUP(Table2[[#This Row],[Tulu/kulu liik2]],Table5[],6,FALSE)</f>
        <v>Majandamiskulud</v>
      </c>
      <c r="P1168" s="3" t="str">
        <f>VLOOKUP(Table2[[#This Row],[Tulu/kulu liik2]],Table5[],5,FALSE)</f>
        <v>Põhitegevuse kulu</v>
      </c>
    </row>
    <row r="1169" spans="1:16" hidden="1" x14ac:dyDescent="0.25">
      <c r="A1169" t="str">
        <f t="shared" si="36"/>
        <v>10</v>
      </c>
      <c r="B1169" s="3" t="s">
        <v>358</v>
      </c>
      <c r="C1169" s="3" t="str">
        <f>VLOOKUP(Table2[[#This Row],[Tegevusala]],Table4[],2,FALSE)</f>
        <v xml:space="preserve"> Ulvi Kodu</v>
      </c>
      <c r="D1169" s="3" t="str">
        <f>VLOOKUP(Table2[[#This Row],[Tegevusala]],Table4[[Tegevusala kood]:[Tegevusala alanimetus]],4,FALSE)</f>
        <v>Eakate sotsiaalhoolekande asutused</v>
      </c>
      <c r="E1169" s="3" t="str">
        <f>VLOOKUP(Table2[[#This Row],[Tegevusala nimetus2]],Table4[[Tegevusala nimetus]:[Tegevusala koondnimetus]],2,FALSE)</f>
        <v>Sotsiaalne kaitse</v>
      </c>
      <c r="F1169" t="s">
        <v>1619</v>
      </c>
      <c r="G1169" t="s">
        <v>425</v>
      </c>
      <c r="H1169" s="40">
        <v>2400</v>
      </c>
      <c r="J1169">
        <v>5511</v>
      </c>
      <c r="K1169" s="3" t="str">
        <f>VLOOKUP(Table2[[#This Row],[Konto]],Table5[[Konto]:[Konto nimetus]],2,FALSE)</f>
        <v>Kinnistute, hoonete ja ruumide majandamiskulud</v>
      </c>
      <c r="L1169">
        <v>55</v>
      </c>
      <c r="M1169" t="str">
        <f t="shared" si="37"/>
        <v>55</v>
      </c>
      <c r="N1169" s="3" t="str">
        <f>VLOOKUP(Table2[[#This Row],[Tulu/kulu liik2]],Table5[[Tulu/kulu liik]:[Kontode koondnimetus]],4,FALSE)</f>
        <v>Muud tegevuskulud</v>
      </c>
      <c r="O1169" s="3" t="str">
        <f>VLOOKUP(Table2[[#This Row],[Tulu/kulu liik2]],Table5[],6,FALSE)</f>
        <v>Majandamiskulud</v>
      </c>
      <c r="P1169" s="3" t="str">
        <f>VLOOKUP(Table2[[#This Row],[Tulu/kulu liik2]],Table5[],5,FALSE)</f>
        <v>Põhitegevuse kulu</v>
      </c>
    </row>
    <row r="1170" spans="1:16" hidden="1" x14ac:dyDescent="0.25">
      <c r="A1170" t="str">
        <f t="shared" si="36"/>
        <v>10</v>
      </c>
      <c r="B1170" s="3" t="s">
        <v>358</v>
      </c>
      <c r="C1170" s="3" t="str">
        <f>VLOOKUP(Table2[[#This Row],[Tegevusala]],Table4[],2,FALSE)</f>
        <v xml:space="preserve"> Ulvi Kodu</v>
      </c>
      <c r="D1170" s="3" t="str">
        <f>VLOOKUP(Table2[[#This Row],[Tegevusala]],Table4[[Tegevusala kood]:[Tegevusala alanimetus]],4,FALSE)</f>
        <v>Eakate sotsiaalhoolekande asutused</v>
      </c>
      <c r="E1170" s="3" t="str">
        <f>VLOOKUP(Table2[[#This Row],[Tegevusala nimetus2]],Table4[[Tegevusala nimetus]:[Tegevusala koondnimetus]],2,FALSE)</f>
        <v>Sotsiaalne kaitse</v>
      </c>
      <c r="F1170" t="s">
        <v>1619</v>
      </c>
      <c r="G1170" t="s">
        <v>1626</v>
      </c>
      <c r="H1170" s="40">
        <v>1000</v>
      </c>
      <c r="J1170">
        <v>5511</v>
      </c>
      <c r="K1170" s="3" t="str">
        <f>VLOOKUP(Table2[[#This Row],[Konto]],Table5[[Konto]:[Konto nimetus]],2,FALSE)</f>
        <v>Kinnistute, hoonete ja ruumide majandamiskulud</v>
      </c>
      <c r="L1170">
        <v>55</v>
      </c>
      <c r="M1170" t="str">
        <f t="shared" si="37"/>
        <v>55</v>
      </c>
      <c r="N1170" s="3" t="str">
        <f>VLOOKUP(Table2[[#This Row],[Tulu/kulu liik2]],Table5[[Tulu/kulu liik]:[Kontode koondnimetus]],4,FALSE)</f>
        <v>Muud tegevuskulud</v>
      </c>
      <c r="O1170" s="3" t="str">
        <f>VLOOKUP(Table2[[#This Row],[Tulu/kulu liik2]],Table5[],6,FALSE)</f>
        <v>Majandamiskulud</v>
      </c>
      <c r="P1170" s="3" t="str">
        <f>VLOOKUP(Table2[[#This Row],[Tulu/kulu liik2]],Table5[],5,FALSE)</f>
        <v>Põhitegevuse kulu</v>
      </c>
    </row>
    <row r="1171" spans="1:16" hidden="1" x14ac:dyDescent="0.25">
      <c r="A1171" t="str">
        <f t="shared" si="36"/>
        <v>10</v>
      </c>
      <c r="B1171" s="3" t="s">
        <v>358</v>
      </c>
      <c r="C1171" s="3" t="str">
        <f>VLOOKUP(Table2[[#This Row],[Tegevusala]],Table4[],2,FALSE)</f>
        <v xml:space="preserve"> Ulvi Kodu</v>
      </c>
      <c r="D1171" s="3" t="str">
        <f>VLOOKUP(Table2[[#This Row],[Tegevusala]],Table4[[Tegevusala kood]:[Tegevusala alanimetus]],4,FALSE)</f>
        <v>Eakate sotsiaalhoolekande asutused</v>
      </c>
      <c r="E1171" s="3" t="str">
        <f>VLOOKUP(Table2[[#This Row],[Tegevusala nimetus2]],Table4[[Tegevusala nimetus]:[Tegevusala koondnimetus]],2,FALSE)</f>
        <v>Sotsiaalne kaitse</v>
      </c>
      <c r="F1171" t="s">
        <v>1619</v>
      </c>
      <c r="G1171" t="s">
        <v>1625</v>
      </c>
      <c r="H1171" s="40">
        <v>900</v>
      </c>
      <c r="J1171">
        <v>5511</v>
      </c>
      <c r="K1171" s="3" t="str">
        <f>VLOOKUP(Table2[[#This Row],[Konto]],Table5[[Konto]:[Konto nimetus]],2,FALSE)</f>
        <v>Kinnistute, hoonete ja ruumide majandamiskulud</v>
      </c>
      <c r="L1171">
        <v>55</v>
      </c>
      <c r="M1171" t="str">
        <f t="shared" si="37"/>
        <v>55</v>
      </c>
      <c r="N1171" s="3" t="str">
        <f>VLOOKUP(Table2[[#This Row],[Tulu/kulu liik2]],Table5[[Tulu/kulu liik]:[Kontode koondnimetus]],4,FALSE)</f>
        <v>Muud tegevuskulud</v>
      </c>
      <c r="O1171" s="3" t="str">
        <f>VLOOKUP(Table2[[#This Row],[Tulu/kulu liik2]],Table5[],6,FALSE)</f>
        <v>Majandamiskulud</v>
      </c>
      <c r="P1171" s="3" t="str">
        <f>VLOOKUP(Table2[[#This Row],[Tulu/kulu liik2]],Table5[],5,FALSE)</f>
        <v>Põhitegevuse kulu</v>
      </c>
    </row>
    <row r="1172" spans="1:16" hidden="1" x14ac:dyDescent="0.25">
      <c r="A1172" t="str">
        <f t="shared" si="36"/>
        <v>10</v>
      </c>
      <c r="B1172" s="3" t="s">
        <v>358</v>
      </c>
      <c r="C1172" s="3" t="str">
        <f>VLOOKUP(Table2[[#This Row],[Tegevusala]],Table4[],2,FALSE)</f>
        <v xml:space="preserve"> Ulvi Kodu</v>
      </c>
      <c r="D1172" s="3" t="str">
        <f>VLOOKUP(Table2[[#This Row],[Tegevusala]],Table4[[Tegevusala kood]:[Tegevusala alanimetus]],4,FALSE)</f>
        <v>Eakate sotsiaalhoolekande asutused</v>
      </c>
      <c r="E1172" s="3" t="str">
        <f>VLOOKUP(Table2[[#This Row],[Tegevusala nimetus2]],Table4[[Tegevusala nimetus]:[Tegevusala koondnimetus]],2,FALSE)</f>
        <v>Sotsiaalne kaitse</v>
      </c>
      <c r="F1172" t="s">
        <v>1619</v>
      </c>
      <c r="G1172" t="s">
        <v>1624</v>
      </c>
      <c r="H1172" s="40">
        <v>6000</v>
      </c>
      <c r="J1172">
        <v>5511</v>
      </c>
      <c r="K1172" s="3" t="str">
        <f>VLOOKUP(Table2[[#This Row],[Konto]],Table5[[Konto]:[Konto nimetus]],2,FALSE)</f>
        <v>Kinnistute, hoonete ja ruumide majandamiskulud</v>
      </c>
      <c r="L1172">
        <v>55</v>
      </c>
      <c r="M1172" t="str">
        <f t="shared" si="37"/>
        <v>55</v>
      </c>
      <c r="N1172" s="3" t="str">
        <f>VLOOKUP(Table2[[#This Row],[Tulu/kulu liik2]],Table5[[Tulu/kulu liik]:[Kontode koondnimetus]],4,FALSE)</f>
        <v>Muud tegevuskulud</v>
      </c>
      <c r="O1172" s="3" t="str">
        <f>VLOOKUP(Table2[[#This Row],[Tulu/kulu liik2]],Table5[],6,FALSE)</f>
        <v>Majandamiskulud</v>
      </c>
      <c r="P1172" s="3" t="str">
        <f>VLOOKUP(Table2[[#This Row],[Tulu/kulu liik2]],Table5[],5,FALSE)</f>
        <v>Põhitegevuse kulu</v>
      </c>
    </row>
    <row r="1173" spans="1:16" hidden="1" x14ac:dyDescent="0.25">
      <c r="A1173" t="str">
        <f t="shared" si="36"/>
        <v>10</v>
      </c>
      <c r="B1173" s="3" t="s">
        <v>358</v>
      </c>
      <c r="C1173" s="3" t="str">
        <f>VLOOKUP(Table2[[#This Row],[Tegevusala]],Table4[],2,FALSE)</f>
        <v xml:space="preserve"> Ulvi Kodu</v>
      </c>
      <c r="D1173" s="3" t="str">
        <f>VLOOKUP(Table2[[#This Row],[Tegevusala]],Table4[[Tegevusala kood]:[Tegevusala alanimetus]],4,FALSE)</f>
        <v>Eakate sotsiaalhoolekande asutused</v>
      </c>
      <c r="E1173" s="3" t="str">
        <f>VLOOKUP(Table2[[#This Row],[Tegevusala nimetus2]],Table4[[Tegevusala nimetus]:[Tegevusala koondnimetus]],2,FALSE)</f>
        <v>Sotsiaalne kaitse</v>
      </c>
      <c r="F1173" t="s">
        <v>1619</v>
      </c>
      <c r="G1173" t="s">
        <v>1623</v>
      </c>
      <c r="H1173" s="40">
        <v>180</v>
      </c>
      <c r="J1173">
        <v>5511</v>
      </c>
      <c r="K1173" s="3" t="str">
        <f>VLOOKUP(Table2[[#This Row],[Konto]],Table5[[Konto]:[Konto nimetus]],2,FALSE)</f>
        <v>Kinnistute, hoonete ja ruumide majandamiskulud</v>
      </c>
      <c r="L1173">
        <v>55</v>
      </c>
      <c r="M1173" t="str">
        <f t="shared" si="37"/>
        <v>55</v>
      </c>
      <c r="N1173" s="3" t="str">
        <f>VLOOKUP(Table2[[#This Row],[Tulu/kulu liik2]],Table5[[Tulu/kulu liik]:[Kontode koondnimetus]],4,FALSE)</f>
        <v>Muud tegevuskulud</v>
      </c>
      <c r="O1173" s="3" t="str">
        <f>VLOOKUP(Table2[[#This Row],[Tulu/kulu liik2]],Table5[],6,FALSE)</f>
        <v>Majandamiskulud</v>
      </c>
      <c r="P1173" s="3" t="str">
        <f>VLOOKUP(Table2[[#This Row],[Tulu/kulu liik2]],Table5[],5,FALSE)</f>
        <v>Põhitegevuse kulu</v>
      </c>
    </row>
    <row r="1174" spans="1:16" hidden="1" x14ac:dyDescent="0.25">
      <c r="A1174" t="str">
        <f t="shared" si="36"/>
        <v>10</v>
      </c>
      <c r="B1174" s="3" t="s">
        <v>358</v>
      </c>
      <c r="C1174" s="3" t="str">
        <f>VLOOKUP(Table2[[#This Row],[Tegevusala]],Table4[],2,FALSE)</f>
        <v xml:space="preserve"> Ulvi Kodu</v>
      </c>
      <c r="D1174" s="3" t="str">
        <f>VLOOKUP(Table2[[#This Row],[Tegevusala]],Table4[[Tegevusala kood]:[Tegevusala alanimetus]],4,FALSE)</f>
        <v>Eakate sotsiaalhoolekande asutused</v>
      </c>
      <c r="E1174" s="3" t="str">
        <f>VLOOKUP(Table2[[#This Row],[Tegevusala nimetus2]],Table4[[Tegevusala nimetus]:[Tegevusala koondnimetus]],2,FALSE)</f>
        <v>Sotsiaalne kaitse</v>
      </c>
      <c r="F1174" t="s">
        <v>1619</v>
      </c>
      <c r="G1174" t="s">
        <v>1631</v>
      </c>
      <c r="H1174" s="40">
        <v>650</v>
      </c>
      <c r="J1174">
        <v>5514</v>
      </c>
      <c r="K1174" s="3" t="str">
        <f>VLOOKUP(Table2[[#This Row],[Konto]],Table5[[Konto]:[Konto nimetus]],2,FALSE)</f>
        <v>Info- ja kommunikatsioonitehnoliigised kulud</v>
      </c>
      <c r="L1174">
        <v>55</v>
      </c>
      <c r="M1174" t="str">
        <f t="shared" si="37"/>
        <v>55</v>
      </c>
      <c r="N1174" s="3" t="str">
        <f>VLOOKUP(Table2[[#This Row],[Tulu/kulu liik2]],Table5[[Tulu/kulu liik]:[Kontode koondnimetus]],4,FALSE)</f>
        <v>Muud tegevuskulud</v>
      </c>
      <c r="O1174" s="3" t="str">
        <f>VLOOKUP(Table2[[#This Row],[Tulu/kulu liik2]],Table5[],6,FALSE)</f>
        <v>Majandamiskulud</v>
      </c>
      <c r="P1174" s="3" t="str">
        <f>VLOOKUP(Table2[[#This Row],[Tulu/kulu liik2]],Table5[],5,FALSE)</f>
        <v>Põhitegevuse kulu</v>
      </c>
    </row>
    <row r="1175" spans="1:16" hidden="1" x14ac:dyDescent="0.25">
      <c r="A1175" t="str">
        <f t="shared" si="36"/>
        <v>10</v>
      </c>
      <c r="B1175" s="3" t="s">
        <v>358</v>
      </c>
      <c r="C1175" s="3" t="str">
        <f>VLOOKUP(Table2[[#This Row],[Tegevusala]],Table4[],2,FALSE)</f>
        <v xml:space="preserve"> Ulvi Kodu</v>
      </c>
      <c r="D1175" s="3" t="str">
        <f>VLOOKUP(Table2[[#This Row],[Tegevusala]],Table4[[Tegevusala kood]:[Tegevusala alanimetus]],4,FALSE)</f>
        <v>Eakate sotsiaalhoolekande asutused</v>
      </c>
      <c r="E1175" s="3" t="str">
        <f>VLOOKUP(Table2[[#This Row],[Tegevusala nimetus2]],Table4[[Tegevusala nimetus]:[Tegevusala koondnimetus]],2,FALSE)</f>
        <v>Sotsiaalne kaitse</v>
      </c>
      <c r="F1175" t="s">
        <v>1619</v>
      </c>
      <c r="G1175" t="s">
        <v>1630</v>
      </c>
      <c r="H1175" s="40">
        <v>100</v>
      </c>
      <c r="J1175">
        <v>5514</v>
      </c>
      <c r="K1175" s="3" t="str">
        <f>VLOOKUP(Table2[[#This Row],[Konto]],Table5[[Konto]:[Konto nimetus]],2,FALSE)</f>
        <v>Info- ja kommunikatsioonitehnoliigised kulud</v>
      </c>
      <c r="L1175">
        <v>55</v>
      </c>
      <c r="M1175" t="str">
        <f t="shared" si="37"/>
        <v>55</v>
      </c>
      <c r="N1175" s="3" t="str">
        <f>VLOOKUP(Table2[[#This Row],[Tulu/kulu liik2]],Table5[[Tulu/kulu liik]:[Kontode koondnimetus]],4,FALSE)</f>
        <v>Muud tegevuskulud</v>
      </c>
      <c r="O1175" s="3" t="str">
        <f>VLOOKUP(Table2[[#This Row],[Tulu/kulu liik2]],Table5[],6,FALSE)</f>
        <v>Majandamiskulud</v>
      </c>
      <c r="P1175" s="3" t="str">
        <f>VLOOKUP(Table2[[#This Row],[Tulu/kulu liik2]],Table5[],5,FALSE)</f>
        <v>Põhitegevuse kulu</v>
      </c>
    </row>
    <row r="1176" spans="1:16" hidden="1" x14ac:dyDescent="0.25">
      <c r="A1176" t="str">
        <f t="shared" si="36"/>
        <v>10</v>
      </c>
      <c r="B1176" s="3" t="s">
        <v>358</v>
      </c>
      <c r="C1176" s="3" t="str">
        <f>VLOOKUP(Table2[[#This Row],[Tegevusala]],Table4[],2,FALSE)</f>
        <v xml:space="preserve"> Ulvi Kodu</v>
      </c>
      <c r="D1176" s="3" t="str">
        <f>VLOOKUP(Table2[[#This Row],[Tegevusala]],Table4[[Tegevusala kood]:[Tegevusala alanimetus]],4,FALSE)</f>
        <v>Eakate sotsiaalhoolekande asutused</v>
      </c>
      <c r="E1176" s="3" t="str">
        <f>VLOOKUP(Table2[[#This Row],[Tegevusala nimetus2]],Table4[[Tegevusala nimetus]:[Tegevusala koondnimetus]],2,FALSE)</f>
        <v>Sotsiaalne kaitse</v>
      </c>
      <c r="F1176" t="s">
        <v>1619</v>
      </c>
      <c r="G1176" t="s">
        <v>1639</v>
      </c>
      <c r="H1176" s="40">
        <v>-2200</v>
      </c>
      <c r="I1176" s="2" t="s">
        <v>2125</v>
      </c>
      <c r="J1176">
        <v>5521</v>
      </c>
      <c r="K1176" s="3" t="str">
        <f>VLOOKUP(Table2[[#This Row],[Konto]],Table5[[Konto]:[Konto nimetus]],2,FALSE)</f>
        <v>Toiduained ja toitlustusteenused</v>
      </c>
      <c r="L1176">
        <v>55</v>
      </c>
      <c r="M1176" t="str">
        <f t="shared" si="37"/>
        <v>55</v>
      </c>
      <c r="N1176" s="3" t="str">
        <f>VLOOKUP(Table2[[#This Row],[Tulu/kulu liik2]],Table5[[Tulu/kulu liik]:[Kontode koondnimetus]],4,FALSE)</f>
        <v>Muud tegevuskulud</v>
      </c>
      <c r="O1176" s="34" t="str">
        <f>VLOOKUP(Table2[[#This Row],[Tulu/kulu liik2]],Table5[],6,FALSE)</f>
        <v>Majandamiskulud</v>
      </c>
      <c r="P1176" s="3" t="str">
        <f>VLOOKUP(Table2[[#This Row],[Tulu/kulu liik2]],Table5[],5,FALSE)</f>
        <v>Põhitegevuse kulu</v>
      </c>
    </row>
    <row r="1177" spans="1:16" hidden="1" x14ac:dyDescent="0.25">
      <c r="A1177" t="str">
        <f t="shared" si="36"/>
        <v>10</v>
      </c>
      <c r="B1177" s="3" t="s">
        <v>358</v>
      </c>
      <c r="C1177" s="3" t="str">
        <f>VLOOKUP(Table2[[#This Row],[Tegevusala]],Table4[],2,FALSE)</f>
        <v xml:space="preserve"> Ulvi Kodu</v>
      </c>
      <c r="D1177" s="3" t="str">
        <f>VLOOKUP(Table2[[#This Row],[Tegevusala]],Table4[[Tegevusala kood]:[Tegevusala alanimetus]],4,FALSE)</f>
        <v>Eakate sotsiaalhoolekande asutused</v>
      </c>
      <c r="E1177" s="3" t="str">
        <f>VLOOKUP(Table2[[#This Row],[Tegevusala nimetus2]],Table4[[Tegevusala nimetus]:[Tegevusala koondnimetus]],2,FALSE)</f>
        <v>Sotsiaalne kaitse</v>
      </c>
      <c r="F1177" t="s">
        <v>1619</v>
      </c>
      <c r="G1177" t="s">
        <v>1640</v>
      </c>
      <c r="H1177" s="40">
        <v>12000</v>
      </c>
      <c r="J1177">
        <v>5522</v>
      </c>
      <c r="K1177" s="3" t="str">
        <f>VLOOKUP(Table2[[#This Row],[Konto]],Table5[[Konto]:[Konto nimetus]],2,FALSE)</f>
        <v>Meditsiinikulud ja hügieenitarbed</v>
      </c>
      <c r="L1177">
        <v>55</v>
      </c>
      <c r="M1177" t="str">
        <f t="shared" si="37"/>
        <v>55</v>
      </c>
      <c r="N1177" s="3" t="str">
        <f>VLOOKUP(Table2[[#This Row],[Tulu/kulu liik2]],Table5[[Tulu/kulu liik]:[Kontode koondnimetus]],4,FALSE)</f>
        <v>Muud tegevuskulud</v>
      </c>
      <c r="O1177" s="34" t="str">
        <f>VLOOKUP(Table2[[#This Row],[Tulu/kulu liik2]],Table5[],6,FALSE)</f>
        <v>Majandamiskulud</v>
      </c>
      <c r="P1177" s="3" t="str">
        <f>VLOOKUP(Table2[[#This Row],[Tulu/kulu liik2]],Table5[],5,FALSE)</f>
        <v>Põhitegevuse kulu</v>
      </c>
    </row>
    <row r="1178" spans="1:16" hidden="1" x14ac:dyDescent="0.25">
      <c r="A1178" t="str">
        <f t="shared" si="36"/>
        <v>10</v>
      </c>
      <c r="B1178" s="3" t="s">
        <v>358</v>
      </c>
      <c r="C1178" s="3" t="str">
        <f>VLOOKUP(Table2[[#This Row],[Tegevusala]],Table4[],2,FALSE)</f>
        <v xml:space="preserve"> Ulvi Kodu</v>
      </c>
      <c r="D1178" s="3" t="str">
        <f>VLOOKUP(Table2[[#This Row],[Tegevusala]],Table4[[Tegevusala kood]:[Tegevusala alanimetus]],4,FALSE)</f>
        <v>Eakate sotsiaalhoolekande asutused</v>
      </c>
      <c r="E1178" s="3" t="str">
        <f>VLOOKUP(Table2[[#This Row],[Tegevusala nimetus2]],Table4[[Tegevusala nimetus]:[Tegevusala koondnimetus]],2,FALSE)</f>
        <v>Sotsiaalne kaitse</v>
      </c>
      <c r="F1178" t="s">
        <v>1619</v>
      </c>
      <c r="G1178" t="s">
        <v>1640</v>
      </c>
      <c r="H1178" s="40">
        <v>-12000</v>
      </c>
      <c r="I1178" s="2" t="s">
        <v>2126</v>
      </c>
      <c r="J1178">
        <v>5522</v>
      </c>
      <c r="K1178" s="3" t="str">
        <f>VLOOKUP(Table2[[#This Row],[Konto]],Table5[[Konto]:[Konto nimetus]],2,FALSE)</f>
        <v>Meditsiinikulud ja hügieenitarbed</v>
      </c>
      <c r="L1178">
        <v>55</v>
      </c>
      <c r="M1178" t="str">
        <f t="shared" si="37"/>
        <v>55</v>
      </c>
      <c r="N1178" s="3" t="str">
        <f>VLOOKUP(Table2[[#This Row],[Tulu/kulu liik2]],Table5[[Tulu/kulu liik]:[Kontode koondnimetus]],4,FALSE)</f>
        <v>Muud tegevuskulud</v>
      </c>
      <c r="O1178" s="34" t="str">
        <f>VLOOKUP(Table2[[#This Row],[Tulu/kulu liik2]],Table5[],6,FALSE)</f>
        <v>Majandamiskulud</v>
      </c>
      <c r="P1178" s="3" t="str">
        <f>VLOOKUP(Table2[[#This Row],[Tulu/kulu liik2]],Table5[],5,FALSE)</f>
        <v>Põhitegevuse kulu</v>
      </c>
    </row>
    <row r="1179" spans="1:16" hidden="1" x14ac:dyDescent="0.25">
      <c r="A1179" s="33" t="str">
        <f t="shared" si="36"/>
        <v>10</v>
      </c>
      <c r="B1179" s="33" t="s">
        <v>359</v>
      </c>
      <c r="C1179" s="34" t="str">
        <f>VLOOKUP(Table2[[#This Row],[Tegevusala]],Table4[],2,FALSE)</f>
        <v xml:space="preserve"> Muud asutused</v>
      </c>
      <c r="D1179" s="34" t="str">
        <f>VLOOKUP(Table2[[#This Row],[Tegevusala]],Table4[[Tegevusala kood]:[Tegevusala alanimetus]],4,FALSE)</f>
        <v>Eakate sotsiaalhoolekande asutused</v>
      </c>
      <c r="E1179" s="34" t="str">
        <f>VLOOKUP(Table2[[#This Row],[Tegevusala nimetus2]],Table4[[Tegevusala nimetus]:[Tegevusala koondnimetus]],2,FALSE)</f>
        <v>Sotsiaalne kaitse</v>
      </c>
      <c r="F1179" s="33" t="s">
        <v>444</v>
      </c>
      <c r="G1179" s="33" t="s">
        <v>682</v>
      </c>
      <c r="H1179" s="47">
        <v>70000</v>
      </c>
      <c r="I1179" s="35"/>
      <c r="J1179" s="33">
        <v>5526</v>
      </c>
      <c r="K1179" s="34" t="str">
        <f>VLOOKUP(Table2[[#This Row],[Konto]],Table5[[Konto]:[Konto nimetus]],2,FALSE)</f>
        <v>Sotsiaalteenused</v>
      </c>
      <c r="L1179" s="33">
        <v>55</v>
      </c>
      <c r="M1179" s="33" t="str">
        <f t="shared" si="37"/>
        <v>55</v>
      </c>
      <c r="N1179" s="34" t="str">
        <f>VLOOKUP(Table2[[#This Row],[Tulu/kulu liik2]],Table5[[Tulu/kulu liik]:[Kontode koondnimetus]],4,FALSE)</f>
        <v>Muud tegevuskulud</v>
      </c>
      <c r="O1179" s="34" t="str">
        <f>VLOOKUP(Table2[[#This Row],[Tulu/kulu liik2]],Table5[],6,FALSE)</f>
        <v>Majandamiskulud</v>
      </c>
      <c r="P1179" s="34" t="str">
        <f>VLOOKUP(Table2[[#This Row],[Tulu/kulu liik2]],Table5[],5,FALSE)</f>
        <v>Põhitegevuse kulu</v>
      </c>
    </row>
    <row r="1180" spans="1:16" hidden="1" x14ac:dyDescent="0.25">
      <c r="A1180" t="str">
        <f t="shared" si="36"/>
        <v>10</v>
      </c>
      <c r="B1180" t="s">
        <v>361</v>
      </c>
      <c r="C1180" s="3" t="str">
        <f>VLOOKUP(Table2[[#This Row],[Tegevusala]],Table4[],2,FALSE)</f>
        <v xml:space="preserve"> Vinni päevakeskus</v>
      </c>
      <c r="D1180" s="3" t="str">
        <f>VLOOKUP(Table2[[#This Row],[Tegevusala]],Table4[[Tegevusala kood]:[Tegevusala alanimetus]],4,FALSE)</f>
        <v>Eakate sotsiaalhoolekande asutused</v>
      </c>
      <c r="E1180" s="3" t="str">
        <f>VLOOKUP(Table2[[#This Row],[Tegevusala nimetus2]],Table4[[Tegevusala nimetus]:[Tegevusala koondnimetus]],2,FALSE)</f>
        <v>Sotsiaalne kaitse</v>
      </c>
      <c r="F1180" t="s">
        <v>419</v>
      </c>
      <c r="G1180" t="s">
        <v>420</v>
      </c>
      <c r="H1180" s="40">
        <v>40</v>
      </c>
      <c r="J1180">
        <v>5500</v>
      </c>
      <c r="K1180" s="3" t="str">
        <f>VLOOKUP(Table2[[#This Row],[Konto]],Table5[[Konto]:[Konto nimetus]],2,FALSE)</f>
        <v>Administreerimiskulud</v>
      </c>
      <c r="L1180">
        <v>55</v>
      </c>
      <c r="M1180" t="str">
        <f t="shared" si="37"/>
        <v>55</v>
      </c>
      <c r="N1180" t="str">
        <f>VLOOKUP(Table2[[#This Row],[Tulu/kulu liik2]],Table5[[Tulu/kulu liik]:[Kontode koondnimetus]],4,FALSE)</f>
        <v>Muud tegevuskulud</v>
      </c>
      <c r="O1180" t="str">
        <f>VLOOKUP(Table2[[#This Row],[Tulu/kulu liik2]],Table5[],6,FALSE)</f>
        <v>Majandamiskulud</v>
      </c>
      <c r="P1180" s="3" t="str">
        <f>VLOOKUP(Table2[[#This Row],[Tulu/kulu liik2]],Table5[],5,FALSE)</f>
        <v>Põhitegevuse kulu</v>
      </c>
    </row>
    <row r="1181" spans="1:16" hidden="1" x14ac:dyDescent="0.25">
      <c r="A1181" t="str">
        <f t="shared" si="36"/>
        <v>10</v>
      </c>
      <c r="B1181" t="s">
        <v>361</v>
      </c>
      <c r="C1181" s="3" t="str">
        <f>VLOOKUP(Table2[[#This Row],[Tegevusala]],Table4[],2,FALSE)</f>
        <v xml:space="preserve"> Vinni päevakeskus</v>
      </c>
      <c r="D1181" s="3" t="str">
        <f>VLOOKUP(Table2[[#This Row],[Tegevusala]],Table4[[Tegevusala kood]:[Tegevusala alanimetus]],4,FALSE)</f>
        <v>Eakate sotsiaalhoolekande asutused</v>
      </c>
      <c r="E1181" s="3" t="str">
        <f>VLOOKUP(Table2[[#This Row],[Tegevusala nimetus2]],Table4[[Tegevusala nimetus]:[Tegevusala koondnimetus]],2,FALSE)</f>
        <v>Sotsiaalne kaitse</v>
      </c>
      <c r="F1181" t="s">
        <v>419</v>
      </c>
      <c r="G1181" t="s">
        <v>421</v>
      </c>
      <c r="H1181" s="40">
        <v>50</v>
      </c>
      <c r="J1181">
        <v>5500</v>
      </c>
      <c r="K1181" s="3" t="str">
        <f>VLOOKUP(Table2[[#This Row],[Konto]],Table5[[Konto]:[Konto nimetus]],2,FALSE)</f>
        <v>Administreerimiskulud</v>
      </c>
      <c r="L1181">
        <v>55</v>
      </c>
      <c r="M1181" t="str">
        <f t="shared" si="37"/>
        <v>55</v>
      </c>
      <c r="N1181" t="str">
        <f>VLOOKUP(Table2[[#This Row],[Tulu/kulu liik2]],Table5[[Tulu/kulu liik]:[Kontode koondnimetus]],4,FALSE)</f>
        <v>Muud tegevuskulud</v>
      </c>
      <c r="O1181" t="str">
        <f>VLOOKUP(Table2[[#This Row],[Tulu/kulu liik2]],Table5[],6,FALSE)</f>
        <v>Majandamiskulud</v>
      </c>
      <c r="P1181" s="3" t="str">
        <f>VLOOKUP(Table2[[#This Row],[Tulu/kulu liik2]],Table5[],5,FALSE)</f>
        <v>Põhitegevuse kulu</v>
      </c>
    </row>
    <row r="1182" spans="1:16" hidden="1" x14ac:dyDescent="0.25">
      <c r="A1182" t="str">
        <f t="shared" si="36"/>
        <v>10</v>
      </c>
      <c r="B1182" t="s">
        <v>361</v>
      </c>
      <c r="C1182" s="3" t="str">
        <f>VLOOKUP(Table2[[#This Row],[Tegevusala]],Table4[],2,FALSE)</f>
        <v xml:space="preserve"> Vinni päevakeskus</v>
      </c>
      <c r="D1182" s="3" t="str">
        <f>VLOOKUP(Table2[[#This Row],[Tegevusala]],Table4[[Tegevusala kood]:[Tegevusala alanimetus]],4,FALSE)</f>
        <v>Eakate sotsiaalhoolekande asutused</v>
      </c>
      <c r="E1182" s="3" t="str">
        <f>VLOOKUP(Table2[[#This Row],[Tegevusala nimetus2]],Table4[[Tegevusala nimetus]:[Tegevusala koondnimetus]],2,FALSE)</f>
        <v>Sotsiaalne kaitse</v>
      </c>
      <c r="F1182" t="s">
        <v>419</v>
      </c>
      <c r="G1182" t="s">
        <v>422</v>
      </c>
      <c r="H1182" s="40">
        <v>200</v>
      </c>
      <c r="J1182">
        <v>5500</v>
      </c>
      <c r="K1182" s="3" t="str">
        <f>VLOOKUP(Table2[[#This Row],[Konto]],Table5[[Konto]:[Konto nimetus]],2,FALSE)</f>
        <v>Administreerimiskulud</v>
      </c>
      <c r="L1182">
        <v>55</v>
      </c>
      <c r="M1182" t="str">
        <f t="shared" si="37"/>
        <v>55</v>
      </c>
      <c r="N1182" t="str">
        <f>VLOOKUP(Table2[[#This Row],[Tulu/kulu liik2]],Table5[[Tulu/kulu liik]:[Kontode koondnimetus]],4,FALSE)</f>
        <v>Muud tegevuskulud</v>
      </c>
      <c r="O1182" t="str">
        <f>VLOOKUP(Table2[[#This Row],[Tulu/kulu liik2]],Table5[],6,FALSE)</f>
        <v>Majandamiskulud</v>
      </c>
      <c r="P1182" s="3" t="str">
        <f>VLOOKUP(Table2[[#This Row],[Tulu/kulu liik2]],Table5[],5,FALSE)</f>
        <v>Põhitegevuse kulu</v>
      </c>
    </row>
    <row r="1183" spans="1:16" hidden="1" x14ac:dyDescent="0.25">
      <c r="A1183" t="str">
        <f t="shared" si="36"/>
        <v>10</v>
      </c>
      <c r="B1183" t="s">
        <v>361</v>
      </c>
      <c r="C1183" s="3" t="str">
        <f>VLOOKUP(Table2[[#This Row],[Tegevusala]],Table4[],2,FALSE)</f>
        <v xml:space="preserve"> Vinni päevakeskus</v>
      </c>
      <c r="D1183" s="3" t="str">
        <f>VLOOKUP(Table2[[#This Row],[Tegevusala]],Table4[[Tegevusala kood]:[Tegevusala alanimetus]],4,FALSE)</f>
        <v>Eakate sotsiaalhoolekande asutused</v>
      </c>
      <c r="E1183" s="3" t="str">
        <f>VLOOKUP(Table2[[#This Row],[Tegevusala nimetus2]],Table4[[Tegevusala nimetus]:[Tegevusala koondnimetus]],2,FALSE)</f>
        <v>Sotsiaalne kaitse</v>
      </c>
      <c r="F1183" t="s">
        <v>419</v>
      </c>
      <c r="G1183" t="s">
        <v>102</v>
      </c>
      <c r="H1183" s="40">
        <v>50</v>
      </c>
      <c r="J1183">
        <v>5504</v>
      </c>
      <c r="K1183" s="3" t="str">
        <f>VLOOKUP(Table2[[#This Row],[Konto]],Table5[[Konto]:[Konto nimetus]],2,FALSE)</f>
        <v>Koolituskulud</v>
      </c>
      <c r="L1183">
        <v>55</v>
      </c>
      <c r="M1183" t="str">
        <f t="shared" si="37"/>
        <v>55</v>
      </c>
      <c r="N1183" t="str">
        <f>VLOOKUP(Table2[[#This Row],[Tulu/kulu liik2]],Table5[[Tulu/kulu liik]:[Kontode koondnimetus]],4,FALSE)</f>
        <v>Muud tegevuskulud</v>
      </c>
      <c r="O1183" t="str">
        <f>VLOOKUP(Table2[[#This Row],[Tulu/kulu liik2]],Table5[],6,FALSE)</f>
        <v>Majandamiskulud</v>
      </c>
      <c r="P1183" s="3" t="str">
        <f>VLOOKUP(Table2[[#This Row],[Tulu/kulu liik2]],Table5[],5,FALSE)</f>
        <v>Põhitegevuse kulu</v>
      </c>
    </row>
    <row r="1184" spans="1:16" hidden="1" x14ac:dyDescent="0.25">
      <c r="A1184" t="str">
        <f t="shared" si="36"/>
        <v>10</v>
      </c>
      <c r="B1184" t="s">
        <v>361</v>
      </c>
      <c r="C1184" s="3" t="str">
        <f>VLOOKUP(Table2[[#This Row],[Tegevusala]],Table4[],2,FALSE)</f>
        <v xml:space="preserve"> Vinni päevakeskus</v>
      </c>
      <c r="D1184" s="3" t="str">
        <f>VLOOKUP(Table2[[#This Row],[Tegevusala]],Table4[[Tegevusala kood]:[Tegevusala alanimetus]],4,FALSE)</f>
        <v>Eakate sotsiaalhoolekande asutused</v>
      </c>
      <c r="E1184" s="3" t="str">
        <f>VLOOKUP(Table2[[#This Row],[Tegevusala nimetus2]],Table4[[Tegevusala nimetus]:[Tegevusala koondnimetus]],2,FALSE)</f>
        <v>Sotsiaalne kaitse</v>
      </c>
      <c r="F1184" t="s">
        <v>419</v>
      </c>
      <c r="G1184" t="s">
        <v>424</v>
      </c>
      <c r="H1184" s="40">
        <v>760</v>
      </c>
      <c r="J1184">
        <v>5513</v>
      </c>
      <c r="K1184" s="3" t="str">
        <f>VLOOKUP(Table2[[#This Row],[Konto]],Table5[[Konto]:[Konto nimetus]],2,FALSE)</f>
        <v>Sõidukite ülalpidamise kulud</v>
      </c>
      <c r="L1184">
        <v>55</v>
      </c>
      <c r="M1184" t="str">
        <f t="shared" si="37"/>
        <v>55</v>
      </c>
      <c r="N1184" t="str">
        <f>VLOOKUP(Table2[[#This Row],[Tulu/kulu liik2]],Table5[[Tulu/kulu liik]:[Kontode koondnimetus]],4,FALSE)</f>
        <v>Muud tegevuskulud</v>
      </c>
      <c r="O1184" t="str">
        <f>VLOOKUP(Table2[[#This Row],[Tulu/kulu liik2]],Table5[],6,FALSE)</f>
        <v>Majandamiskulud</v>
      </c>
      <c r="P1184" s="3" t="str">
        <f>VLOOKUP(Table2[[#This Row],[Tulu/kulu liik2]],Table5[],5,FALSE)</f>
        <v>Põhitegevuse kulu</v>
      </c>
    </row>
    <row r="1185" spans="1:16" hidden="1" x14ac:dyDescent="0.25">
      <c r="A1185" t="str">
        <f t="shared" si="36"/>
        <v>10</v>
      </c>
      <c r="B1185" t="s">
        <v>361</v>
      </c>
      <c r="C1185" s="3" t="str">
        <f>VLOOKUP(Table2[[#This Row],[Tegevusala]],Table4[],2,FALSE)</f>
        <v xml:space="preserve"> Vinni päevakeskus</v>
      </c>
      <c r="D1185" s="3" t="str">
        <f>VLOOKUP(Table2[[#This Row],[Tegevusala]],Table4[[Tegevusala kood]:[Tegevusala alanimetus]],4,FALSE)</f>
        <v>Eakate sotsiaalhoolekande asutused</v>
      </c>
      <c r="E1185" s="3" t="str">
        <f>VLOOKUP(Table2[[#This Row],[Tegevusala nimetus2]],Table4[[Tegevusala nimetus]:[Tegevusala koondnimetus]],2,FALSE)</f>
        <v>Sotsiaalne kaitse</v>
      </c>
      <c r="F1185" t="s">
        <v>419</v>
      </c>
      <c r="G1185" t="s">
        <v>427</v>
      </c>
      <c r="H1185" s="40">
        <v>200</v>
      </c>
      <c r="J1185">
        <v>5525</v>
      </c>
      <c r="K1185" s="3" t="str">
        <f>VLOOKUP(Table2[[#This Row],[Konto]],Table5[[Konto]:[Konto nimetus]],2,FALSE)</f>
        <v>Kommunikatsiooni-, kultuuri- ja vaba aja sisustamise kulud</v>
      </c>
      <c r="L1185">
        <v>55</v>
      </c>
      <c r="M1185" t="str">
        <f t="shared" si="37"/>
        <v>55</v>
      </c>
      <c r="N1185" t="str">
        <f>VLOOKUP(Table2[[#This Row],[Tulu/kulu liik2]],Table5[[Tulu/kulu liik]:[Kontode koondnimetus]],4,FALSE)</f>
        <v>Muud tegevuskulud</v>
      </c>
      <c r="O1185" t="str">
        <f>VLOOKUP(Table2[[#This Row],[Tulu/kulu liik2]],Table5[],6,FALSE)</f>
        <v>Majandamiskulud</v>
      </c>
      <c r="P1185" s="3" t="str">
        <f>VLOOKUP(Table2[[#This Row],[Tulu/kulu liik2]],Table5[],5,FALSE)</f>
        <v>Põhitegevuse kulu</v>
      </c>
    </row>
    <row r="1186" spans="1:16" hidden="1" x14ac:dyDescent="0.25">
      <c r="A1186" t="str">
        <f t="shared" si="36"/>
        <v>10</v>
      </c>
      <c r="B1186" t="s">
        <v>361</v>
      </c>
      <c r="C1186" s="3" t="str">
        <f>VLOOKUP(Table2[[#This Row],[Tegevusala]],Table4[],2,FALSE)</f>
        <v xml:space="preserve"> Vinni päevakeskus</v>
      </c>
      <c r="D1186" s="3" t="str">
        <f>VLOOKUP(Table2[[#This Row],[Tegevusala]],Table4[[Tegevusala kood]:[Tegevusala alanimetus]],4,FALSE)</f>
        <v>Eakate sotsiaalhoolekande asutused</v>
      </c>
      <c r="E1186" s="3" t="str">
        <f>VLOOKUP(Table2[[#This Row],[Tegevusala nimetus2]],Table4[[Tegevusala nimetus]:[Tegevusala koondnimetus]],2,FALSE)</f>
        <v>Sotsiaalne kaitse</v>
      </c>
      <c r="F1186" t="s">
        <v>419</v>
      </c>
      <c r="G1186" t="s">
        <v>428</v>
      </c>
      <c r="H1186" s="40">
        <v>100</v>
      </c>
      <c r="J1186">
        <v>5525</v>
      </c>
      <c r="K1186" s="3" t="str">
        <f>VLOOKUP(Table2[[#This Row],[Konto]],Table5[[Konto]:[Konto nimetus]],2,FALSE)</f>
        <v>Kommunikatsiooni-, kultuuri- ja vaba aja sisustamise kulud</v>
      </c>
      <c r="L1186">
        <v>55</v>
      </c>
      <c r="M1186" t="str">
        <f t="shared" si="37"/>
        <v>55</v>
      </c>
      <c r="N1186" t="str">
        <f>VLOOKUP(Table2[[#This Row],[Tulu/kulu liik2]],Table5[[Tulu/kulu liik]:[Kontode koondnimetus]],4,FALSE)</f>
        <v>Muud tegevuskulud</v>
      </c>
      <c r="O1186" t="str">
        <f>VLOOKUP(Table2[[#This Row],[Tulu/kulu liik2]],Table5[],6,FALSE)</f>
        <v>Majandamiskulud</v>
      </c>
      <c r="P1186" s="3" t="str">
        <f>VLOOKUP(Table2[[#This Row],[Tulu/kulu liik2]],Table5[],5,FALSE)</f>
        <v>Põhitegevuse kulu</v>
      </c>
    </row>
    <row r="1187" spans="1:16" hidden="1" x14ac:dyDescent="0.25">
      <c r="A1187" t="str">
        <f t="shared" si="36"/>
        <v>10</v>
      </c>
      <c r="B1187" t="s">
        <v>361</v>
      </c>
      <c r="C1187" s="3" t="str">
        <f>VLOOKUP(Table2[[#This Row],[Tegevusala]],Table4[],2,FALSE)</f>
        <v xml:space="preserve"> Vinni päevakeskus</v>
      </c>
      <c r="D1187" s="3" t="str">
        <f>VLOOKUP(Table2[[#This Row],[Tegevusala]],Table4[[Tegevusala kood]:[Tegevusala alanimetus]],4,FALSE)</f>
        <v>Eakate sotsiaalhoolekande asutused</v>
      </c>
      <c r="E1187" s="3" t="str">
        <f>VLOOKUP(Table2[[#This Row],[Tegevusala nimetus2]],Table4[[Tegevusala nimetus]:[Tegevusala koondnimetus]],2,FALSE)</f>
        <v>Sotsiaalne kaitse</v>
      </c>
      <c r="F1187" t="s">
        <v>419</v>
      </c>
      <c r="G1187" t="s">
        <v>429</v>
      </c>
      <c r="H1187" s="40">
        <v>640</v>
      </c>
      <c r="J1187">
        <v>5525</v>
      </c>
      <c r="K1187" s="3" t="str">
        <f>VLOOKUP(Table2[[#This Row],[Konto]],Table5[[Konto]:[Konto nimetus]],2,FALSE)</f>
        <v>Kommunikatsiooni-, kultuuri- ja vaba aja sisustamise kulud</v>
      </c>
      <c r="L1187">
        <v>55</v>
      </c>
      <c r="M1187" t="str">
        <f t="shared" si="37"/>
        <v>55</v>
      </c>
      <c r="N1187" t="str">
        <f>VLOOKUP(Table2[[#This Row],[Tulu/kulu liik2]],Table5[[Tulu/kulu liik]:[Kontode koondnimetus]],4,FALSE)</f>
        <v>Muud tegevuskulud</v>
      </c>
      <c r="O1187" t="str">
        <f>VLOOKUP(Table2[[#This Row],[Tulu/kulu liik2]],Table5[],6,FALSE)</f>
        <v>Majandamiskulud</v>
      </c>
      <c r="P1187" s="3" t="str">
        <f>VLOOKUP(Table2[[#This Row],[Tulu/kulu liik2]],Table5[],5,FALSE)</f>
        <v>Põhitegevuse kulu</v>
      </c>
    </row>
    <row r="1188" spans="1:16" hidden="1" x14ac:dyDescent="0.25">
      <c r="A1188" t="str">
        <f t="shared" si="36"/>
        <v>10</v>
      </c>
      <c r="B1188" t="s">
        <v>361</v>
      </c>
      <c r="C1188" s="3" t="str">
        <f>VLOOKUP(Table2[[#This Row],[Tegevusala]],Table4[],2,FALSE)</f>
        <v xml:space="preserve"> Vinni päevakeskus</v>
      </c>
      <c r="D1188" s="3" t="str">
        <f>VLOOKUP(Table2[[#This Row],[Tegevusala]],Table4[[Tegevusala kood]:[Tegevusala alanimetus]],4,FALSE)</f>
        <v>Eakate sotsiaalhoolekande asutused</v>
      </c>
      <c r="E1188" s="3" t="str">
        <f>VLOOKUP(Table2[[#This Row],[Tegevusala nimetus2]],Table4[[Tegevusala nimetus]:[Tegevusala koondnimetus]],2,FALSE)</f>
        <v>Sotsiaalne kaitse</v>
      </c>
      <c r="F1188" t="s">
        <v>419</v>
      </c>
      <c r="G1188" t="s">
        <v>430</v>
      </c>
      <c r="H1188" s="40">
        <v>1350</v>
      </c>
      <c r="J1188">
        <v>5525</v>
      </c>
      <c r="K1188" s="3" t="str">
        <f>VLOOKUP(Table2[[#This Row],[Konto]],Table5[[Konto]:[Konto nimetus]],2,FALSE)</f>
        <v>Kommunikatsiooni-, kultuuri- ja vaba aja sisustamise kulud</v>
      </c>
      <c r="L1188">
        <v>55</v>
      </c>
      <c r="M1188" t="str">
        <f t="shared" si="37"/>
        <v>55</v>
      </c>
      <c r="N1188" t="str">
        <f>VLOOKUP(Table2[[#This Row],[Tulu/kulu liik2]],Table5[[Tulu/kulu liik]:[Kontode koondnimetus]],4,FALSE)</f>
        <v>Muud tegevuskulud</v>
      </c>
      <c r="O1188" t="str">
        <f>VLOOKUP(Table2[[#This Row],[Tulu/kulu liik2]],Table5[],6,FALSE)</f>
        <v>Majandamiskulud</v>
      </c>
      <c r="P1188" s="3" t="str">
        <f>VLOOKUP(Table2[[#This Row],[Tulu/kulu liik2]],Table5[],5,FALSE)</f>
        <v>Põhitegevuse kulu</v>
      </c>
    </row>
    <row r="1189" spans="1:16" hidden="1" x14ac:dyDescent="0.25">
      <c r="A1189" t="str">
        <f t="shared" si="36"/>
        <v>10</v>
      </c>
      <c r="B1189" t="s">
        <v>361</v>
      </c>
      <c r="C1189" s="3" t="str">
        <f>VLOOKUP(Table2[[#This Row],[Tegevusala]],Table4[],2,FALSE)</f>
        <v xml:space="preserve"> Vinni päevakeskus</v>
      </c>
      <c r="D1189" s="3" t="str">
        <f>VLOOKUP(Table2[[#This Row],[Tegevusala]],Table4[[Tegevusala kood]:[Tegevusala alanimetus]],4,FALSE)</f>
        <v>Eakate sotsiaalhoolekande asutused</v>
      </c>
      <c r="E1189" s="3" t="str">
        <f>VLOOKUP(Table2[[#This Row],[Tegevusala nimetus2]],Table4[[Tegevusala nimetus]:[Tegevusala koondnimetus]],2,FALSE)</f>
        <v>Sotsiaalne kaitse</v>
      </c>
      <c r="F1189" t="s">
        <v>419</v>
      </c>
      <c r="G1189" t="s">
        <v>431</v>
      </c>
      <c r="H1189" s="40">
        <v>500</v>
      </c>
      <c r="J1189">
        <v>5525</v>
      </c>
      <c r="K1189" s="3" t="str">
        <f>VLOOKUP(Table2[[#This Row],[Konto]],Table5[[Konto]:[Konto nimetus]],2,FALSE)</f>
        <v>Kommunikatsiooni-, kultuuri- ja vaba aja sisustamise kulud</v>
      </c>
      <c r="L1189">
        <v>55</v>
      </c>
      <c r="M1189" t="str">
        <f t="shared" si="37"/>
        <v>55</v>
      </c>
      <c r="N1189" t="str">
        <f>VLOOKUP(Table2[[#This Row],[Tulu/kulu liik2]],Table5[[Tulu/kulu liik]:[Kontode koondnimetus]],4,FALSE)</f>
        <v>Muud tegevuskulud</v>
      </c>
      <c r="O1189" t="str">
        <f>VLOOKUP(Table2[[#This Row],[Tulu/kulu liik2]],Table5[],6,FALSE)</f>
        <v>Majandamiskulud</v>
      </c>
      <c r="P1189" s="3" t="str">
        <f>VLOOKUP(Table2[[#This Row],[Tulu/kulu liik2]],Table5[],5,FALSE)</f>
        <v>Põhitegevuse kulu</v>
      </c>
    </row>
    <row r="1190" spans="1:16" hidden="1" x14ac:dyDescent="0.25">
      <c r="A1190" t="str">
        <f t="shared" si="36"/>
        <v>10</v>
      </c>
      <c r="B1190" t="s">
        <v>361</v>
      </c>
      <c r="C1190" s="3" t="str">
        <f>VLOOKUP(Table2[[#This Row],[Tegevusala]],Table4[],2,FALSE)</f>
        <v xml:space="preserve"> Vinni päevakeskus</v>
      </c>
      <c r="D1190" s="3" t="str">
        <f>VLOOKUP(Table2[[#This Row],[Tegevusala]],Table4[[Tegevusala kood]:[Tegevusala alanimetus]],4,FALSE)</f>
        <v>Eakate sotsiaalhoolekande asutused</v>
      </c>
      <c r="E1190" s="3" t="str">
        <f>VLOOKUP(Table2[[#This Row],[Tegevusala nimetus2]],Table4[[Tegevusala nimetus]:[Tegevusala koondnimetus]],2,FALSE)</f>
        <v>Sotsiaalne kaitse</v>
      </c>
      <c r="F1190" t="s">
        <v>419</v>
      </c>
      <c r="G1190" t="s">
        <v>423</v>
      </c>
      <c r="H1190" s="40">
        <v>100</v>
      </c>
      <c r="J1190">
        <v>5511</v>
      </c>
      <c r="K1190" s="3" t="str">
        <f>VLOOKUP(Table2[[#This Row],[Konto]],Table5[[Konto]:[Konto nimetus]],2,FALSE)</f>
        <v>Kinnistute, hoonete ja ruumide majandamiskulud</v>
      </c>
      <c r="L1190">
        <v>55</v>
      </c>
      <c r="M1190" t="str">
        <f t="shared" si="37"/>
        <v>55</v>
      </c>
      <c r="N1190" t="str">
        <f>VLOOKUP(Table2[[#This Row],[Tulu/kulu liik2]],Table5[[Tulu/kulu liik]:[Kontode koondnimetus]],4,FALSE)</f>
        <v>Muud tegevuskulud</v>
      </c>
      <c r="O1190" t="str">
        <f>VLOOKUP(Table2[[#This Row],[Tulu/kulu liik2]],Table5[],6,FALSE)</f>
        <v>Majandamiskulud</v>
      </c>
      <c r="P1190" s="3" t="str">
        <f>VLOOKUP(Table2[[#This Row],[Tulu/kulu liik2]],Table5[],5,FALSE)</f>
        <v>Põhitegevuse kulu</v>
      </c>
    </row>
    <row r="1191" spans="1:16" hidden="1" x14ac:dyDescent="0.25">
      <c r="A1191" t="str">
        <f t="shared" si="36"/>
        <v>10</v>
      </c>
      <c r="B1191" t="s">
        <v>361</v>
      </c>
      <c r="C1191" s="3" t="str">
        <f>VLOOKUP(Table2[[#This Row],[Tegevusala]],Table4[],2,FALSE)</f>
        <v xml:space="preserve"> Vinni päevakeskus</v>
      </c>
      <c r="D1191" s="3" t="str">
        <f>VLOOKUP(Table2[[#This Row],[Tegevusala]],Table4[[Tegevusala kood]:[Tegevusala alanimetus]],4,FALSE)</f>
        <v>Eakate sotsiaalhoolekande asutused</v>
      </c>
      <c r="E1191" s="3" t="str">
        <f>VLOOKUP(Table2[[#This Row],[Tegevusala nimetus2]],Table4[[Tegevusala nimetus]:[Tegevusala koondnimetus]],2,FALSE)</f>
        <v>Sotsiaalne kaitse</v>
      </c>
      <c r="F1191" t="s">
        <v>419</v>
      </c>
      <c r="G1191" t="s">
        <v>425</v>
      </c>
      <c r="H1191" s="40">
        <v>50</v>
      </c>
      <c r="J1191">
        <v>5511</v>
      </c>
      <c r="K1191" s="3" t="str">
        <f>VLOOKUP(Table2[[#This Row],[Konto]],Table5[[Konto]:[Konto nimetus]],2,FALSE)</f>
        <v>Kinnistute, hoonete ja ruumide majandamiskulud</v>
      </c>
      <c r="L1191">
        <v>55</v>
      </c>
      <c r="M1191" t="str">
        <f t="shared" si="37"/>
        <v>55</v>
      </c>
      <c r="N1191" t="str">
        <f>VLOOKUP(Table2[[#This Row],[Tulu/kulu liik2]],Table5[[Tulu/kulu liik]:[Kontode koondnimetus]],4,FALSE)</f>
        <v>Muud tegevuskulud</v>
      </c>
      <c r="O1191" t="str">
        <f>VLOOKUP(Table2[[#This Row],[Tulu/kulu liik2]],Table5[],6,FALSE)</f>
        <v>Majandamiskulud</v>
      </c>
      <c r="P1191" s="3" t="str">
        <f>VLOOKUP(Table2[[#This Row],[Tulu/kulu liik2]],Table5[],5,FALSE)</f>
        <v>Põhitegevuse kulu</v>
      </c>
    </row>
    <row r="1192" spans="1:16" hidden="1" x14ac:dyDescent="0.25">
      <c r="A1192" t="str">
        <f t="shared" si="36"/>
        <v>10</v>
      </c>
      <c r="B1192" t="s">
        <v>361</v>
      </c>
      <c r="C1192" s="3" t="str">
        <f>VLOOKUP(Table2[[#This Row],[Tegevusala]],Table4[],2,FALSE)</f>
        <v xml:space="preserve"> Vinni päevakeskus</v>
      </c>
      <c r="D1192" s="3" t="str">
        <f>VLOOKUP(Table2[[#This Row],[Tegevusala]],Table4[[Tegevusala kood]:[Tegevusala alanimetus]],4,FALSE)</f>
        <v>Eakate sotsiaalhoolekande asutused</v>
      </c>
      <c r="E1192" s="3" t="str">
        <f>VLOOKUP(Table2[[#This Row],[Tegevusala nimetus2]],Table4[[Tegevusala nimetus]:[Tegevusala koondnimetus]],2,FALSE)</f>
        <v>Sotsiaalne kaitse</v>
      </c>
      <c r="F1192" t="s">
        <v>419</v>
      </c>
      <c r="G1192" t="s">
        <v>426</v>
      </c>
      <c r="H1192" s="40">
        <v>50</v>
      </c>
      <c r="J1192">
        <v>5511</v>
      </c>
      <c r="K1192" s="3" t="str">
        <f>VLOOKUP(Table2[[#This Row],[Konto]],Table5[[Konto]:[Konto nimetus]],2,FALSE)</f>
        <v>Kinnistute, hoonete ja ruumide majandamiskulud</v>
      </c>
      <c r="L1192">
        <v>55</v>
      </c>
      <c r="M1192" t="str">
        <f t="shared" si="37"/>
        <v>55</v>
      </c>
      <c r="N1192" t="str">
        <f>VLOOKUP(Table2[[#This Row],[Tulu/kulu liik2]],Table5[[Tulu/kulu liik]:[Kontode koondnimetus]],4,FALSE)</f>
        <v>Muud tegevuskulud</v>
      </c>
      <c r="O1192" t="str">
        <f>VLOOKUP(Table2[[#This Row],[Tulu/kulu liik2]],Table5[],6,FALSE)</f>
        <v>Majandamiskulud</v>
      </c>
      <c r="P1192" s="3" t="str">
        <f>VLOOKUP(Table2[[#This Row],[Tulu/kulu liik2]],Table5[],5,FALSE)</f>
        <v>Põhitegevuse kulu</v>
      </c>
    </row>
    <row r="1193" spans="1:16" hidden="1" x14ac:dyDescent="0.25">
      <c r="A1193" s="33" t="str">
        <f t="shared" si="36"/>
        <v>10</v>
      </c>
      <c r="B1193" s="33" t="s">
        <v>362</v>
      </c>
      <c r="C1193" s="34" t="str">
        <f>VLOOKUP(Table2[[#This Row],[Tegevusala]],Table4[],2,FALSE)</f>
        <v xml:space="preserve"> Hooldajad</v>
      </c>
      <c r="D1193" s="34" t="str">
        <f>VLOOKUP(Table2[[#This Row],[Tegevusala]],Table4[[Tegevusala kood]:[Tegevusala alanimetus]],4,FALSE)</f>
        <v>Muu eakate sotsiaalne kaitse</v>
      </c>
      <c r="E1193" s="34" t="str">
        <f>VLOOKUP(Table2[[#This Row],[Tegevusala nimetus2]],Table4[[Tegevusala nimetus]:[Tegevusala koondnimetus]],2,FALSE)</f>
        <v>Sotsiaalne kaitse</v>
      </c>
      <c r="F1193" s="33" t="s">
        <v>444</v>
      </c>
      <c r="G1193" s="33" t="s">
        <v>709</v>
      </c>
      <c r="H1193" s="47">
        <v>1000</v>
      </c>
      <c r="I1193" s="35" t="s">
        <v>713</v>
      </c>
      <c r="J1193" s="33">
        <v>5513</v>
      </c>
      <c r="K1193" s="34" t="str">
        <f>VLOOKUP(Table2[[#This Row],[Konto]],Table5[[Konto]:[Konto nimetus]],2,FALSE)</f>
        <v>Sõidukite ülalpidamise kulud</v>
      </c>
      <c r="L1193" s="33">
        <v>55</v>
      </c>
      <c r="M1193" s="33" t="str">
        <f t="shared" si="37"/>
        <v>55</v>
      </c>
      <c r="N1193" s="34" t="str">
        <f>VLOOKUP(Table2[[#This Row],[Tulu/kulu liik2]],Table5[[Tulu/kulu liik]:[Kontode koondnimetus]],4,FALSE)</f>
        <v>Muud tegevuskulud</v>
      </c>
      <c r="O1193" s="34" t="str">
        <f>VLOOKUP(Table2[[#This Row],[Tulu/kulu liik2]],Table5[],6,FALSE)</f>
        <v>Majandamiskulud</v>
      </c>
      <c r="P1193" s="34" t="str">
        <f>VLOOKUP(Table2[[#This Row],[Tulu/kulu liik2]],Table5[],5,FALSE)</f>
        <v>Põhitegevuse kulu</v>
      </c>
    </row>
    <row r="1194" spans="1:16" hidden="1" x14ac:dyDescent="0.25">
      <c r="A1194" s="33" t="str">
        <f t="shared" si="36"/>
        <v>10</v>
      </c>
      <c r="B1194" s="33" t="s">
        <v>362</v>
      </c>
      <c r="C1194" s="34" t="str">
        <f>VLOOKUP(Table2[[#This Row],[Tegevusala]],Table4[],2,FALSE)</f>
        <v xml:space="preserve"> Hooldajad</v>
      </c>
      <c r="D1194" s="34" t="str">
        <f>VLOOKUP(Table2[[#This Row],[Tegevusala]],Table4[[Tegevusala kood]:[Tegevusala alanimetus]],4,FALSE)</f>
        <v>Muu eakate sotsiaalne kaitse</v>
      </c>
      <c r="E1194" s="34" t="str">
        <f>VLOOKUP(Table2[[#This Row],[Tegevusala nimetus2]],Table4[[Tegevusala nimetus]:[Tegevusala koondnimetus]],2,FALSE)</f>
        <v>Sotsiaalne kaitse</v>
      </c>
      <c r="F1194" s="33" t="s">
        <v>444</v>
      </c>
      <c r="G1194" s="33" t="s">
        <v>710</v>
      </c>
      <c r="H1194" s="47">
        <v>600</v>
      </c>
      <c r="I1194" s="35"/>
      <c r="J1194" s="33">
        <v>5504</v>
      </c>
      <c r="K1194" s="34" t="str">
        <f>VLOOKUP(Table2[[#This Row],[Konto]],Table5[[Konto]:[Konto nimetus]],2,FALSE)</f>
        <v>Koolituskulud</v>
      </c>
      <c r="L1194" s="33">
        <v>55</v>
      </c>
      <c r="M1194" s="33" t="str">
        <f t="shared" si="37"/>
        <v>55</v>
      </c>
      <c r="N1194" s="34" t="str">
        <f>VLOOKUP(Table2[[#This Row],[Tulu/kulu liik2]],Table5[[Tulu/kulu liik]:[Kontode koondnimetus]],4,FALSE)</f>
        <v>Muud tegevuskulud</v>
      </c>
      <c r="O1194" s="34" t="str">
        <f>VLOOKUP(Table2[[#This Row],[Tulu/kulu liik2]],Table5[],6,FALSE)</f>
        <v>Majandamiskulud</v>
      </c>
      <c r="P1194" s="34" t="str">
        <f>VLOOKUP(Table2[[#This Row],[Tulu/kulu liik2]],Table5[],5,FALSE)</f>
        <v>Põhitegevuse kulu</v>
      </c>
    </row>
    <row r="1195" spans="1:16" hidden="1" x14ac:dyDescent="0.25">
      <c r="A1195" s="33" t="str">
        <f t="shared" si="36"/>
        <v>10</v>
      </c>
      <c r="B1195" s="33" t="s">
        <v>362</v>
      </c>
      <c r="C1195" s="34" t="str">
        <f>VLOOKUP(Table2[[#This Row],[Tegevusala]],Table4[],2,FALSE)</f>
        <v xml:space="preserve"> Hooldajad</v>
      </c>
      <c r="D1195" s="34" t="str">
        <f>VLOOKUP(Table2[[#This Row],[Tegevusala]],Table4[[Tegevusala kood]:[Tegevusala alanimetus]],4,FALSE)</f>
        <v>Muu eakate sotsiaalne kaitse</v>
      </c>
      <c r="E1195" s="34" t="str">
        <f>VLOOKUP(Table2[[#This Row],[Tegevusala nimetus2]],Table4[[Tegevusala nimetus]:[Tegevusala koondnimetus]],2,FALSE)</f>
        <v>Sotsiaalne kaitse</v>
      </c>
      <c r="F1195" s="33" t="s">
        <v>444</v>
      </c>
      <c r="G1195" s="33" t="s">
        <v>711</v>
      </c>
      <c r="H1195" s="47">
        <v>900</v>
      </c>
      <c r="I1195" s="35" t="s">
        <v>712</v>
      </c>
      <c r="J1195" s="33">
        <v>5515</v>
      </c>
      <c r="K1195" s="34" t="str">
        <f>VLOOKUP(Table2[[#This Row],[Konto]],Table5[[Konto]:[Konto nimetus]],2,FALSE)</f>
        <v>Inventari kulud, v.a infotehnoloogia ja kaitseotstarbelised kulud</v>
      </c>
      <c r="L1195" s="33">
        <v>55</v>
      </c>
      <c r="M1195" s="33" t="str">
        <f t="shared" si="37"/>
        <v>55</v>
      </c>
      <c r="N1195" s="34" t="str">
        <f>VLOOKUP(Table2[[#This Row],[Tulu/kulu liik2]],Table5[[Tulu/kulu liik]:[Kontode koondnimetus]],4,FALSE)</f>
        <v>Muud tegevuskulud</v>
      </c>
      <c r="O1195" s="34" t="str">
        <f>VLOOKUP(Table2[[#This Row],[Tulu/kulu liik2]],Table5[],6,FALSE)</f>
        <v>Majandamiskulud</v>
      </c>
      <c r="P1195" s="34" t="str">
        <f>VLOOKUP(Table2[[#This Row],[Tulu/kulu liik2]],Table5[],5,FALSE)</f>
        <v>Põhitegevuse kulu</v>
      </c>
    </row>
    <row r="1196" spans="1:16" hidden="1" x14ac:dyDescent="0.25">
      <c r="A1196" t="str">
        <f t="shared" si="36"/>
        <v>10</v>
      </c>
      <c r="B1196" t="s">
        <v>363</v>
      </c>
      <c r="C1196" s="3" t="str">
        <f>VLOOKUP(Table2[[#This Row],[Tegevusala]],Table4[],2,FALSE)</f>
        <v xml:space="preserve"> Eakate toetused</v>
      </c>
      <c r="D1196" s="3" t="str">
        <f>VLOOKUP(Table2[[#This Row],[Tegevusala]],Table4[[Tegevusala kood]:[Tegevusala alanimetus]],4,FALSE)</f>
        <v>Muu eakate sotsiaalne kaitse</v>
      </c>
      <c r="E1196" s="3" t="str">
        <f>VLOOKUP(Table2[[#This Row],[Tegevusala nimetus2]],Table4[[Tegevusala nimetus]:[Tegevusala koondnimetus]],2,FALSE)</f>
        <v>Sotsiaalne kaitse</v>
      </c>
      <c r="F1196" t="s">
        <v>444</v>
      </c>
      <c r="G1196" t="s">
        <v>678</v>
      </c>
      <c r="H1196" s="40">
        <v>35500</v>
      </c>
      <c r="J1196">
        <v>41380</v>
      </c>
      <c r="K1196" s="3" t="str">
        <f>VLOOKUP(Table2[[#This Row],[Konto]],Table5[[Konto]:[Konto nimetus]],2,FALSE)</f>
        <v>Toetused eakatele</v>
      </c>
      <c r="L1196">
        <v>413</v>
      </c>
      <c r="M1196" t="str">
        <f t="shared" si="37"/>
        <v>41</v>
      </c>
      <c r="N1196" s="3" t="str">
        <f>VLOOKUP(Table2[[#This Row],[Tulu/kulu liik2]],Table5[[Tulu/kulu liik]:[Kontode koondnimetus]],4,FALSE)</f>
        <v>Antavad toetused tegevuskuludeks</v>
      </c>
      <c r="O1196" s="3" t="str">
        <f>VLOOKUP(Table2[[#This Row],[Tulu/kulu liik2]],Table5[],6,FALSE)</f>
        <v>Sotsiaalabitoetused ja muud toetused füüsilistele isikutele</v>
      </c>
      <c r="P1196" s="3" t="str">
        <f>VLOOKUP(Table2[[#This Row],[Tulu/kulu liik2]],Table5[],5,FALSE)</f>
        <v>Põhitegevuse kulu</v>
      </c>
    </row>
    <row r="1197" spans="1:16" hidden="1" x14ac:dyDescent="0.25">
      <c r="A1197" t="str">
        <f t="shared" si="36"/>
        <v>10</v>
      </c>
      <c r="B1197" t="s">
        <v>364</v>
      </c>
      <c r="C1197" s="3" t="str">
        <f>VLOOKUP(Table2[[#This Row],[Tegevusala]],Table4[],2,FALSE)</f>
        <v xml:space="preserve"> Juubeli toetused</v>
      </c>
      <c r="D1197" s="3" t="str">
        <f>VLOOKUP(Table2[[#This Row],[Tegevusala]],Table4[[Tegevusala kood]:[Tegevusala alanimetus]],4,FALSE)</f>
        <v>Muu eakate sotsiaalne kaitse</v>
      </c>
      <c r="E1197" s="3" t="str">
        <f>VLOOKUP(Table2[[#This Row],[Tegevusala nimetus2]],Table4[[Tegevusala nimetus]:[Tegevusala koondnimetus]],2,FALSE)</f>
        <v>Sotsiaalne kaitse</v>
      </c>
      <c r="F1197" t="s">
        <v>444</v>
      </c>
      <c r="G1197" t="s">
        <v>677</v>
      </c>
      <c r="H1197" s="40">
        <v>9500</v>
      </c>
      <c r="J1197">
        <v>41380</v>
      </c>
      <c r="K1197" s="3" t="str">
        <f>VLOOKUP(Table2[[#This Row],[Konto]],Table5[[Konto]:[Konto nimetus]],2,FALSE)</f>
        <v>Toetused eakatele</v>
      </c>
      <c r="L1197">
        <v>413</v>
      </c>
      <c r="M1197" t="str">
        <f t="shared" si="37"/>
        <v>41</v>
      </c>
      <c r="N1197" s="3" t="str">
        <f>VLOOKUP(Table2[[#This Row],[Tulu/kulu liik2]],Table5[[Tulu/kulu liik]:[Kontode koondnimetus]],4,FALSE)</f>
        <v>Antavad toetused tegevuskuludeks</v>
      </c>
      <c r="O1197" s="3" t="str">
        <f>VLOOKUP(Table2[[#This Row],[Tulu/kulu liik2]],Table5[],6,FALSE)</f>
        <v>Sotsiaalabitoetused ja muud toetused füüsilistele isikutele</v>
      </c>
      <c r="P1197" s="3" t="str">
        <f>VLOOKUP(Table2[[#This Row],[Tulu/kulu liik2]],Table5[],5,FALSE)</f>
        <v>Põhitegevuse kulu</v>
      </c>
    </row>
    <row r="1198" spans="1:16" hidden="1" x14ac:dyDescent="0.25">
      <c r="A1198" t="str">
        <f t="shared" si="36"/>
        <v>10</v>
      </c>
      <c r="B1198" t="s">
        <v>363</v>
      </c>
      <c r="C1198" s="3" t="str">
        <f>VLOOKUP(Table2[[#This Row],[Tegevusala]],Table4[],2,FALSE)</f>
        <v xml:space="preserve"> Eakate toetused</v>
      </c>
      <c r="D1198" s="3" t="str">
        <f>VLOOKUP(Table2[[#This Row],[Tegevusala]],Table4[[Tegevusala kood]:[Tegevusala alanimetus]],4,FALSE)</f>
        <v>Muu eakate sotsiaalne kaitse</v>
      </c>
      <c r="E1198" s="3" t="str">
        <f>VLOOKUP(Table2[[#This Row],[Tegevusala nimetus2]],Table4[[Tegevusala nimetus]:[Tegevusala koondnimetus]],2,FALSE)</f>
        <v>Sotsiaalne kaitse</v>
      </c>
      <c r="F1198" t="s">
        <v>444</v>
      </c>
      <c r="G1198" t="s">
        <v>679</v>
      </c>
      <c r="H1198" s="40">
        <v>3000</v>
      </c>
      <c r="J1198">
        <v>41380</v>
      </c>
      <c r="K1198" s="3" t="str">
        <f>VLOOKUP(Table2[[#This Row],[Konto]],Table5[[Konto]:[Konto nimetus]],2,FALSE)</f>
        <v>Toetused eakatele</v>
      </c>
      <c r="L1198">
        <v>413</v>
      </c>
      <c r="M1198" t="str">
        <f t="shared" si="37"/>
        <v>41</v>
      </c>
      <c r="N1198" s="3" t="str">
        <f>VLOOKUP(Table2[[#This Row],[Tulu/kulu liik2]],Table5[[Tulu/kulu liik]:[Kontode koondnimetus]],4,FALSE)</f>
        <v>Antavad toetused tegevuskuludeks</v>
      </c>
      <c r="O1198" s="3" t="str">
        <f>VLOOKUP(Table2[[#This Row],[Tulu/kulu liik2]],Table5[],6,FALSE)</f>
        <v>Sotsiaalabitoetused ja muud toetused füüsilistele isikutele</v>
      </c>
      <c r="P1198" s="3" t="str">
        <f>VLOOKUP(Table2[[#This Row],[Tulu/kulu liik2]],Table5[],5,FALSE)</f>
        <v>Põhitegevuse kulu</v>
      </c>
    </row>
    <row r="1199" spans="1:16" hidden="1" x14ac:dyDescent="0.25">
      <c r="A1199" t="str">
        <f t="shared" si="36"/>
        <v>10</v>
      </c>
      <c r="B1199" s="33" t="s">
        <v>366</v>
      </c>
      <c r="C1199" s="3" t="str">
        <f>VLOOKUP(Table2[[#This Row],[Tegevusala]],Table4[],2,FALSE)</f>
        <v xml:space="preserve"> Vinni Perekodu</v>
      </c>
      <c r="D1199" s="3" t="str">
        <f>VLOOKUP(Table2[[#This Row],[Tegevusala]],Table4[[Tegevusala kood]:[Tegevusala alanimetus]],4,FALSE)</f>
        <v>Laste ja noorte sotsiaalhoolekande asutused</v>
      </c>
      <c r="E1199" s="3" t="str">
        <f>VLOOKUP(Table2[[#This Row],[Tegevusala nimetus2]],Table4[[Tegevusala nimetus]:[Tegevusala koondnimetus]],2,FALSE)</f>
        <v>Sotsiaalne kaitse</v>
      </c>
      <c r="F1199" t="s">
        <v>1657</v>
      </c>
      <c r="G1199" t="s">
        <v>1669</v>
      </c>
      <c r="H1199" s="40">
        <v>4000</v>
      </c>
      <c r="J1199">
        <v>5500</v>
      </c>
      <c r="K1199" s="3" t="str">
        <f>VLOOKUP(Table2[[#This Row],[Konto]],Table5[[Konto]:[Konto nimetus]],2,FALSE)</f>
        <v>Administreerimiskulud</v>
      </c>
      <c r="L1199">
        <v>55</v>
      </c>
      <c r="M1199" t="str">
        <f t="shared" si="37"/>
        <v>55</v>
      </c>
      <c r="N1199" s="3" t="str">
        <f>VLOOKUP(Table2[[#This Row],[Tulu/kulu liik2]],Table5[[Tulu/kulu liik]:[Kontode koondnimetus]],4,FALSE)</f>
        <v>Muud tegevuskulud</v>
      </c>
      <c r="O1199" s="3" t="str">
        <f>VLOOKUP(Table2[[#This Row],[Tulu/kulu liik2]],Table5[],6,FALSE)</f>
        <v>Majandamiskulud</v>
      </c>
      <c r="P1199" s="3" t="str">
        <f>VLOOKUP(Table2[[#This Row],[Tulu/kulu liik2]],Table5[],5,FALSE)</f>
        <v>Põhitegevuse kulu</v>
      </c>
    </row>
    <row r="1200" spans="1:16" hidden="1" x14ac:dyDescent="0.25">
      <c r="A1200" t="str">
        <f t="shared" si="36"/>
        <v>10</v>
      </c>
      <c r="B1200" s="33" t="s">
        <v>366</v>
      </c>
      <c r="C1200" s="3" t="str">
        <f>VLOOKUP(Table2[[#This Row],[Tegevusala]],Table4[],2,FALSE)</f>
        <v xml:space="preserve"> Vinni Perekodu</v>
      </c>
      <c r="D1200" s="3" t="str">
        <f>VLOOKUP(Table2[[#This Row],[Tegevusala]],Table4[[Tegevusala kood]:[Tegevusala alanimetus]],4,FALSE)</f>
        <v>Laste ja noorte sotsiaalhoolekande asutused</v>
      </c>
      <c r="E1200" s="3" t="str">
        <f>VLOOKUP(Table2[[#This Row],[Tegevusala nimetus2]],Table4[[Tegevusala nimetus]:[Tegevusala koondnimetus]],2,FALSE)</f>
        <v>Sotsiaalne kaitse</v>
      </c>
      <c r="F1200" t="s">
        <v>1657</v>
      </c>
      <c r="G1200" t="s">
        <v>813</v>
      </c>
      <c r="H1200" s="40">
        <v>80</v>
      </c>
      <c r="J1200">
        <v>5500</v>
      </c>
      <c r="K1200" s="3" t="str">
        <f>VLOOKUP(Table2[[#This Row],[Konto]],Table5[[Konto]:[Konto nimetus]],2,FALSE)</f>
        <v>Administreerimiskulud</v>
      </c>
      <c r="L1200">
        <v>55</v>
      </c>
      <c r="M1200" t="str">
        <f t="shared" si="37"/>
        <v>55</v>
      </c>
      <c r="N1200" s="3" t="str">
        <f>VLOOKUP(Table2[[#This Row],[Tulu/kulu liik2]],Table5[[Tulu/kulu liik]:[Kontode koondnimetus]],4,FALSE)</f>
        <v>Muud tegevuskulud</v>
      </c>
      <c r="O1200" s="3" t="str">
        <f>VLOOKUP(Table2[[#This Row],[Tulu/kulu liik2]],Table5[],6,FALSE)</f>
        <v>Majandamiskulud</v>
      </c>
      <c r="P1200" s="3" t="str">
        <f>VLOOKUP(Table2[[#This Row],[Tulu/kulu liik2]],Table5[],5,FALSE)</f>
        <v>Põhitegevuse kulu</v>
      </c>
    </row>
    <row r="1201" spans="1:16" hidden="1" x14ac:dyDescent="0.25">
      <c r="A1201" t="str">
        <f t="shared" si="36"/>
        <v>10</v>
      </c>
      <c r="B1201" s="33" t="s">
        <v>366</v>
      </c>
      <c r="C1201" s="3" t="str">
        <f>VLOOKUP(Table2[[#This Row],[Tegevusala]],Table4[],2,FALSE)</f>
        <v xml:space="preserve"> Vinni Perekodu</v>
      </c>
      <c r="D1201" s="3" t="str">
        <f>VLOOKUP(Table2[[#This Row],[Tegevusala]],Table4[[Tegevusala kood]:[Tegevusala alanimetus]],4,FALSE)</f>
        <v>Laste ja noorte sotsiaalhoolekande asutused</v>
      </c>
      <c r="E1201" s="3" t="str">
        <f>VLOOKUP(Table2[[#This Row],[Tegevusala nimetus2]],Table4[[Tegevusala nimetus]:[Tegevusala koondnimetus]],2,FALSE)</f>
        <v>Sotsiaalne kaitse</v>
      </c>
      <c r="F1201" t="s">
        <v>1657</v>
      </c>
      <c r="G1201" t="s">
        <v>1670</v>
      </c>
      <c r="H1201" s="40">
        <v>1300</v>
      </c>
      <c r="J1201">
        <v>5500</v>
      </c>
      <c r="K1201" s="3" t="str">
        <f>VLOOKUP(Table2[[#This Row],[Konto]],Table5[[Konto]:[Konto nimetus]],2,FALSE)</f>
        <v>Administreerimiskulud</v>
      </c>
      <c r="L1201">
        <v>55</v>
      </c>
      <c r="M1201" t="str">
        <f t="shared" si="37"/>
        <v>55</v>
      </c>
      <c r="N1201" s="3" t="str">
        <f>VLOOKUP(Table2[[#This Row],[Tulu/kulu liik2]],Table5[[Tulu/kulu liik]:[Kontode koondnimetus]],4,FALSE)</f>
        <v>Muud tegevuskulud</v>
      </c>
      <c r="O1201" s="3" t="str">
        <f>VLOOKUP(Table2[[#This Row],[Tulu/kulu liik2]],Table5[],6,FALSE)</f>
        <v>Majandamiskulud</v>
      </c>
      <c r="P1201" s="3" t="str">
        <f>VLOOKUP(Table2[[#This Row],[Tulu/kulu liik2]],Table5[],5,FALSE)</f>
        <v>Põhitegevuse kulu</v>
      </c>
    </row>
    <row r="1202" spans="1:16" hidden="1" x14ac:dyDescent="0.25">
      <c r="A1202" t="str">
        <f t="shared" si="36"/>
        <v>10</v>
      </c>
      <c r="B1202" s="33" t="s">
        <v>366</v>
      </c>
      <c r="C1202" s="3" t="str">
        <f>VLOOKUP(Table2[[#This Row],[Tegevusala]],Table4[],2,FALSE)</f>
        <v xml:space="preserve"> Vinni Perekodu</v>
      </c>
      <c r="D1202" s="3" t="str">
        <f>VLOOKUP(Table2[[#This Row],[Tegevusala]],Table4[[Tegevusala kood]:[Tegevusala alanimetus]],4,FALSE)</f>
        <v>Laste ja noorte sotsiaalhoolekande asutused</v>
      </c>
      <c r="E1202" s="3" t="str">
        <f>VLOOKUP(Table2[[#This Row],[Tegevusala nimetus2]],Table4[[Tegevusala nimetus]:[Tegevusala koondnimetus]],2,FALSE)</f>
        <v>Sotsiaalne kaitse</v>
      </c>
      <c r="F1202" t="s">
        <v>1657</v>
      </c>
      <c r="G1202" t="s">
        <v>1671</v>
      </c>
      <c r="H1202" s="40">
        <v>420</v>
      </c>
      <c r="J1202">
        <v>5500</v>
      </c>
      <c r="K1202" s="3" t="str">
        <f>VLOOKUP(Table2[[#This Row],[Konto]],Table5[[Konto]:[Konto nimetus]],2,FALSE)</f>
        <v>Administreerimiskulud</v>
      </c>
      <c r="L1202">
        <v>55</v>
      </c>
      <c r="M1202" t="str">
        <f t="shared" si="37"/>
        <v>55</v>
      </c>
      <c r="N1202" s="3" t="str">
        <f>VLOOKUP(Table2[[#This Row],[Tulu/kulu liik2]],Table5[[Tulu/kulu liik]:[Kontode koondnimetus]],4,FALSE)</f>
        <v>Muud tegevuskulud</v>
      </c>
      <c r="O1202" s="3" t="str">
        <f>VLOOKUP(Table2[[#This Row],[Tulu/kulu liik2]],Table5[],6,FALSE)</f>
        <v>Majandamiskulud</v>
      </c>
      <c r="P1202" s="3" t="str">
        <f>VLOOKUP(Table2[[#This Row],[Tulu/kulu liik2]],Table5[],5,FALSE)</f>
        <v>Põhitegevuse kulu</v>
      </c>
    </row>
    <row r="1203" spans="1:16" hidden="1" x14ac:dyDescent="0.25">
      <c r="A1203" t="str">
        <f t="shared" si="36"/>
        <v>10</v>
      </c>
      <c r="B1203" s="33" t="s">
        <v>366</v>
      </c>
      <c r="C1203" s="3" t="str">
        <f>VLOOKUP(Table2[[#This Row],[Tegevusala]],Table4[],2,FALSE)</f>
        <v xml:space="preserve"> Vinni Perekodu</v>
      </c>
      <c r="D1203" s="3" t="str">
        <f>VLOOKUP(Table2[[#This Row],[Tegevusala]],Table4[[Tegevusala kood]:[Tegevusala alanimetus]],4,FALSE)</f>
        <v>Laste ja noorte sotsiaalhoolekande asutused</v>
      </c>
      <c r="E1203" s="3" t="str">
        <f>VLOOKUP(Table2[[#This Row],[Tegevusala nimetus2]],Table4[[Tegevusala nimetus]:[Tegevusala koondnimetus]],2,FALSE)</f>
        <v>Sotsiaalne kaitse</v>
      </c>
      <c r="F1203" t="s">
        <v>1657</v>
      </c>
      <c r="G1203" t="s">
        <v>176</v>
      </c>
      <c r="H1203" s="40">
        <v>2500</v>
      </c>
      <c r="J1203">
        <v>5504</v>
      </c>
      <c r="K1203" s="3" t="str">
        <f>VLOOKUP(Table2[[#This Row],[Konto]],Table5[[Konto]:[Konto nimetus]],2,FALSE)</f>
        <v>Koolituskulud</v>
      </c>
      <c r="L1203">
        <v>55</v>
      </c>
      <c r="M1203" t="str">
        <f t="shared" si="37"/>
        <v>55</v>
      </c>
      <c r="N1203" s="3" t="str">
        <f>VLOOKUP(Table2[[#This Row],[Tulu/kulu liik2]],Table5[[Tulu/kulu liik]:[Kontode koondnimetus]],4,FALSE)</f>
        <v>Muud tegevuskulud</v>
      </c>
      <c r="O1203" s="3" t="str">
        <f>VLOOKUP(Table2[[#This Row],[Tulu/kulu liik2]],Table5[],6,FALSE)</f>
        <v>Majandamiskulud</v>
      </c>
      <c r="P1203" s="3" t="str">
        <f>VLOOKUP(Table2[[#This Row],[Tulu/kulu liik2]],Table5[],5,FALSE)</f>
        <v>Põhitegevuse kulu</v>
      </c>
    </row>
    <row r="1204" spans="1:16" hidden="1" x14ac:dyDescent="0.25">
      <c r="A1204" t="str">
        <f t="shared" si="36"/>
        <v>10</v>
      </c>
      <c r="B1204" s="33" t="s">
        <v>366</v>
      </c>
      <c r="C1204" s="3" t="str">
        <f>VLOOKUP(Table2[[#This Row],[Tegevusala]],Table4[],2,FALSE)</f>
        <v xml:space="preserve"> Vinni Perekodu</v>
      </c>
      <c r="D1204" s="3" t="str">
        <f>VLOOKUP(Table2[[#This Row],[Tegevusala]],Table4[[Tegevusala kood]:[Tegevusala alanimetus]],4,FALSE)</f>
        <v>Laste ja noorte sotsiaalhoolekande asutused</v>
      </c>
      <c r="E1204" s="3" t="str">
        <f>VLOOKUP(Table2[[#This Row],[Tegevusala nimetus2]],Table4[[Tegevusala nimetus]:[Tegevusala koondnimetus]],2,FALSE)</f>
        <v>Sotsiaalne kaitse</v>
      </c>
      <c r="F1204" t="s">
        <v>1657</v>
      </c>
      <c r="G1204" t="s">
        <v>1678</v>
      </c>
      <c r="H1204" s="40">
        <v>11200</v>
      </c>
      <c r="J1204">
        <v>5513</v>
      </c>
      <c r="K1204" s="3" t="str">
        <f>VLOOKUP(Table2[[#This Row],[Konto]],Table5[[Konto]:[Konto nimetus]],2,FALSE)</f>
        <v>Sõidukite ülalpidamise kulud</v>
      </c>
      <c r="L1204">
        <v>55</v>
      </c>
      <c r="M1204" t="str">
        <f t="shared" si="37"/>
        <v>55</v>
      </c>
      <c r="N1204" s="3" t="str">
        <f>VLOOKUP(Table2[[#This Row],[Tulu/kulu liik2]],Table5[[Tulu/kulu liik]:[Kontode koondnimetus]],4,FALSE)</f>
        <v>Muud tegevuskulud</v>
      </c>
      <c r="O1204" s="3" t="str">
        <f>VLOOKUP(Table2[[#This Row],[Tulu/kulu liik2]],Table5[],6,FALSE)</f>
        <v>Majandamiskulud</v>
      </c>
      <c r="P1204" s="3" t="str">
        <f>VLOOKUP(Table2[[#This Row],[Tulu/kulu liik2]],Table5[],5,FALSE)</f>
        <v>Põhitegevuse kulu</v>
      </c>
    </row>
    <row r="1205" spans="1:16" hidden="1" x14ac:dyDescent="0.25">
      <c r="A1205" t="str">
        <f t="shared" si="36"/>
        <v>10</v>
      </c>
      <c r="B1205" s="33" t="s">
        <v>366</v>
      </c>
      <c r="C1205" s="3" t="str">
        <f>VLOOKUP(Table2[[#This Row],[Tegevusala]],Table4[],2,FALSE)</f>
        <v xml:space="preserve"> Vinni Perekodu</v>
      </c>
      <c r="D1205" s="3" t="str">
        <f>VLOOKUP(Table2[[#This Row],[Tegevusala]],Table4[[Tegevusala kood]:[Tegevusala alanimetus]],4,FALSE)</f>
        <v>Laste ja noorte sotsiaalhoolekande asutused</v>
      </c>
      <c r="E1205" s="3" t="str">
        <f>VLOOKUP(Table2[[#This Row],[Tegevusala nimetus2]],Table4[[Tegevusala nimetus]:[Tegevusala koondnimetus]],2,FALSE)</f>
        <v>Sotsiaalne kaitse</v>
      </c>
      <c r="F1205" t="s">
        <v>1657</v>
      </c>
      <c r="G1205" t="s">
        <v>198</v>
      </c>
      <c r="H1205" s="40">
        <v>2800</v>
      </c>
      <c r="J1205">
        <v>5513</v>
      </c>
      <c r="K1205" s="3" t="str">
        <f>VLOOKUP(Table2[[#This Row],[Konto]],Table5[[Konto]:[Konto nimetus]],2,FALSE)</f>
        <v>Sõidukite ülalpidamise kulud</v>
      </c>
      <c r="L1205">
        <v>55</v>
      </c>
      <c r="M1205" t="str">
        <f t="shared" si="37"/>
        <v>55</v>
      </c>
      <c r="N1205" s="3" t="str">
        <f>VLOOKUP(Table2[[#This Row],[Tulu/kulu liik2]],Table5[[Tulu/kulu liik]:[Kontode koondnimetus]],4,FALSE)</f>
        <v>Muud tegevuskulud</v>
      </c>
      <c r="O1205" s="3" t="str">
        <f>VLOOKUP(Table2[[#This Row],[Tulu/kulu liik2]],Table5[],6,FALSE)</f>
        <v>Majandamiskulud</v>
      </c>
      <c r="P1205" s="3" t="str">
        <f>VLOOKUP(Table2[[#This Row],[Tulu/kulu liik2]],Table5[],5,FALSE)</f>
        <v>Põhitegevuse kulu</v>
      </c>
    </row>
    <row r="1206" spans="1:16" hidden="1" x14ac:dyDescent="0.25">
      <c r="A1206" t="str">
        <f t="shared" si="36"/>
        <v>10</v>
      </c>
      <c r="B1206" s="33" t="s">
        <v>366</v>
      </c>
      <c r="C1206" s="3" t="str">
        <f>VLOOKUP(Table2[[#This Row],[Tegevusala]],Table4[],2,FALSE)</f>
        <v xml:space="preserve"> Vinni Perekodu</v>
      </c>
      <c r="D1206" s="3" t="str">
        <f>VLOOKUP(Table2[[#This Row],[Tegevusala]],Table4[[Tegevusala kood]:[Tegevusala alanimetus]],4,FALSE)</f>
        <v>Laste ja noorte sotsiaalhoolekande asutused</v>
      </c>
      <c r="E1206" s="3" t="str">
        <f>VLOOKUP(Table2[[#This Row],[Tegevusala nimetus2]],Table4[[Tegevusala nimetus]:[Tegevusala koondnimetus]],2,FALSE)</f>
        <v>Sotsiaalne kaitse</v>
      </c>
      <c r="F1206" t="s">
        <v>1657</v>
      </c>
      <c r="G1206" t="s">
        <v>1680</v>
      </c>
      <c r="H1206" s="40">
        <v>3000</v>
      </c>
      <c r="J1206">
        <v>5515</v>
      </c>
      <c r="K1206" s="3" t="str">
        <f>VLOOKUP(Table2[[#This Row],[Konto]],Table5[[Konto]:[Konto nimetus]],2,FALSE)</f>
        <v>Inventari kulud, v.a infotehnoloogia ja kaitseotstarbelised kulud</v>
      </c>
      <c r="L1206">
        <v>55</v>
      </c>
      <c r="M1206" t="str">
        <f t="shared" si="37"/>
        <v>55</v>
      </c>
      <c r="N1206" s="3" t="str">
        <f>VLOOKUP(Table2[[#This Row],[Tulu/kulu liik2]],Table5[[Tulu/kulu liik]:[Kontode koondnimetus]],4,FALSE)</f>
        <v>Muud tegevuskulud</v>
      </c>
      <c r="O1206" s="3" t="str">
        <f>VLOOKUP(Table2[[#This Row],[Tulu/kulu liik2]],Table5[],6,FALSE)</f>
        <v>Majandamiskulud</v>
      </c>
      <c r="P1206" s="3" t="str">
        <f>VLOOKUP(Table2[[#This Row],[Tulu/kulu liik2]],Table5[],5,FALSE)</f>
        <v>Põhitegevuse kulu</v>
      </c>
    </row>
    <row r="1207" spans="1:16" hidden="1" x14ac:dyDescent="0.25">
      <c r="A1207" t="str">
        <f t="shared" si="36"/>
        <v>10</v>
      </c>
      <c r="B1207" s="33" t="s">
        <v>366</v>
      </c>
      <c r="C1207" s="3" t="str">
        <f>VLOOKUP(Table2[[#This Row],[Tegevusala]],Table4[],2,FALSE)</f>
        <v xml:space="preserve"> Vinni Perekodu</v>
      </c>
      <c r="D1207" s="3" t="str">
        <f>VLOOKUP(Table2[[#This Row],[Tegevusala]],Table4[[Tegevusala kood]:[Tegevusala alanimetus]],4,FALSE)</f>
        <v>Laste ja noorte sotsiaalhoolekande asutused</v>
      </c>
      <c r="E1207" s="3" t="str">
        <f>VLOOKUP(Table2[[#This Row],[Tegevusala nimetus2]],Table4[[Tegevusala nimetus]:[Tegevusala koondnimetus]],2,FALSE)</f>
        <v>Sotsiaalne kaitse</v>
      </c>
      <c r="F1207" t="s">
        <v>1657</v>
      </c>
      <c r="G1207" t="s">
        <v>1679</v>
      </c>
      <c r="H1207" s="40">
        <v>13920</v>
      </c>
      <c r="I1207" s="2" t="s">
        <v>1681</v>
      </c>
      <c r="J1207">
        <v>5515</v>
      </c>
      <c r="K1207" s="3" t="str">
        <f>VLOOKUP(Table2[[#This Row],[Konto]],Table5[[Konto]:[Konto nimetus]],2,FALSE)</f>
        <v>Inventari kulud, v.a infotehnoloogia ja kaitseotstarbelised kulud</v>
      </c>
      <c r="L1207">
        <v>55</v>
      </c>
      <c r="M1207" t="str">
        <f t="shared" si="37"/>
        <v>55</v>
      </c>
      <c r="N1207" s="3" t="str">
        <f>VLOOKUP(Table2[[#This Row],[Tulu/kulu liik2]],Table5[[Tulu/kulu liik]:[Kontode koondnimetus]],4,FALSE)</f>
        <v>Muud tegevuskulud</v>
      </c>
      <c r="O1207" s="3" t="str">
        <f>VLOOKUP(Table2[[#This Row],[Tulu/kulu liik2]],Table5[],6,FALSE)</f>
        <v>Majandamiskulud</v>
      </c>
      <c r="P1207" s="3" t="str">
        <f>VLOOKUP(Table2[[#This Row],[Tulu/kulu liik2]],Table5[],5,FALSE)</f>
        <v>Põhitegevuse kulu</v>
      </c>
    </row>
    <row r="1208" spans="1:16" hidden="1" x14ac:dyDescent="0.25">
      <c r="A1208" t="str">
        <f t="shared" si="36"/>
        <v>10</v>
      </c>
      <c r="B1208" s="33" t="s">
        <v>366</v>
      </c>
      <c r="C1208" s="3" t="str">
        <f>VLOOKUP(Table2[[#This Row],[Tegevusala]],Table4[],2,FALSE)</f>
        <v xml:space="preserve"> Vinni Perekodu</v>
      </c>
      <c r="D1208" s="3" t="str">
        <f>VLOOKUP(Table2[[#This Row],[Tegevusala]],Table4[[Tegevusala kood]:[Tegevusala alanimetus]],4,FALSE)</f>
        <v>Laste ja noorte sotsiaalhoolekande asutused</v>
      </c>
      <c r="E1208" s="3" t="str">
        <f>VLOOKUP(Table2[[#This Row],[Tegevusala nimetus2]],Table4[[Tegevusala nimetus]:[Tegevusala koondnimetus]],2,FALSE)</f>
        <v>Sotsiaalne kaitse</v>
      </c>
      <c r="F1208" t="s">
        <v>1657</v>
      </c>
      <c r="G1208" t="s">
        <v>1682</v>
      </c>
      <c r="H1208" s="40">
        <v>42340</v>
      </c>
      <c r="I1208" s="2" t="s">
        <v>1684</v>
      </c>
      <c r="J1208">
        <v>5521</v>
      </c>
      <c r="K1208" s="3" t="str">
        <f>VLOOKUP(Table2[[#This Row],[Konto]],Table5[[Konto]:[Konto nimetus]],2,FALSE)</f>
        <v>Toiduained ja toitlustusteenused</v>
      </c>
      <c r="L1208">
        <v>55</v>
      </c>
      <c r="M1208" t="str">
        <f t="shared" si="37"/>
        <v>55</v>
      </c>
      <c r="N1208" s="3" t="str">
        <f>VLOOKUP(Table2[[#This Row],[Tulu/kulu liik2]],Table5[[Tulu/kulu liik]:[Kontode koondnimetus]],4,FALSE)</f>
        <v>Muud tegevuskulud</v>
      </c>
      <c r="O1208" s="3" t="str">
        <f>VLOOKUP(Table2[[#This Row],[Tulu/kulu liik2]],Table5[],6,FALSE)</f>
        <v>Majandamiskulud</v>
      </c>
      <c r="P1208" s="3" t="str">
        <f>VLOOKUP(Table2[[#This Row],[Tulu/kulu liik2]],Table5[],5,FALSE)</f>
        <v>Põhitegevuse kulu</v>
      </c>
    </row>
    <row r="1209" spans="1:16" hidden="1" x14ac:dyDescent="0.25">
      <c r="A1209" t="str">
        <f t="shared" si="36"/>
        <v>10</v>
      </c>
      <c r="B1209" s="33" t="s">
        <v>366</v>
      </c>
      <c r="C1209" s="3" t="str">
        <f>VLOOKUP(Table2[[#This Row],[Tegevusala]],Table4[],2,FALSE)</f>
        <v xml:space="preserve"> Vinni Perekodu</v>
      </c>
      <c r="D1209" s="3" t="str">
        <f>VLOOKUP(Table2[[#This Row],[Tegevusala]],Table4[[Tegevusala kood]:[Tegevusala alanimetus]],4,FALSE)</f>
        <v>Laste ja noorte sotsiaalhoolekande asutused</v>
      </c>
      <c r="E1209" s="3" t="str">
        <f>VLOOKUP(Table2[[#This Row],[Tegevusala nimetus2]],Table4[[Tegevusala nimetus]:[Tegevusala koondnimetus]],2,FALSE)</f>
        <v>Sotsiaalne kaitse</v>
      </c>
      <c r="F1209" t="s">
        <v>1657</v>
      </c>
      <c r="G1209" t="s">
        <v>1683</v>
      </c>
      <c r="H1209" s="40">
        <v>1500</v>
      </c>
      <c r="J1209">
        <v>5521</v>
      </c>
      <c r="K1209" s="3" t="str">
        <f>VLOOKUP(Table2[[#This Row],[Konto]],Table5[[Konto]:[Konto nimetus]],2,FALSE)</f>
        <v>Toiduained ja toitlustusteenused</v>
      </c>
      <c r="L1209">
        <v>55</v>
      </c>
      <c r="M1209" t="str">
        <f t="shared" si="37"/>
        <v>55</v>
      </c>
      <c r="N1209" s="3" t="str">
        <f>VLOOKUP(Table2[[#This Row],[Tulu/kulu liik2]],Table5[[Tulu/kulu liik]:[Kontode koondnimetus]],4,FALSE)</f>
        <v>Muud tegevuskulud</v>
      </c>
      <c r="O1209" s="3" t="str">
        <f>VLOOKUP(Table2[[#This Row],[Tulu/kulu liik2]],Table5[],6,FALSE)</f>
        <v>Majandamiskulud</v>
      </c>
      <c r="P1209" s="3" t="str">
        <f>VLOOKUP(Table2[[#This Row],[Tulu/kulu liik2]],Table5[],5,FALSE)</f>
        <v>Põhitegevuse kulu</v>
      </c>
    </row>
    <row r="1210" spans="1:16" hidden="1" x14ac:dyDescent="0.25">
      <c r="A1210" t="str">
        <f t="shared" ref="A1210:A1273" si="38">LEFT(B1210,2)</f>
        <v>10</v>
      </c>
      <c r="B1210" s="33" t="s">
        <v>366</v>
      </c>
      <c r="C1210" s="3" t="str">
        <f>VLOOKUP(Table2[[#This Row],[Tegevusala]],Table4[],2,FALSE)</f>
        <v xml:space="preserve"> Vinni Perekodu</v>
      </c>
      <c r="D1210" s="3" t="str">
        <f>VLOOKUP(Table2[[#This Row],[Tegevusala]],Table4[[Tegevusala kood]:[Tegevusala alanimetus]],4,FALSE)</f>
        <v>Laste ja noorte sotsiaalhoolekande asutused</v>
      </c>
      <c r="E1210" s="3" t="str">
        <f>VLOOKUP(Table2[[#This Row],[Tegevusala nimetus2]],Table4[[Tegevusala nimetus]:[Tegevusala koondnimetus]],2,FALSE)</f>
        <v>Sotsiaalne kaitse</v>
      </c>
      <c r="F1210" t="s">
        <v>1657</v>
      </c>
      <c r="G1210" t="s">
        <v>1685</v>
      </c>
      <c r="H1210" s="40">
        <v>6200</v>
      </c>
      <c r="J1210">
        <v>5522</v>
      </c>
      <c r="K1210" s="3" t="str">
        <f>VLOOKUP(Table2[[#This Row],[Konto]],Table5[[Konto]:[Konto nimetus]],2,FALSE)</f>
        <v>Meditsiinikulud ja hügieenitarbed</v>
      </c>
      <c r="L1210">
        <v>55</v>
      </c>
      <c r="M1210" t="str">
        <f t="shared" ref="M1210:M1273" si="39">LEFT(J1210,2)</f>
        <v>55</v>
      </c>
      <c r="N1210" s="3" t="str">
        <f>VLOOKUP(Table2[[#This Row],[Tulu/kulu liik2]],Table5[[Tulu/kulu liik]:[Kontode koondnimetus]],4,FALSE)</f>
        <v>Muud tegevuskulud</v>
      </c>
      <c r="O1210" s="3" t="str">
        <f>VLOOKUP(Table2[[#This Row],[Tulu/kulu liik2]],Table5[],6,FALSE)</f>
        <v>Majandamiskulud</v>
      </c>
      <c r="P1210" s="3" t="str">
        <f>VLOOKUP(Table2[[#This Row],[Tulu/kulu liik2]],Table5[],5,FALSE)</f>
        <v>Põhitegevuse kulu</v>
      </c>
    </row>
    <row r="1211" spans="1:16" hidden="1" x14ac:dyDescent="0.25">
      <c r="A1211" t="str">
        <f t="shared" si="38"/>
        <v>10</v>
      </c>
      <c r="B1211" s="33" t="s">
        <v>366</v>
      </c>
      <c r="C1211" s="3" t="str">
        <f>VLOOKUP(Table2[[#This Row],[Tegevusala]],Table4[],2,FALSE)</f>
        <v xml:space="preserve"> Vinni Perekodu</v>
      </c>
      <c r="D1211" s="3" t="str">
        <f>VLOOKUP(Table2[[#This Row],[Tegevusala]],Table4[[Tegevusala kood]:[Tegevusala alanimetus]],4,FALSE)</f>
        <v>Laste ja noorte sotsiaalhoolekande asutused</v>
      </c>
      <c r="E1211" s="3" t="str">
        <f>VLOOKUP(Table2[[#This Row],[Tegevusala nimetus2]],Table4[[Tegevusala nimetus]:[Tegevusala koondnimetus]],2,FALSE)</f>
        <v>Sotsiaalne kaitse</v>
      </c>
      <c r="F1211" t="s">
        <v>1657</v>
      </c>
      <c r="G1211" t="s">
        <v>1686</v>
      </c>
      <c r="H1211" s="40">
        <v>1040</v>
      </c>
      <c r="J1211">
        <v>5522</v>
      </c>
      <c r="K1211" s="3" t="str">
        <f>VLOOKUP(Table2[[#This Row],[Konto]],Table5[[Konto]:[Konto nimetus]],2,FALSE)</f>
        <v>Meditsiinikulud ja hügieenitarbed</v>
      </c>
      <c r="L1211">
        <v>55</v>
      </c>
      <c r="M1211" t="str">
        <f t="shared" si="39"/>
        <v>55</v>
      </c>
      <c r="N1211" s="3" t="str">
        <f>VLOOKUP(Table2[[#This Row],[Tulu/kulu liik2]],Table5[[Tulu/kulu liik]:[Kontode koondnimetus]],4,FALSE)</f>
        <v>Muud tegevuskulud</v>
      </c>
      <c r="O1211" s="3" t="str">
        <f>VLOOKUP(Table2[[#This Row],[Tulu/kulu liik2]],Table5[],6,FALSE)</f>
        <v>Majandamiskulud</v>
      </c>
      <c r="P1211" s="3" t="str">
        <f>VLOOKUP(Table2[[#This Row],[Tulu/kulu liik2]],Table5[],5,FALSE)</f>
        <v>Põhitegevuse kulu</v>
      </c>
    </row>
    <row r="1212" spans="1:16" hidden="1" x14ac:dyDescent="0.25">
      <c r="A1212" t="str">
        <f t="shared" si="38"/>
        <v>10</v>
      </c>
      <c r="B1212" s="33" t="s">
        <v>366</v>
      </c>
      <c r="C1212" s="3" t="str">
        <f>VLOOKUP(Table2[[#This Row],[Tegevusala]],Table4[],2,FALSE)</f>
        <v xml:space="preserve"> Vinni Perekodu</v>
      </c>
      <c r="D1212" s="3" t="str">
        <f>VLOOKUP(Table2[[#This Row],[Tegevusala]],Table4[[Tegevusala kood]:[Tegevusala alanimetus]],4,FALSE)</f>
        <v>Laste ja noorte sotsiaalhoolekande asutused</v>
      </c>
      <c r="E1212" s="3" t="str">
        <f>VLOOKUP(Table2[[#This Row],[Tegevusala nimetus2]],Table4[[Tegevusala nimetus]:[Tegevusala koondnimetus]],2,FALSE)</f>
        <v>Sotsiaalne kaitse</v>
      </c>
      <c r="F1212" t="s">
        <v>1657</v>
      </c>
      <c r="G1212" t="s">
        <v>1687</v>
      </c>
      <c r="H1212" s="40">
        <v>960</v>
      </c>
      <c r="J1212">
        <v>5524</v>
      </c>
      <c r="K1212" s="3" t="str">
        <f>VLOOKUP(Table2[[#This Row],[Konto]],Table5[[Konto]:[Konto nimetus]],2,FALSE)</f>
        <v>Õppevahendid</v>
      </c>
      <c r="L1212">
        <v>55</v>
      </c>
      <c r="M1212" t="str">
        <f t="shared" si="39"/>
        <v>55</v>
      </c>
      <c r="N1212" s="3" t="str">
        <f>VLOOKUP(Table2[[#This Row],[Tulu/kulu liik2]],Table5[[Tulu/kulu liik]:[Kontode koondnimetus]],4,FALSE)</f>
        <v>Muud tegevuskulud</v>
      </c>
      <c r="O1212" s="3" t="str">
        <f>VLOOKUP(Table2[[#This Row],[Tulu/kulu liik2]],Table5[],6,FALSE)</f>
        <v>Majandamiskulud</v>
      </c>
      <c r="P1212" s="3" t="str">
        <f>VLOOKUP(Table2[[#This Row],[Tulu/kulu liik2]],Table5[],5,FALSE)</f>
        <v>Põhitegevuse kulu</v>
      </c>
    </row>
    <row r="1213" spans="1:16" hidden="1" x14ac:dyDescent="0.25">
      <c r="A1213" t="str">
        <f t="shared" si="38"/>
        <v>10</v>
      </c>
      <c r="B1213" s="33" t="s">
        <v>366</v>
      </c>
      <c r="C1213" s="3" t="str">
        <f>VLOOKUP(Table2[[#This Row],[Tegevusala]],Table4[],2,FALSE)</f>
        <v xml:space="preserve"> Vinni Perekodu</v>
      </c>
      <c r="D1213" s="3" t="str">
        <f>VLOOKUP(Table2[[#This Row],[Tegevusala]],Table4[[Tegevusala kood]:[Tegevusala alanimetus]],4,FALSE)</f>
        <v>Laste ja noorte sotsiaalhoolekande asutused</v>
      </c>
      <c r="E1213" s="3" t="str">
        <f>VLOOKUP(Table2[[#This Row],[Tegevusala nimetus2]],Table4[[Tegevusala nimetus]:[Tegevusala koondnimetus]],2,FALSE)</f>
        <v>Sotsiaalne kaitse</v>
      </c>
      <c r="F1213" t="s">
        <v>1657</v>
      </c>
      <c r="G1213" t="s">
        <v>1810</v>
      </c>
      <c r="H1213" s="40">
        <v>200</v>
      </c>
      <c r="J1213">
        <v>5525</v>
      </c>
      <c r="K1213" s="3" t="str">
        <f>VLOOKUP(Table2[[#This Row],[Konto]],Table5[[Konto]:[Konto nimetus]],2,FALSE)</f>
        <v>Kommunikatsiooni-, kultuuri- ja vaba aja sisustamise kulud</v>
      </c>
      <c r="L1213">
        <v>55</v>
      </c>
      <c r="M1213" t="str">
        <f t="shared" si="39"/>
        <v>55</v>
      </c>
      <c r="N1213" s="3" t="str">
        <f>VLOOKUP(Table2[[#This Row],[Tulu/kulu liik2]],Table5[[Tulu/kulu liik]:[Kontode koondnimetus]],4,FALSE)</f>
        <v>Muud tegevuskulud</v>
      </c>
      <c r="O1213" s="3" t="str">
        <f>VLOOKUP(Table2[[#This Row],[Tulu/kulu liik2]],Table5[],6,FALSE)</f>
        <v>Majandamiskulud</v>
      </c>
      <c r="P1213" s="3" t="str">
        <f>VLOOKUP(Table2[[#This Row],[Tulu/kulu liik2]],Table5[],5,FALSE)</f>
        <v>Põhitegevuse kulu</v>
      </c>
    </row>
    <row r="1214" spans="1:16" hidden="1" x14ac:dyDescent="0.25">
      <c r="A1214" t="str">
        <f t="shared" si="38"/>
        <v>10</v>
      </c>
      <c r="B1214" s="33" t="s">
        <v>366</v>
      </c>
      <c r="C1214" s="3" t="str">
        <f>VLOOKUP(Table2[[#This Row],[Tegevusala]],Table4[],2,FALSE)</f>
        <v xml:space="preserve"> Vinni Perekodu</v>
      </c>
      <c r="D1214" s="3" t="str">
        <f>VLOOKUP(Table2[[#This Row],[Tegevusala]],Table4[[Tegevusala kood]:[Tegevusala alanimetus]],4,FALSE)</f>
        <v>Laste ja noorte sotsiaalhoolekande asutused</v>
      </c>
      <c r="E1214" s="3" t="str">
        <f>VLOOKUP(Table2[[#This Row],[Tegevusala nimetus2]],Table4[[Tegevusala nimetus]:[Tegevusala koondnimetus]],2,FALSE)</f>
        <v>Sotsiaalne kaitse</v>
      </c>
      <c r="F1214" t="s">
        <v>1657</v>
      </c>
      <c r="G1214" t="s">
        <v>1688</v>
      </c>
      <c r="H1214" s="40">
        <v>1500</v>
      </c>
      <c r="J1214">
        <v>5525</v>
      </c>
      <c r="K1214" s="3" t="str">
        <f>VLOOKUP(Table2[[#This Row],[Konto]],Table5[[Konto]:[Konto nimetus]],2,FALSE)</f>
        <v>Kommunikatsiooni-, kultuuri- ja vaba aja sisustamise kulud</v>
      </c>
      <c r="L1214">
        <v>55</v>
      </c>
      <c r="M1214" t="str">
        <f t="shared" si="39"/>
        <v>55</v>
      </c>
      <c r="N1214" s="3" t="str">
        <f>VLOOKUP(Table2[[#This Row],[Tulu/kulu liik2]],Table5[[Tulu/kulu liik]:[Kontode koondnimetus]],4,FALSE)</f>
        <v>Muud tegevuskulud</v>
      </c>
      <c r="O1214" s="3" t="str">
        <f>VLOOKUP(Table2[[#This Row],[Tulu/kulu liik2]],Table5[],6,FALSE)</f>
        <v>Majandamiskulud</v>
      </c>
      <c r="P1214" s="3" t="str">
        <f>VLOOKUP(Table2[[#This Row],[Tulu/kulu liik2]],Table5[],5,FALSE)</f>
        <v>Põhitegevuse kulu</v>
      </c>
    </row>
    <row r="1215" spans="1:16" hidden="1" x14ac:dyDescent="0.25">
      <c r="A1215" t="str">
        <f t="shared" si="38"/>
        <v>10</v>
      </c>
      <c r="B1215" s="76" t="s">
        <v>366</v>
      </c>
      <c r="C1215" s="3" t="str">
        <f>VLOOKUP(Table2[[#This Row],[Tegevusala]],Table4[],2,FALSE)</f>
        <v xml:space="preserve"> Vinni Perekodu</v>
      </c>
      <c r="D1215" s="3" t="str">
        <f>VLOOKUP(Table2[[#This Row],[Tegevusala]],Table4[[Tegevusala kood]:[Tegevusala alanimetus]],4,FALSE)</f>
        <v>Laste ja noorte sotsiaalhoolekande asutused</v>
      </c>
      <c r="E1215" s="3" t="str">
        <f>VLOOKUP(Table2[[#This Row],[Tegevusala nimetus2]],Table4[[Tegevusala nimetus]:[Tegevusala koondnimetus]],2,FALSE)</f>
        <v>Sotsiaalne kaitse</v>
      </c>
      <c r="F1215" t="s">
        <v>1657</v>
      </c>
      <c r="G1215" t="s">
        <v>1689</v>
      </c>
      <c r="H1215" s="40">
        <v>1540</v>
      </c>
      <c r="J1215">
        <v>5525</v>
      </c>
      <c r="K1215" s="3" t="str">
        <f>VLOOKUP(Table2[[#This Row],[Konto]],Table5[[Konto]:[Konto nimetus]],2,FALSE)</f>
        <v>Kommunikatsiooni-, kultuuri- ja vaba aja sisustamise kulud</v>
      </c>
      <c r="L1215">
        <v>55</v>
      </c>
      <c r="M1215" t="str">
        <f t="shared" si="39"/>
        <v>55</v>
      </c>
      <c r="N1215" s="3" t="str">
        <f>VLOOKUP(Table2[[#This Row],[Tulu/kulu liik2]],Table5[[Tulu/kulu liik]:[Kontode koondnimetus]],4,FALSE)</f>
        <v>Muud tegevuskulud</v>
      </c>
      <c r="O1215" s="3" t="str">
        <f>VLOOKUP(Table2[[#This Row],[Tulu/kulu liik2]],Table5[],6,FALSE)</f>
        <v>Majandamiskulud</v>
      </c>
      <c r="P1215" s="3" t="str">
        <f>VLOOKUP(Table2[[#This Row],[Tulu/kulu liik2]],Table5[],5,FALSE)</f>
        <v>Põhitegevuse kulu</v>
      </c>
    </row>
    <row r="1216" spans="1:16" hidden="1" x14ac:dyDescent="0.25">
      <c r="A1216" t="str">
        <f t="shared" si="38"/>
        <v>10</v>
      </c>
      <c r="B1216" s="76" t="s">
        <v>366</v>
      </c>
      <c r="C1216" s="3" t="str">
        <f>VLOOKUP(Table2[[#This Row],[Tegevusala]],Table4[],2,FALSE)</f>
        <v xml:space="preserve"> Vinni Perekodu</v>
      </c>
      <c r="D1216" s="3" t="str">
        <f>VLOOKUP(Table2[[#This Row],[Tegevusala]],Table4[[Tegevusala kood]:[Tegevusala alanimetus]],4,FALSE)</f>
        <v>Laste ja noorte sotsiaalhoolekande asutused</v>
      </c>
      <c r="E1216" s="3" t="str">
        <f>VLOOKUP(Table2[[#This Row],[Tegevusala nimetus2]],Table4[[Tegevusala nimetus]:[Tegevusala koondnimetus]],2,FALSE)</f>
        <v>Sotsiaalne kaitse</v>
      </c>
      <c r="F1216" t="s">
        <v>1657</v>
      </c>
      <c r="G1216" t="s">
        <v>1690</v>
      </c>
      <c r="H1216" s="40">
        <v>5220</v>
      </c>
      <c r="I1216" s="2" t="s">
        <v>1691</v>
      </c>
      <c r="J1216">
        <v>5523</v>
      </c>
      <c r="K1216" s="3" t="str">
        <f>VLOOKUP(Table2[[#This Row],[Konto]],Table5[[Konto]:[Konto nimetus]],2,FALSE)</f>
        <v>Teavikud ja kunstiesemed</v>
      </c>
      <c r="L1216">
        <v>55</v>
      </c>
      <c r="M1216" t="str">
        <f t="shared" si="39"/>
        <v>55</v>
      </c>
      <c r="N1216" s="3" t="str">
        <f>VLOOKUP(Table2[[#This Row],[Tulu/kulu liik2]],Table5[[Tulu/kulu liik]:[Kontode koondnimetus]],4,FALSE)</f>
        <v>Muud tegevuskulud</v>
      </c>
      <c r="O1216" s="3" t="str">
        <f>VLOOKUP(Table2[[#This Row],[Tulu/kulu liik2]],Table5[],6,FALSE)</f>
        <v>Majandamiskulud</v>
      </c>
      <c r="P1216" s="3" t="str">
        <f>VLOOKUP(Table2[[#This Row],[Tulu/kulu liik2]],Table5[],5,FALSE)</f>
        <v>Põhitegevuse kulu</v>
      </c>
    </row>
    <row r="1217" spans="1:16" hidden="1" x14ac:dyDescent="0.25">
      <c r="A1217" t="str">
        <f t="shared" si="38"/>
        <v>10</v>
      </c>
      <c r="B1217" s="33" t="s">
        <v>366</v>
      </c>
      <c r="C1217" s="3" t="str">
        <f>VLOOKUP(Table2[[#This Row],[Tegevusala]],Table4[],2,FALSE)</f>
        <v xml:space="preserve"> Vinni Perekodu</v>
      </c>
      <c r="D1217" s="3" t="str">
        <f>VLOOKUP(Table2[[#This Row],[Tegevusala]],Table4[[Tegevusala kood]:[Tegevusala alanimetus]],4,FALSE)</f>
        <v>Laste ja noorte sotsiaalhoolekande asutused</v>
      </c>
      <c r="E1217" s="3" t="str">
        <f>VLOOKUP(Table2[[#This Row],[Tegevusala nimetus2]],Table4[[Tegevusala nimetus]:[Tegevusala koondnimetus]],2,FALSE)</f>
        <v>Sotsiaalne kaitse</v>
      </c>
      <c r="F1217" t="s">
        <v>1657</v>
      </c>
      <c r="G1217" t="s">
        <v>1692</v>
      </c>
      <c r="H1217" s="40">
        <v>-21410.4399999999</v>
      </c>
      <c r="J1217">
        <v>5521</v>
      </c>
      <c r="K1217" s="3" t="str">
        <f>VLOOKUP(Table2[[#This Row],[Konto]],Table5[[Konto]:[Konto nimetus]],2,FALSE)</f>
        <v>Toiduained ja toitlustusteenused</v>
      </c>
      <c r="L1217">
        <v>55</v>
      </c>
      <c r="M1217" t="str">
        <f t="shared" si="39"/>
        <v>55</v>
      </c>
      <c r="N1217" s="3" t="str">
        <f>VLOOKUP(Table2[[#This Row],[Tulu/kulu liik2]],Table5[[Tulu/kulu liik]:[Kontode koondnimetus]],4,FALSE)</f>
        <v>Muud tegevuskulud</v>
      </c>
      <c r="O1217" s="3" t="str">
        <f>VLOOKUP(Table2[[#This Row],[Tulu/kulu liik2]],Table5[],6,FALSE)</f>
        <v>Majandamiskulud</v>
      </c>
      <c r="P1217" s="3" t="str">
        <f>VLOOKUP(Table2[[#This Row],[Tulu/kulu liik2]],Table5[],5,FALSE)</f>
        <v>Põhitegevuse kulu</v>
      </c>
    </row>
    <row r="1218" spans="1:16" hidden="1" x14ac:dyDescent="0.25">
      <c r="A1218" s="8" t="str">
        <f t="shared" si="38"/>
        <v>10</v>
      </c>
      <c r="B1218" s="8" t="s">
        <v>366</v>
      </c>
      <c r="C1218" s="32" t="str">
        <f>VLOOKUP(Table2[[#This Row],[Tegevusala]],Table4[],2,FALSE)</f>
        <v xml:space="preserve"> Vinni Perekodu</v>
      </c>
      <c r="D1218" s="32" t="str">
        <f>VLOOKUP(Table2[[#This Row],[Tegevusala]],Table4[[Tegevusala kood]:[Tegevusala alanimetus]],4,FALSE)</f>
        <v>Laste ja noorte sotsiaalhoolekande asutused</v>
      </c>
      <c r="E1218" s="32" t="str">
        <f>VLOOKUP(Table2[[#This Row],[Tegevusala nimetus2]],Table4[[Tegevusala nimetus]:[Tegevusala koondnimetus]],2,FALSE)</f>
        <v>Sotsiaalne kaitse</v>
      </c>
      <c r="F1218" s="8" t="s">
        <v>1657</v>
      </c>
      <c r="G1218" s="8" t="s">
        <v>1658</v>
      </c>
      <c r="H1218" s="43">
        <v>-592050</v>
      </c>
      <c r="I1218" s="9"/>
      <c r="J1218" s="8">
        <v>3224</v>
      </c>
      <c r="K1218" s="32" t="str">
        <f>VLOOKUP(Table2[[#This Row],[Konto]],Table5[[Konto]:[Konto nimetus]],2,FALSE)</f>
        <v>Tulud sotsiaalabi teenustest</v>
      </c>
      <c r="L1218" s="8">
        <v>32</v>
      </c>
      <c r="M1218" s="8" t="str">
        <f t="shared" si="39"/>
        <v>32</v>
      </c>
      <c r="N1218" s="32" t="str">
        <f>VLOOKUP(Table2[[#This Row],[Tulu/kulu liik2]],Table5[[Tulu/kulu liik]:[Kontode koondnimetus]],4,FALSE)</f>
        <v>Tulud kaupade ja teenuste müügist</v>
      </c>
      <c r="O1218" s="32" t="str">
        <f>VLOOKUP(Table2[[#This Row],[Tulu/kulu liik2]],Table5[],6,FALSE)</f>
        <v>Tulud kaupade ja teenuste müügist</v>
      </c>
      <c r="P1218" s="32" t="str">
        <f>VLOOKUP(Table2[[#This Row],[Tulu/kulu liik2]],Table5[],5,FALSE)</f>
        <v>Põhitegevuse tulu</v>
      </c>
    </row>
    <row r="1219" spans="1:16" hidden="1" x14ac:dyDescent="0.25">
      <c r="A1219" t="str">
        <f t="shared" si="38"/>
        <v>10</v>
      </c>
      <c r="B1219" s="33" t="s">
        <v>366</v>
      </c>
      <c r="C1219" s="3" t="str">
        <f>VLOOKUP(Table2[[#This Row],[Tegevusala]],Table4[],2,FALSE)</f>
        <v xml:space="preserve"> Vinni Perekodu</v>
      </c>
      <c r="D1219" s="3" t="str">
        <f>VLOOKUP(Table2[[#This Row],[Tegevusala]],Table4[[Tegevusala kood]:[Tegevusala alanimetus]],4,FALSE)</f>
        <v>Laste ja noorte sotsiaalhoolekande asutused</v>
      </c>
      <c r="E1219" s="3" t="str">
        <f>VLOOKUP(Table2[[#This Row],[Tegevusala nimetus2]],Table4[[Tegevusala nimetus]:[Tegevusala koondnimetus]],2,FALSE)</f>
        <v>Sotsiaalne kaitse</v>
      </c>
      <c r="F1219" t="s">
        <v>1657</v>
      </c>
      <c r="G1219" t="s">
        <v>1811</v>
      </c>
      <c r="H1219" s="40">
        <v>480</v>
      </c>
      <c r="I1219" s="2" t="s">
        <v>1812</v>
      </c>
      <c r="J1219">
        <v>413899</v>
      </c>
      <c r="K1219" s="3" t="str">
        <f>VLOOKUP(Table2[[#This Row],[Konto]],Table5[[Konto]:[Konto nimetus]],2,FALSE)</f>
        <v>Muud sotsiaalabitoetused ja hüvitised</v>
      </c>
      <c r="L1219">
        <v>413</v>
      </c>
      <c r="M1219" t="str">
        <f t="shared" si="39"/>
        <v>41</v>
      </c>
      <c r="N1219" s="3" t="str">
        <f>VLOOKUP(Table2[[#This Row],[Tulu/kulu liik2]],Table5[[Tulu/kulu liik]:[Kontode koondnimetus]],4,FALSE)</f>
        <v>Antavad toetused tegevuskuludeks</v>
      </c>
      <c r="O1219" s="3" t="str">
        <f>VLOOKUP(Table2[[#This Row],[Tulu/kulu liik2]],Table5[],6,FALSE)</f>
        <v>Sotsiaalabitoetused ja muud toetused füüsilistele isikutele</v>
      </c>
      <c r="P1219" s="3" t="str">
        <f>VLOOKUP(Table2[[#This Row],[Tulu/kulu liik2]],Table5[],5,FALSE)</f>
        <v>Põhitegevuse kulu</v>
      </c>
    </row>
    <row r="1220" spans="1:16" hidden="1" x14ac:dyDescent="0.25">
      <c r="A1220" t="str">
        <f t="shared" si="38"/>
        <v>10</v>
      </c>
      <c r="B1220" s="33" t="s">
        <v>366</v>
      </c>
      <c r="C1220" s="3" t="str">
        <f>VLOOKUP(Table2[[#This Row],[Tegevusala]],Table4[],2,FALSE)</f>
        <v xml:space="preserve"> Vinni Perekodu</v>
      </c>
      <c r="D1220" s="3" t="str">
        <f>VLOOKUP(Table2[[#This Row],[Tegevusala]],Table4[[Tegevusala kood]:[Tegevusala alanimetus]],4,FALSE)</f>
        <v>Laste ja noorte sotsiaalhoolekande asutused</v>
      </c>
      <c r="E1220" s="3" t="str">
        <f>VLOOKUP(Table2[[#This Row],[Tegevusala nimetus2]],Table4[[Tegevusala nimetus]:[Tegevusala koondnimetus]],2,FALSE)</f>
        <v>Sotsiaalne kaitse</v>
      </c>
      <c r="F1220" t="s">
        <v>1657</v>
      </c>
      <c r="G1220" t="s">
        <v>1811</v>
      </c>
      <c r="H1220" s="40">
        <v>1980</v>
      </c>
      <c r="I1220" s="2" t="s">
        <v>1813</v>
      </c>
      <c r="J1220">
        <v>413899</v>
      </c>
      <c r="K1220" s="3" t="str">
        <f>VLOOKUP(Table2[[#This Row],[Konto]],Table5[[Konto]:[Konto nimetus]],2,FALSE)</f>
        <v>Muud sotsiaalabitoetused ja hüvitised</v>
      </c>
      <c r="L1220">
        <v>413</v>
      </c>
      <c r="M1220" t="str">
        <f t="shared" si="39"/>
        <v>41</v>
      </c>
      <c r="N1220" s="3" t="str">
        <f>VLOOKUP(Table2[[#This Row],[Tulu/kulu liik2]],Table5[[Tulu/kulu liik]:[Kontode koondnimetus]],4,FALSE)</f>
        <v>Antavad toetused tegevuskuludeks</v>
      </c>
      <c r="O1220" s="3" t="str">
        <f>VLOOKUP(Table2[[#This Row],[Tulu/kulu liik2]],Table5[],6,FALSE)</f>
        <v>Sotsiaalabitoetused ja muud toetused füüsilistele isikutele</v>
      </c>
      <c r="P1220" s="3" t="str">
        <f>VLOOKUP(Table2[[#This Row],[Tulu/kulu liik2]],Table5[],5,FALSE)</f>
        <v>Põhitegevuse kulu</v>
      </c>
    </row>
    <row r="1221" spans="1:16" hidden="1" x14ac:dyDescent="0.25">
      <c r="A1221" t="str">
        <f t="shared" si="38"/>
        <v>10</v>
      </c>
      <c r="B1221" s="33" t="s">
        <v>366</v>
      </c>
      <c r="C1221" s="3" t="str">
        <f>VLOOKUP(Table2[[#This Row],[Tegevusala]],Table4[],2,FALSE)</f>
        <v xml:space="preserve"> Vinni Perekodu</v>
      </c>
      <c r="D1221" s="3" t="str">
        <f>VLOOKUP(Table2[[#This Row],[Tegevusala]],Table4[[Tegevusala kood]:[Tegevusala alanimetus]],4,FALSE)</f>
        <v>Laste ja noorte sotsiaalhoolekande asutused</v>
      </c>
      <c r="E1221" s="3" t="str">
        <f>VLOOKUP(Table2[[#This Row],[Tegevusala nimetus2]],Table4[[Tegevusala nimetus]:[Tegevusala koondnimetus]],2,FALSE)</f>
        <v>Sotsiaalne kaitse</v>
      </c>
      <c r="F1221" t="s">
        <v>1657</v>
      </c>
      <c r="G1221" t="s">
        <v>1811</v>
      </c>
      <c r="H1221" s="40">
        <v>3840</v>
      </c>
      <c r="I1221" s="2" t="s">
        <v>1814</v>
      </c>
      <c r="J1221">
        <v>413899</v>
      </c>
      <c r="K1221" s="3" t="str">
        <f>VLOOKUP(Table2[[#This Row],[Konto]],Table5[[Konto]:[Konto nimetus]],2,FALSE)</f>
        <v>Muud sotsiaalabitoetused ja hüvitised</v>
      </c>
      <c r="L1221">
        <v>413</v>
      </c>
      <c r="M1221" t="str">
        <f t="shared" si="39"/>
        <v>41</v>
      </c>
      <c r="N1221" s="3" t="str">
        <f>VLOOKUP(Table2[[#This Row],[Tulu/kulu liik2]],Table5[[Tulu/kulu liik]:[Kontode koondnimetus]],4,FALSE)</f>
        <v>Antavad toetused tegevuskuludeks</v>
      </c>
      <c r="O1221" s="3" t="str">
        <f>VLOOKUP(Table2[[#This Row],[Tulu/kulu liik2]],Table5[],6,FALSE)</f>
        <v>Sotsiaalabitoetused ja muud toetused füüsilistele isikutele</v>
      </c>
      <c r="P1221" s="3" t="str">
        <f>VLOOKUP(Table2[[#This Row],[Tulu/kulu liik2]],Table5[],5,FALSE)</f>
        <v>Põhitegevuse kulu</v>
      </c>
    </row>
    <row r="1222" spans="1:16" hidden="1" x14ac:dyDescent="0.25">
      <c r="A1222" t="str">
        <f t="shared" si="38"/>
        <v>10</v>
      </c>
      <c r="B1222" s="33" t="s">
        <v>366</v>
      </c>
      <c r="C1222" s="3" t="str">
        <f>VLOOKUP(Table2[[#This Row],[Tegevusala]],Table4[],2,FALSE)</f>
        <v xml:space="preserve"> Vinni Perekodu</v>
      </c>
      <c r="D1222" s="3" t="str">
        <f>VLOOKUP(Table2[[#This Row],[Tegevusala]],Table4[[Tegevusala kood]:[Tegevusala alanimetus]],4,FALSE)</f>
        <v>Laste ja noorte sotsiaalhoolekande asutused</v>
      </c>
      <c r="E1222" s="3" t="str">
        <f>VLOOKUP(Table2[[#This Row],[Tegevusala nimetus2]],Table4[[Tegevusala nimetus]:[Tegevusala koondnimetus]],2,FALSE)</f>
        <v>Sotsiaalne kaitse</v>
      </c>
      <c r="F1222" t="s">
        <v>1657</v>
      </c>
      <c r="G1222" t="s">
        <v>178</v>
      </c>
      <c r="H1222" s="40">
        <v>19000</v>
      </c>
      <c r="J1222">
        <v>5511</v>
      </c>
      <c r="K1222" s="3" t="str">
        <f>VLOOKUP(Table2[[#This Row],[Konto]],Table5[[Konto]:[Konto nimetus]],2,FALSE)</f>
        <v>Kinnistute, hoonete ja ruumide majandamiskulud</v>
      </c>
      <c r="L1222">
        <v>55</v>
      </c>
      <c r="M1222" t="str">
        <f t="shared" si="39"/>
        <v>55</v>
      </c>
      <c r="N1222" s="3" t="str">
        <f>VLOOKUP(Table2[[#This Row],[Tulu/kulu liik2]],Table5[[Tulu/kulu liik]:[Kontode koondnimetus]],4,FALSE)</f>
        <v>Muud tegevuskulud</v>
      </c>
      <c r="O1222" s="3" t="str">
        <f>VLOOKUP(Table2[[#This Row],[Tulu/kulu liik2]],Table5[],6,FALSE)</f>
        <v>Majandamiskulud</v>
      </c>
      <c r="P1222" s="3" t="str">
        <f>VLOOKUP(Table2[[#This Row],[Tulu/kulu liik2]],Table5[],5,FALSE)</f>
        <v>Põhitegevuse kulu</v>
      </c>
    </row>
    <row r="1223" spans="1:16" hidden="1" x14ac:dyDescent="0.25">
      <c r="A1223" t="str">
        <f t="shared" si="38"/>
        <v>10</v>
      </c>
      <c r="B1223" s="33" t="s">
        <v>366</v>
      </c>
      <c r="C1223" s="3" t="str">
        <f>VLOOKUP(Table2[[#This Row],[Tegevusala]],Table4[],2,FALSE)</f>
        <v xml:space="preserve"> Vinni Perekodu</v>
      </c>
      <c r="D1223" s="3" t="str">
        <f>VLOOKUP(Table2[[#This Row],[Tegevusala]],Table4[[Tegevusala kood]:[Tegevusala alanimetus]],4,FALSE)</f>
        <v>Laste ja noorte sotsiaalhoolekande asutused</v>
      </c>
      <c r="E1223" s="3" t="str">
        <f>VLOOKUP(Table2[[#This Row],[Tegevusala nimetus2]],Table4[[Tegevusala nimetus]:[Tegevusala koondnimetus]],2,FALSE)</f>
        <v>Sotsiaalne kaitse</v>
      </c>
      <c r="F1223" t="s">
        <v>1657</v>
      </c>
      <c r="G1223" t="s">
        <v>1672</v>
      </c>
      <c r="H1223" s="40">
        <v>7000</v>
      </c>
      <c r="J1223">
        <v>5511</v>
      </c>
      <c r="K1223" s="3" t="str">
        <f>VLOOKUP(Table2[[#This Row],[Konto]],Table5[[Konto]:[Konto nimetus]],2,FALSE)</f>
        <v>Kinnistute, hoonete ja ruumide majandamiskulud</v>
      </c>
      <c r="L1223">
        <v>55</v>
      </c>
      <c r="M1223" t="str">
        <f t="shared" si="39"/>
        <v>55</v>
      </c>
      <c r="N1223" s="3" t="str">
        <f>VLOOKUP(Table2[[#This Row],[Tulu/kulu liik2]],Table5[[Tulu/kulu liik]:[Kontode koondnimetus]],4,FALSE)</f>
        <v>Muud tegevuskulud</v>
      </c>
      <c r="O1223" s="3" t="str">
        <f>VLOOKUP(Table2[[#This Row],[Tulu/kulu liik2]],Table5[],6,FALSE)</f>
        <v>Majandamiskulud</v>
      </c>
      <c r="P1223" s="3" t="str">
        <f>VLOOKUP(Table2[[#This Row],[Tulu/kulu liik2]],Table5[],5,FALSE)</f>
        <v>Põhitegevuse kulu</v>
      </c>
    </row>
    <row r="1224" spans="1:16" hidden="1" x14ac:dyDescent="0.25">
      <c r="A1224" t="str">
        <f t="shared" si="38"/>
        <v>10</v>
      </c>
      <c r="B1224" s="33" t="s">
        <v>366</v>
      </c>
      <c r="C1224" s="3" t="str">
        <f>VLOOKUP(Table2[[#This Row],[Tegevusala]],Table4[],2,FALSE)</f>
        <v xml:space="preserve"> Vinni Perekodu</v>
      </c>
      <c r="D1224" s="3" t="str">
        <f>VLOOKUP(Table2[[#This Row],[Tegevusala]],Table4[[Tegevusala kood]:[Tegevusala alanimetus]],4,FALSE)</f>
        <v>Laste ja noorte sotsiaalhoolekande asutused</v>
      </c>
      <c r="E1224" s="3" t="str">
        <f>VLOOKUP(Table2[[#This Row],[Tegevusala nimetus2]],Table4[[Tegevusala nimetus]:[Tegevusala koondnimetus]],2,FALSE)</f>
        <v>Sotsiaalne kaitse</v>
      </c>
      <c r="F1224" t="s">
        <v>1657</v>
      </c>
      <c r="G1224" t="s">
        <v>1673</v>
      </c>
      <c r="H1224" s="40">
        <v>4500</v>
      </c>
      <c r="J1224">
        <v>5511</v>
      </c>
      <c r="K1224" s="3" t="str">
        <f>VLOOKUP(Table2[[#This Row],[Konto]],Table5[[Konto]:[Konto nimetus]],2,FALSE)</f>
        <v>Kinnistute, hoonete ja ruumide majandamiskulud</v>
      </c>
      <c r="L1224">
        <v>55</v>
      </c>
      <c r="M1224" t="str">
        <f t="shared" si="39"/>
        <v>55</v>
      </c>
      <c r="N1224" s="3" t="str">
        <f>VLOOKUP(Table2[[#This Row],[Tulu/kulu liik2]],Table5[[Tulu/kulu liik]:[Kontode koondnimetus]],4,FALSE)</f>
        <v>Muud tegevuskulud</v>
      </c>
      <c r="O1224" s="3" t="str">
        <f>VLOOKUP(Table2[[#This Row],[Tulu/kulu liik2]],Table5[],6,FALSE)</f>
        <v>Majandamiskulud</v>
      </c>
      <c r="P1224" s="3" t="str">
        <f>VLOOKUP(Table2[[#This Row],[Tulu/kulu liik2]],Table5[],5,FALSE)</f>
        <v>Põhitegevuse kulu</v>
      </c>
    </row>
    <row r="1225" spans="1:16" hidden="1" x14ac:dyDescent="0.25">
      <c r="A1225" t="str">
        <f t="shared" si="38"/>
        <v>10</v>
      </c>
      <c r="B1225" s="33" t="s">
        <v>366</v>
      </c>
      <c r="C1225" s="3" t="str">
        <f>VLOOKUP(Table2[[#This Row],[Tegevusala]],Table4[],2,FALSE)</f>
        <v xml:space="preserve"> Vinni Perekodu</v>
      </c>
      <c r="D1225" s="3" t="str">
        <f>VLOOKUP(Table2[[#This Row],[Tegevusala]],Table4[[Tegevusala kood]:[Tegevusala alanimetus]],4,FALSE)</f>
        <v>Laste ja noorte sotsiaalhoolekande asutused</v>
      </c>
      <c r="E1225" s="3" t="str">
        <f>VLOOKUP(Table2[[#This Row],[Tegevusala nimetus2]],Table4[[Tegevusala nimetus]:[Tegevusala koondnimetus]],2,FALSE)</f>
        <v>Sotsiaalne kaitse</v>
      </c>
      <c r="F1225" t="s">
        <v>1657</v>
      </c>
      <c r="G1225" t="s">
        <v>1674</v>
      </c>
      <c r="H1225" s="40">
        <v>900</v>
      </c>
      <c r="J1225">
        <v>5511</v>
      </c>
      <c r="K1225" s="3" t="str">
        <f>VLOOKUP(Table2[[#This Row],[Konto]],Table5[[Konto]:[Konto nimetus]],2,FALSE)</f>
        <v>Kinnistute, hoonete ja ruumide majandamiskulud</v>
      </c>
      <c r="L1225">
        <v>55</v>
      </c>
      <c r="M1225" t="str">
        <f t="shared" si="39"/>
        <v>55</v>
      </c>
      <c r="N1225" s="3" t="str">
        <f>VLOOKUP(Table2[[#This Row],[Tulu/kulu liik2]],Table5[[Tulu/kulu liik]:[Kontode koondnimetus]],4,FALSE)</f>
        <v>Muud tegevuskulud</v>
      </c>
      <c r="O1225" s="3" t="str">
        <f>VLOOKUP(Table2[[#This Row],[Tulu/kulu liik2]],Table5[],6,FALSE)</f>
        <v>Majandamiskulud</v>
      </c>
      <c r="P1225" s="3" t="str">
        <f>VLOOKUP(Table2[[#This Row],[Tulu/kulu liik2]],Table5[],5,FALSE)</f>
        <v>Põhitegevuse kulu</v>
      </c>
    </row>
    <row r="1226" spans="1:16" hidden="1" x14ac:dyDescent="0.25">
      <c r="A1226" t="str">
        <f t="shared" si="38"/>
        <v>10</v>
      </c>
      <c r="B1226" s="33" t="s">
        <v>366</v>
      </c>
      <c r="C1226" s="3" t="str">
        <f>VLOOKUP(Table2[[#This Row],[Tegevusala]],Table4[],2,FALSE)</f>
        <v xml:space="preserve"> Vinni Perekodu</v>
      </c>
      <c r="D1226" s="3" t="str">
        <f>VLOOKUP(Table2[[#This Row],[Tegevusala]],Table4[[Tegevusala kood]:[Tegevusala alanimetus]],4,FALSE)</f>
        <v>Laste ja noorte sotsiaalhoolekande asutused</v>
      </c>
      <c r="E1226" s="3" t="str">
        <f>VLOOKUP(Table2[[#This Row],[Tegevusala nimetus2]],Table4[[Tegevusala nimetus]:[Tegevusala koondnimetus]],2,FALSE)</f>
        <v>Sotsiaalne kaitse</v>
      </c>
      <c r="F1226" t="s">
        <v>1657</v>
      </c>
      <c r="G1226" t="s">
        <v>180</v>
      </c>
      <c r="H1226" s="40">
        <v>900</v>
      </c>
      <c r="J1226">
        <v>5511</v>
      </c>
      <c r="K1226" s="3" t="str">
        <f>VLOOKUP(Table2[[#This Row],[Konto]],Table5[[Konto]:[Konto nimetus]],2,FALSE)</f>
        <v>Kinnistute, hoonete ja ruumide majandamiskulud</v>
      </c>
      <c r="L1226">
        <v>55</v>
      </c>
      <c r="M1226" t="str">
        <f t="shared" si="39"/>
        <v>55</v>
      </c>
      <c r="N1226" s="3" t="str">
        <f>VLOOKUP(Table2[[#This Row],[Tulu/kulu liik2]],Table5[[Tulu/kulu liik]:[Kontode koondnimetus]],4,FALSE)</f>
        <v>Muud tegevuskulud</v>
      </c>
      <c r="O1226" s="3" t="str">
        <f>VLOOKUP(Table2[[#This Row],[Tulu/kulu liik2]],Table5[],6,FALSE)</f>
        <v>Majandamiskulud</v>
      </c>
      <c r="P1226" s="3" t="str">
        <f>VLOOKUP(Table2[[#This Row],[Tulu/kulu liik2]],Table5[],5,FALSE)</f>
        <v>Põhitegevuse kulu</v>
      </c>
    </row>
    <row r="1227" spans="1:16" hidden="1" x14ac:dyDescent="0.25">
      <c r="A1227" t="str">
        <f t="shared" si="38"/>
        <v>10</v>
      </c>
      <c r="B1227" s="33" t="s">
        <v>366</v>
      </c>
      <c r="C1227" s="3" t="str">
        <f>VLOOKUP(Table2[[#This Row],[Tegevusala]],Table4[],2,FALSE)</f>
        <v xml:space="preserve"> Vinni Perekodu</v>
      </c>
      <c r="D1227" s="3" t="str">
        <f>VLOOKUP(Table2[[#This Row],[Tegevusala]],Table4[[Tegevusala kood]:[Tegevusala alanimetus]],4,FALSE)</f>
        <v>Laste ja noorte sotsiaalhoolekande asutused</v>
      </c>
      <c r="E1227" s="3" t="str">
        <f>VLOOKUP(Table2[[#This Row],[Tegevusala nimetus2]],Table4[[Tegevusala nimetus]:[Tegevusala koondnimetus]],2,FALSE)</f>
        <v>Sotsiaalne kaitse</v>
      </c>
      <c r="F1227" t="s">
        <v>1657</v>
      </c>
      <c r="G1227" t="s">
        <v>1675</v>
      </c>
      <c r="H1227" s="40">
        <v>320</v>
      </c>
      <c r="J1227">
        <v>5511</v>
      </c>
      <c r="K1227" s="3" t="str">
        <f>VLOOKUP(Table2[[#This Row],[Konto]],Table5[[Konto]:[Konto nimetus]],2,FALSE)</f>
        <v>Kinnistute, hoonete ja ruumide majandamiskulud</v>
      </c>
      <c r="L1227">
        <v>55</v>
      </c>
      <c r="M1227" t="str">
        <f t="shared" si="39"/>
        <v>55</v>
      </c>
      <c r="N1227" s="3" t="str">
        <f>VLOOKUP(Table2[[#This Row],[Tulu/kulu liik2]],Table5[[Tulu/kulu liik]:[Kontode koondnimetus]],4,FALSE)</f>
        <v>Muud tegevuskulud</v>
      </c>
      <c r="O1227" s="3" t="str">
        <f>VLOOKUP(Table2[[#This Row],[Tulu/kulu liik2]],Table5[],6,FALSE)</f>
        <v>Majandamiskulud</v>
      </c>
      <c r="P1227" s="3" t="str">
        <f>VLOOKUP(Table2[[#This Row],[Tulu/kulu liik2]],Table5[],5,FALSE)</f>
        <v>Põhitegevuse kulu</v>
      </c>
    </row>
    <row r="1228" spans="1:16" hidden="1" x14ac:dyDescent="0.25">
      <c r="A1228" t="str">
        <f t="shared" si="38"/>
        <v>10</v>
      </c>
      <c r="B1228" s="33" t="s">
        <v>366</v>
      </c>
      <c r="C1228" s="3" t="str">
        <f>VLOOKUP(Table2[[#This Row],[Tegevusala]],Table4[],2,FALSE)</f>
        <v xml:space="preserve"> Vinni Perekodu</v>
      </c>
      <c r="D1228" s="3" t="str">
        <f>VLOOKUP(Table2[[#This Row],[Tegevusala]],Table4[[Tegevusala kood]:[Tegevusala alanimetus]],4,FALSE)</f>
        <v>Laste ja noorte sotsiaalhoolekande asutused</v>
      </c>
      <c r="E1228" s="3" t="str">
        <f>VLOOKUP(Table2[[#This Row],[Tegevusala nimetus2]],Table4[[Tegevusala nimetus]:[Tegevusala koondnimetus]],2,FALSE)</f>
        <v>Sotsiaalne kaitse</v>
      </c>
      <c r="F1228" t="s">
        <v>1657</v>
      </c>
      <c r="G1228" t="s">
        <v>1676</v>
      </c>
      <c r="H1228" s="40">
        <v>600</v>
      </c>
      <c r="J1228">
        <v>5511</v>
      </c>
      <c r="K1228" s="3" t="str">
        <f>VLOOKUP(Table2[[#This Row],[Konto]],Table5[[Konto]:[Konto nimetus]],2,FALSE)</f>
        <v>Kinnistute, hoonete ja ruumide majandamiskulud</v>
      </c>
      <c r="L1228">
        <v>55</v>
      </c>
      <c r="M1228" t="str">
        <f t="shared" si="39"/>
        <v>55</v>
      </c>
      <c r="N1228" s="3" t="str">
        <f>VLOOKUP(Table2[[#This Row],[Tulu/kulu liik2]],Table5[[Tulu/kulu liik]:[Kontode koondnimetus]],4,FALSE)</f>
        <v>Muud tegevuskulud</v>
      </c>
      <c r="O1228" s="3" t="str">
        <f>VLOOKUP(Table2[[#This Row],[Tulu/kulu liik2]],Table5[],6,FALSE)</f>
        <v>Majandamiskulud</v>
      </c>
      <c r="P1228" s="3" t="str">
        <f>VLOOKUP(Table2[[#This Row],[Tulu/kulu liik2]],Table5[],5,FALSE)</f>
        <v>Põhitegevuse kulu</v>
      </c>
    </row>
    <row r="1229" spans="1:16" hidden="1" x14ac:dyDescent="0.25">
      <c r="A1229" t="str">
        <f t="shared" si="38"/>
        <v>10</v>
      </c>
      <c r="B1229" s="33" t="s">
        <v>366</v>
      </c>
      <c r="C1229" s="3" t="str">
        <f>VLOOKUP(Table2[[#This Row],[Tegevusala]],Table4[],2,FALSE)</f>
        <v xml:space="preserve"> Vinni Perekodu</v>
      </c>
      <c r="D1229" s="3" t="str">
        <f>VLOOKUP(Table2[[#This Row],[Tegevusala]],Table4[[Tegevusala kood]:[Tegevusala alanimetus]],4,FALSE)</f>
        <v>Laste ja noorte sotsiaalhoolekande asutused</v>
      </c>
      <c r="E1229" s="3" t="str">
        <f>VLOOKUP(Table2[[#This Row],[Tegevusala nimetus2]],Table4[[Tegevusala nimetus]:[Tegevusala koondnimetus]],2,FALSE)</f>
        <v>Sotsiaalne kaitse</v>
      </c>
      <c r="F1229" t="s">
        <v>1657</v>
      </c>
      <c r="G1229" t="s">
        <v>1677</v>
      </c>
      <c r="H1229" s="40">
        <v>2955</v>
      </c>
      <c r="J1229">
        <v>5511</v>
      </c>
      <c r="K1229" s="3" t="str">
        <f>VLOOKUP(Table2[[#This Row],[Konto]],Table5[[Konto]:[Konto nimetus]],2,FALSE)</f>
        <v>Kinnistute, hoonete ja ruumide majandamiskulud</v>
      </c>
      <c r="L1229">
        <v>55</v>
      </c>
      <c r="M1229" t="str">
        <f t="shared" si="39"/>
        <v>55</v>
      </c>
      <c r="N1229" s="3" t="str">
        <f>VLOOKUP(Table2[[#This Row],[Tulu/kulu liik2]],Table5[[Tulu/kulu liik]:[Kontode koondnimetus]],4,FALSE)</f>
        <v>Muud tegevuskulud</v>
      </c>
      <c r="O1229" s="3" t="str">
        <f>VLOOKUP(Table2[[#This Row],[Tulu/kulu liik2]],Table5[],6,FALSE)</f>
        <v>Majandamiskulud</v>
      </c>
      <c r="P1229" s="3" t="str">
        <f>VLOOKUP(Table2[[#This Row],[Tulu/kulu liik2]],Table5[],5,FALSE)</f>
        <v>Põhitegevuse kulu</v>
      </c>
    </row>
    <row r="1230" spans="1:16" hidden="1" x14ac:dyDescent="0.25">
      <c r="A1230" s="33" t="str">
        <f t="shared" si="38"/>
        <v>10</v>
      </c>
      <c r="B1230" s="33" t="s">
        <v>368</v>
      </c>
      <c r="C1230" s="34" t="str">
        <f>VLOOKUP(Table2[[#This Row],[Tegevusala]],Table4[],2,FALSE)</f>
        <v xml:space="preserve"> Muud asutused</v>
      </c>
      <c r="D1230" s="34" t="str">
        <f>VLOOKUP(Table2[[#This Row],[Tegevusala]],Table4[[Tegevusala kood]:[Tegevusala alanimetus]],4,FALSE)</f>
        <v>Laste ja noorte sotsiaalhoolekande asutused</v>
      </c>
      <c r="E1230" s="34" t="str">
        <f>VLOOKUP(Table2[[#This Row],[Tegevusala nimetus2]],Table4[[Tegevusala nimetus]:[Tegevusala koondnimetus]],2,FALSE)</f>
        <v>Sotsiaalne kaitse</v>
      </c>
      <c r="F1230" s="33" t="s">
        <v>444</v>
      </c>
      <c r="G1230" s="33" t="s">
        <v>654</v>
      </c>
      <c r="H1230" s="47">
        <v>800</v>
      </c>
      <c r="I1230" s="35"/>
      <c r="J1230" s="33">
        <v>45008</v>
      </c>
      <c r="K1230" s="34" t="str">
        <f>VLOOKUP(Table2[[#This Row],[Konto]],Table5[[Konto]:[Konto nimetus]],2,FALSE)</f>
        <v>Sihtotstarbelised eraldised muudele residentidele</v>
      </c>
      <c r="L1230" s="33">
        <v>4500</v>
      </c>
      <c r="M1230" s="33" t="str">
        <f t="shared" si="39"/>
        <v>45</v>
      </c>
      <c r="N1230" s="34" t="str">
        <f>VLOOKUP(Table2[[#This Row],[Tulu/kulu liik2]],Table5[[Tulu/kulu liik]:[Kontode koondnimetus]],4,FALSE)</f>
        <v>Antavad toetused tegevuskuludeks</v>
      </c>
      <c r="O1230" s="34" t="str">
        <f>VLOOKUP(Table2[[#This Row],[Tulu/kulu liik2]],Table5[],6,FALSE)</f>
        <v>Sihtotstarbelised toetused tegevuskuludeks</v>
      </c>
      <c r="P1230" s="34" t="str">
        <f>VLOOKUP(Table2[[#This Row],[Tulu/kulu liik2]],Table5[],5,FALSE)</f>
        <v>Põhitegevuse kulu</v>
      </c>
    </row>
    <row r="1231" spans="1:16" hidden="1" x14ac:dyDescent="0.25">
      <c r="A1231" s="33" t="str">
        <f t="shared" si="38"/>
        <v>10</v>
      </c>
      <c r="B1231" s="33" t="s">
        <v>368</v>
      </c>
      <c r="C1231" s="34" t="str">
        <f>VLOOKUP(Table2[[#This Row],[Tegevusala]],Table4[],2,FALSE)</f>
        <v xml:space="preserve"> Muud asutused</v>
      </c>
      <c r="D1231" s="34" t="str">
        <f>VLOOKUP(Table2[[#This Row],[Tegevusala]],Table4[[Tegevusala kood]:[Tegevusala alanimetus]],4,FALSE)</f>
        <v>Laste ja noorte sotsiaalhoolekande asutused</v>
      </c>
      <c r="E1231" s="34" t="str">
        <f>VLOOKUP(Table2[[#This Row],[Tegevusala nimetus2]],Table4[[Tegevusala nimetus]:[Tegevusala koondnimetus]],2,FALSE)</f>
        <v>Sotsiaalne kaitse</v>
      </c>
      <c r="F1231" s="33" t="s">
        <v>444</v>
      </c>
      <c r="G1231" s="33" t="s">
        <v>655</v>
      </c>
      <c r="H1231" s="47">
        <v>2820</v>
      </c>
      <c r="I1231" s="35"/>
      <c r="J1231" s="33">
        <v>5526</v>
      </c>
      <c r="K1231" s="34" t="str">
        <f>VLOOKUP(Table2[[#This Row],[Konto]],Table5[[Konto]:[Konto nimetus]],2,FALSE)</f>
        <v>Sotsiaalteenused</v>
      </c>
      <c r="L1231" s="33">
        <v>55</v>
      </c>
      <c r="M1231" s="33" t="str">
        <f t="shared" si="39"/>
        <v>55</v>
      </c>
      <c r="N1231" s="34" t="str">
        <f>VLOOKUP(Table2[[#This Row],[Tulu/kulu liik2]],Table5[[Tulu/kulu liik]:[Kontode koondnimetus]],4,FALSE)</f>
        <v>Muud tegevuskulud</v>
      </c>
      <c r="O1231" s="34" t="str">
        <f>VLOOKUP(Table2[[#This Row],[Tulu/kulu liik2]],Table5[],6,FALSE)</f>
        <v>Majandamiskulud</v>
      </c>
      <c r="P1231" s="34" t="str">
        <f>VLOOKUP(Table2[[#This Row],[Tulu/kulu liik2]],Table5[],5,FALSE)</f>
        <v>Põhitegevuse kulu</v>
      </c>
    </row>
    <row r="1232" spans="1:16" hidden="1" x14ac:dyDescent="0.25">
      <c r="A1232" s="33" t="str">
        <f t="shared" si="38"/>
        <v>10</v>
      </c>
      <c r="B1232" s="33" t="s">
        <v>368</v>
      </c>
      <c r="C1232" s="34" t="str">
        <f>VLOOKUP(Table2[[#This Row],[Tegevusala]],Table4[],2,FALSE)</f>
        <v xml:space="preserve"> Muud asutused</v>
      </c>
      <c r="D1232" s="34" t="str">
        <f>VLOOKUP(Table2[[#This Row],[Tegevusala]],Table4[[Tegevusala kood]:[Tegevusala alanimetus]],4,FALSE)</f>
        <v>Laste ja noorte sotsiaalhoolekande asutused</v>
      </c>
      <c r="E1232" s="34" t="str">
        <f>VLOOKUP(Table2[[#This Row],[Tegevusala nimetus2]],Table4[[Tegevusala nimetus]:[Tegevusala koondnimetus]],2,FALSE)</f>
        <v>Sotsiaalne kaitse</v>
      </c>
      <c r="F1232" s="33" t="s">
        <v>444</v>
      </c>
      <c r="G1232" s="33" t="s">
        <v>656</v>
      </c>
      <c r="H1232" s="47">
        <v>3000</v>
      </c>
      <c r="I1232" s="35"/>
      <c r="J1232" s="33">
        <v>4500</v>
      </c>
      <c r="K1232" s="34" t="str">
        <f>VLOOKUP(Table2[[#This Row],[Konto]],Table5[[Konto]:[Konto nimetus]],2,FALSE)</f>
        <v>Sihtotstarbelised eraldised jooksvateks kuludeks</v>
      </c>
      <c r="L1232" s="33">
        <v>4500</v>
      </c>
      <c r="M1232" s="33" t="str">
        <f t="shared" si="39"/>
        <v>45</v>
      </c>
      <c r="N1232" s="34" t="str">
        <f>VLOOKUP(Table2[[#This Row],[Tulu/kulu liik2]],Table5[[Tulu/kulu liik]:[Kontode koondnimetus]],4,FALSE)</f>
        <v>Antavad toetused tegevuskuludeks</v>
      </c>
      <c r="O1232" s="34" t="str">
        <f>VLOOKUP(Table2[[#This Row],[Tulu/kulu liik2]],Table5[],6,FALSE)</f>
        <v>Sihtotstarbelised toetused tegevuskuludeks</v>
      </c>
      <c r="P1232" s="34" t="str">
        <f>VLOOKUP(Table2[[#This Row],[Tulu/kulu liik2]],Table5[],5,FALSE)</f>
        <v>Põhitegevuse kulu</v>
      </c>
    </row>
    <row r="1233" spans="1:16" hidden="1" x14ac:dyDescent="0.25">
      <c r="A1233" s="33" t="str">
        <f t="shared" si="38"/>
        <v>10</v>
      </c>
      <c r="B1233" s="33" t="s">
        <v>368</v>
      </c>
      <c r="C1233" s="34" t="str">
        <f>VLOOKUP(Table2[[#This Row],[Tegevusala]],Table4[],2,FALSE)</f>
        <v xml:space="preserve"> Muud asutused</v>
      </c>
      <c r="D1233" s="34" t="str">
        <f>VLOOKUP(Table2[[#This Row],[Tegevusala]],Table4[[Tegevusala kood]:[Tegevusala alanimetus]],4,FALSE)</f>
        <v>Laste ja noorte sotsiaalhoolekande asutused</v>
      </c>
      <c r="E1233" s="34" t="str">
        <f>VLOOKUP(Table2[[#This Row],[Tegevusala nimetus2]],Table4[[Tegevusala nimetus]:[Tegevusala koondnimetus]],2,FALSE)</f>
        <v>Sotsiaalne kaitse</v>
      </c>
      <c r="F1233" s="33" t="s">
        <v>444</v>
      </c>
      <c r="G1233" s="33" t="s">
        <v>660</v>
      </c>
      <c r="H1233" s="47">
        <v>4000</v>
      </c>
      <c r="I1233" s="35"/>
      <c r="J1233" s="33">
        <v>5526</v>
      </c>
      <c r="K1233" s="34" t="str">
        <f>VLOOKUP(Table2[[#This Row],[Konto]],Table5[[Konto]:[Konto nimetus]],2,FALSE)</f>
        <v>Sotsiaalteenused</v>
      </c>
      <c r="L1233" s="33">
        <v>55</v>
      </c>
      <c r="M1233" s="33" t="str">
        <f t="shared" si="39"/>
        <v>55</v>
      </c>
      <c r="N1233" s="34" t="str">
        <f>VLOOKUP(Table2[[#This Row],[Tulu/kulu liik2]],Table5[[Tulu/kulu liik]:[Kontode koondnimetus]],4,FALSE)</f>
        <v>Muud tegevuskulud</v>
      </c>
      <c r="O1233" s="34" t="str">
        <f>VLOOKUP(Table2[[#This Row],[Tulu/kulu liik2]],Table5[],6,FALSE)</f>
        <v>Majandamiskulud</v>
      </c>
      <c r="P1233" s="34" t="str">
        <f>VLOOKUP(Table2[[#This Row],[Tulu/kulu liik2]],Table5[],5,FALSE)</f>
        <v>Põhitegevuse kulu</v>
      </c>
    </row>
    <row r="1234" spans="1:16" hidden="1" x14ac:dyDescent="0.25">
      <c r="A1234" s="33" t="str">
        <f t="shared" si="38"/>
        <v>10</v>
      </c>
      <c r="B1234" s="33" t="s">
        <v>368</v>
      </c>
      <c r="C1234" s="34" t="str">
        <f>VLOOKUP(Table2[[#This Row],[Tegevusala]],Table4[],2,FALSE)</f>
        <v xml:space="preserve"> Muud asutused</v>
      </c>
      <c r="D1234" s="34" t="str">
        <f>VLOOKUP(Table2[[#This Row],[Tegevusala]],Table4[[Tegevusala kood]:[Tegevusala alanimetus]],4,FALSE)</f>
        <v>Laste ja noorte sotsiaalhoolekande asutused</v>
      </c>
      <c r="E1234" s="34" t="str">
        <f>VLOOKUP(Table2[[#This Row],[Tegevusala nimetus2]],Table4[[Tegevusala nimetus]:[Tegevusala koondnimetus]],2,FALSE)</f>
        <v>Sotsiaalne kaitse</v>
      </c>
      <c r="F1234" s="33" t="s">
        <v>444</v>
      </c>
      <c r="G1234" s="33" t="s">
        <v>661</v>
      </c>
      <c r="H1234" s="47">
        <v>1000</v>
      </c>
      <c r="I1234" s="35"/>
      <c r="J1234" s="33">
        <v>5526</v>
      </c>
      <c r="K1234" s="34" t="str">
        <f>VLOOKUP(Table2[[#This Row],[Konto]],Table5[[Konto]:[Konto nimetus]],2,FALSE)</f>
        <v>Sotsiaalteenused</v>
      </c>
      <c r="L1234" s="33">
        <v>55</v>
      </c>
      <c r="M1234" s="33" t="str">
        <f t="shared" si="39"/>
        <v>55</v>
      </c>
      <c r="N1234" s="34" t="str">
        <f>VLOOKUP(Table2[[#This Row],[Tulu/kulu liik2]],Table5[[Tulu/kulu liik]:[Kontode koondnimetus]],4,FALSE)</f>
        <v>Muud tegevuskulud</v>
      </c>
      <c r="O1234" s="34" t="str">
        <f>VLOOKUP(Table2[[#This Row],[Tulu/kulu liik2]],Table5[],6,FALSE)</f>
        <v>Majandamiskulud</v>
      </c>
      <c r="P1234" s="34" t="str">
        <f>VLOOKUP(Table2[[#This Row],[Tulu/kulu liik2]],Table5[],5,FALSE)</f>
        <v>Põhitegevuse kulu</v>
      </c>
    </row>
    <row r="1235" spans="1:16" hidden="1" x14ac:dyDescent="0.25">
      <c r="A1235" s="33" t="str">
        <f t="shared" si="38"/>
        <v>10</v>
      </c>
      <c r="B1235" s="33" t="s">
        <v>368</v>
      </c>
      <c r="C1235" s="34" t="str">
        <f>VLOOKUP(Table2[[#This Row],[Tegevusala]],Table4[],2,FALSE)</f>
        <v xml:space="preserve"> Muud asutused</v>
      </c>
      <c r="D1235" s="34" t="str">
        <f>VLOOKUP(Table2[[#This Row],[Tegevusala]],Table4[[Tegevusala kood]:[Tegevusala alanimetus]],4,FALSE)</f>
        <v>Laste ja noorte sotsiaalhoolekande asutused</v>
      </c>
      <c r="E1235" s="34" t="str">
        <f>VLOOKUP(Table2[[#This Row],[Tegevusala nimetus2]],Table4[[Tegevusala nimetus]:[Tegevusala koondnimetus]],2,FALSE)</f>
        <v>Sotsiaalne kaitse</v>
      </c>
      <c r="F1235" s="33" t="s">
        <v>444</v>
      </c>
      <c r="G1235" s="33" t="s">
        <v>673</v>
      </c>
      <c r="H1235" s="47">
        <v>1000</v>
      </c>
      <c r="I1235" s="35"/>
      <c r="J1235" s="33">
        <v>413899</v>
      </c>
      <c r="K1235" s="34" t="str">
        <f>VLOOKUP(Table2[[#This Row],[Konto]],Table5[[Konto]:[Konto nimetus]],2,FALSE)</f>
        <v>Muud sotsiaalabitoetused ja hüvitised</v>
      </c>
      <c r="L1235" s="33">
        <v>413</v>
      </c>
      <c r="M1235" s="33" t="str">
        <f t="shared" si="39"/>
        <v>41</v>
      </c>
      <c r="N1235" s="34" t="str">
        <f>VLOOKUP(Table2[[#This Row],[Tulu/kulu liik2]],Table5[[Tulu/kulu liik]:[Kontode koondnimetus]],4,FALSE)</f>
        <v>Antavad toetused tegevuskuludeks</v>
      </c>
      <c r="O1235" s="34" t="str">
        <f>VLOOKUP(Table2[[#This Row],[Tulu/kulu liik2]],Table5[],6,FALSE)</f>
        <v>Sotsiaalabitoetused ja muud toetused füüsilistele isikutele</v>
      </c>
      <c r="P1235" s="34" t="str">
        <f>VLOOKUP(Table2[[#This Row],[Tulu/kulu liik2]],Table5[],5,FALSE)</f>
        <v>Põhitegevuse kulu</v>
      </c>
    </row>
    <row r="1236" spans="1:16" hidden="1" x14ac:dyDescent="0.25">
      <c r="A1236" s="8" t="str">
        <f t="shared" si="38"/>
        <v>10</v>
      </c>
      <c r="B1236" s="8" t="s">
        <v>368</v>
      </c>
      <c r="C1236" s="32" t="str">
        <f>VLOOKUP(Table2[[#This Row],[Tegevusala]],Table4[],2,FALSE)</f>
        <v xml:space="preserve"> Muud asutused</v>
      </c>
      <c r="D1236" s="32" t="str">
        <f>VLOOKUP(Table2[[#This Row],[Tegevusala]],Table4[[Tegevusala kood]:[Tegevusala alanimetus]],4,FALSE)</f>
        <v>Laste ja noorte sotsiaalhoolekande asutused</v>
      </c>
      <c r="E1236" s="32" t="str">
        <f>VLOOKUP(Table2[[#This Row],[Tegevusala nimetus2]],Table4[[Tegevusala nimetus]:[Tegevusala koondnimetus]],2,FALSE)</f>
        <v>Sotsiaalne kaitse</v>
      </c>
      <c r="F1236" s="8" t="s">
        <v>444</v>
      </c>
      <c r="G1236" s="8" t="s">
        <v>1656</v>
      </c>
      <c r="H1236" s="43">
        <v>151700</v>
      </c>
      <c r="I1236" s="9" t="s">
        <v>82</v>
      </c>
      <c r="J1236" s="8">
        <v>5526</v>
      </c>
      <c r="K1236" s="32" t="str">
        <f>VLOOKUP(Table2[[#This Row],[Konto]],Table5[[Konto]:[Konto nimetus]],2,FALSE)</f>
        <v>Sotsiaalteenused</v>
      </c>
      <c r="L1236" s="8">
        <v>55</v>
      </c>
      <c r="M1236" s="8" t="str">
        <f t="shared" si="39"/>
        <v>55</v>
      </c>
      <c r="N1236" s="32" t="str">
        <f>VLOOKUP(Table2[[#This Row],[Tulu/kulu liik2]],Table5[[Tulu/kulu liik]:[Kontode koondnimetus]],4,FALSE)</f>
        <v>Muud tegevuskulud</v>
      </c>
      <c r="O1236" s="32" t="str">
        <f>VLOOKUP(Table2[[#This Row],[Tulu/kulu liik2]],Table5[],6,FALSE)</f>
        <v>Majandamiskulud</v>
      </c>
      <c r="P1236" s="32" t="str">
        <f>VLOOKUP(Table2[[#This Row],[Tulu/kulu liik2]],Table5[],5,FALSE)</f>
        <v>Põhitegevuse kulu</v>
      </c>
    </row>
    <row r="1237" spans="1:16" hidden="1" x14ac:dyDescent="0.25">
      <c r="A1237" s="8" t="str">
        <f t="shared" si="38"/>
        <v>10</v>
      </c>
      <c r="B1237" s="8" t="s">
        <v>368</v>
      </c>
      <c r="C1237" s="32" t="str">
        <f>VLOOKUP(Table2[[#This Row],[Tegevusala]],Table4[],2,FALSE)</f>
        <v xml:space="preserve"> Muud asutused</v>
      </c>
      <c r="D1237" s="32" t="str">
        <f>VLOOKUP(Table2[[#This Row],[Tegevusala]],Table4[[Tegevusala kood]:[Tegevusala alanimetus]],4,FALSE)</f>
        <v>Laste ja noorte sotsiaalhoolekande asutused</v>
      </c>
      <c r="E1237" s="32" t="str">
        <f>VLOOKUP(Table2[[#This Row],[Tegevusala nimetus2]],Table4[[Tegevusala nimetus]:[Tegevusala koondnimetus]],2,FALSE)</f>
        <v>Sotsiaalne kaitse</v>
      </c>
      <c r="F1237" s="8" t="s">
        <v>444</v>
      </c>
      <c r="G1237" s="8" t="s">
        <v>82</v>
      </c>
      <c r="H1237" s="43">
        <v>-151700</v>
      </c>
      <c r="I1237" s="8" t="s">
        <v>1656</v>
      </c>
      <c r="J1237" s="8">
        <v>35201</v>
      </c>
      <c r="K1237" s="32" t="str">
        <f>VLOOKUP(Table2[[#This Row],[Konto]],Table5[[Konto]:[Konto nimetus]],2,FALSE)</f>
        <v>Toetusfond</v>
      </c>
      <c r="L1237" s="8">
        <v>35201</v>
      </c>
      <c r="M1237" s="8" t="str">
        <f t="shared" si="39"/>
        <v>35</v>
      </c>
      <c r="N1237" s="32" t="str">
        <f>VLOOKUP(Table2[[#This Row],[Tulu/kulu liik2]],Table5[[Tulu/kulu liik]:[Kontode koondnimetus]],4,FALSE)</f>
        <v>Saadavad toetused tegevuskuludeks</v>
      </c>
      <c r="O1237" s="32" t="str">
        <f>VLOOKUP(Table2[[#This Row],[Tulu/kulu liik2]],Table5[],6,FALSE)</f>
        <v>Toetusfond</v>
      </c>
      <c r="P1237" s="32" t="str">
        <f>VLOOKUP(Table2[[#This Row],[Tulu/kulu liik2]],Table5[],5,FALSE)</f>
        <v>Põhitegevuse tulu</v>
      </c>
    </row>
    <row r="1238" spans="1:16" hidden="1" x14ac:dyDescent="0.25">
      <c r="A1238" s="33" t="str">
        <f t="shared" si="38"/>
        <v>10</v>
      </c>
      <c r="B1238" s="33" t="s">
        <v>369</v>
      </c>
      <c r="C1238" s="34" t="str">
        <f>VLOOKUP(Table2[[#This Row],[Tegevusala]],Table4[],2,FALSE)</f>
        <v xml:space="preserve"> Matusetoetus</v>
      </c>
      <c r="D1238" s="34" t="str">
        <f>VLOOKUP(Table2[[#This Row],[Tegevusala]],Table4[[Tegevusala kood]:[Tegevusala alanimetus]],4,FALSE)</f>
        <v>Muu perekondade ja laste sotsiaalne kaitse</v>
      </c>
      <c r="E1238" s="34" t="str">
        <f>VLOOKUP(Table2[[#This Row],[Tegevusala nimetus2]],Table4[[Tegevusala nimetus]:[Tegevusala koondnimetus]],2,FALSE)</f>
        <v>Sotsiaalne kaitse</v>
      </c>
      <c r="F1238" s="33" t="s">
        <v>444</v>
      </c>
      <c r="G1238" s="33" t="s">
        <v>674</v>
      </c>
      <c r="H1238" s="47">
        <v>26000</v>
      </c>
      <c r="I1238" s="35" t="s">
        <v>675</v>
      </c>
      <c r="J1238" s="33">
        <v>41389</v>
      </c>
      <c r="K1238" s="34" t="str">
        <f>VLOOKUP(Table2[[#This Row],[Konto]],Table5[[Konto]:[Konto nimetus]],2,FALSE)</f>
        <v>Matusetoetus</v>
      </c>
      <c r="L1238" s="33">
        <v>413</v>
      </c>
      <c r="M1238" s="33" t="str">
        <f t="shared" si="39"/>
        <v>41</v>
      </c>
      <c r="N1238" s="34" t="str">
        <f>VLOOKUP(Table2[[#This Row],[Tulu/kulu liik2]],Table5[[Tulu/kulu liik]:[Kontode koondnimetus]],4,FALSE)</f>
        <v>Antavad toetused tegevuskuludeks</v>
      </c>
      <c r="O1238" s="34" t="str">
        <f>VLOOKUP(Table2[[#This Row],[Tulu/kulu liik2]],Table5[],6,FALSE)</f>
        <v>Sotsiaalabitoetused ja muud toetused füüsilistele isikutele</v>
      </c>
      <c r="P1238" s="34" t="str">
        <f>VLOOKUP(Table2[[#This Row],[Tulu/kulu liik2]],Table5[],5,FALSE)</f>
        <v>Põhitegevuse kulu</v>
      </c>
    </row>
    <row r="1239" spans="1:16" hidden="1" x14ac:dyDescent="0.25">
      <c r="A1239" s="8" t="str">
        <f t="shared" si="38"/>
        <v>10</v>
      </c>
      <c r="B1239" s="8" t="s">
        <v>369</v>
      </c>
      <c r="C1239" s="32" t="str">
        <f>VLOOKUP(Table2[[#This Row],[Tegevusala]],Table4[],2,FALSE)</f>
        <v xml:space="preserve"> Matusetoetus</v>
      </c>
      <c r="D1239" s="32" t="str">
        <f>VLOOKUP(Table2[[#This Row],[Tegevusala]],Table4[[Tegevusala kood]:[Tegevusala alanimetus]],4,FALSE)</f>
        <v>Muu perekondade ja laste sotsiaalne kaitse</v>
      </c>
      <c r="E1239" s="32" t="str">
        <f>VLOOKUP(Table2[[#This Row],[Tegevusala nimetus2]],Table4[[Tegevusala nimetus]:[Tegevusala koondnimetus]],2,FALSE)</f>
        <v>Sotsiaalne kaitse</v>
      </c>
      <c r="F1239" s="8" t="s">
        <v>444</v>
      </c>
      <c r="G1239" s="8" t="s">
        <v>674</v>
      </c>
      <c r="H1239" s="43">
        <v>22403</v>
      </c>
      <c r="I1239" s="9" t="s">
        <v>82</v>
      </c>
      <c r="J1239" s="8">
        <v>41389</v>
      </c>
      <c r="K1239" s="32" t="str">
        <f>VLOOKUP(Table2[[#This Row],[Konto]],Table5[[Konto]:[Konto nimetus]],2,FALSE)</f>
        <v>Matusetoetus</v>
      </c>
      <c r="L1239" s="8">
        <v>413</v>
      </c>
      <c r="M1239" s="8" t="str">
        <f t="shared" si="39"/>
        <v>41</v>
      </c>
      <c r="N1239" s="32" t="str">
        <f>VLOOKUP(Table2[[#This Row],[Tulu/kulu liik2]],Table5[[Tulu/kulu liik]:[Kontode koondnimetus]],4,FALSE)</f>
        <v>Antavad toetused tegevuskuludeks</v>
      </c>
      <c r="O1239" s="32" t="str">
        <f>VLOOKUP(Table2[[#This Row],[Tulu/kulu liik2]],Table5[],6,FALSE)</f>
        <v>Sotsiaalabitoetused ja muud toetused füüsilistele isikutele</v>
      </c>
      <c r="P1239" s="32" t="str">
        <f>VLOOKUP(Table2[[#This Row],[Tulu/kulu liik2]],Table5[],5,FALSE)</f>
        <v>Põhitegevuse kulu</v>
      </c>
    </row>
    <row r="1240" spans="1:16" hidden="1" x14ac:dyDescent="0.25">
      <c r="A1240" s="8" t="str">
        <f t="shared" si="38"/>
        <v>10</v>
      </c>
      <c r="B1240" s="8" t="s">
        <v>369</v>
      </c>
      <c r="C1240" s="32" t="str">
        <f>VLOOKUP(Table2[[#This Row],[Tegevusala]],Table4[],2,FALSE)</f>
        <v xml:space="preserve"> Matusetoetus</v>
      </c>
      <c r="D1240" s="32" t="str">
        <f>VLOOKUP(Table2[[#This Row],[Tegevusala]],Table4[[Tegevusala kood]:[Tegevusala alanimetus]],4,FALSE)</f>
        <v>Muu perekondade ja laste sotsiaalne kaitse</v>
      </c>
      <c r="E1240" s="32" t="str">
        <f>VLOOKUP(Table2[[#This Row],[Tegevusala nimetus2]],Table4[[Tegevusala nimetus]:[Tegevusala koondnimetus]],2,FALSE)</f>
        <v>Sotsiaalne kaitse</v>
      </c>
      <c r="F1240" s="8" t="s">
        <v>444</v>
      </c>
      <c r="G1240" s="8" t="s">
        <v>82</v>
      </c>
      <c r="H1240" s="43">
        <v>-22403</v>
      </c>
      <c r="I1240" s="9" t="s">
        <v>676</v>
      </c>
      <c r="J1240" s="8">
        <v>35201</v>
      </c>
      <c r="K1240" s="32" t="str">
        <f>VLOOKUP(Table2[[#This Row],[Konto]],Table5[[Konto]:[Konto nimetus]],2,FALSE)</f>
        <v>Toetusfond</v>
      </c>
      <c r="L1240" s="8">
        <v>35201</v>
      </c>
      <c r="M1240" s="8" t="str">
        <f t="shared" si="39"/>
        <v>35</v>
      </c>
      <c r="N1240" s="32" t="str">
        <f>VLOOKUP(Table2[[#This Row],[Tulu/kulu liik2]],Table5[[Tulu/kulu liik]:[Kontode koondnimetus]],4,FALSE)</f>
        <v>Saadavad toetused tegevuskuludeks</v>
      </c>
      <c r="O1240" s="32" t="str">
        <f>VLOOKUP(Table2[[#This Row],[Tulu/kulu liik2]],Table5[],6,FALSE)</f>
        <v>Toetusfond</v>
      </c>
      <c r="P1240" s="32" t="str">
        <f>VLOOKUP(Table2[[#This Row],[Tulu/kulu liik2]],Table5[],5,FALSE)</f>
        <v>Põhitegevuse tulu</v>
      </c>
    </row>
    <row r="1241" spans="1:16" hidden="1" x14ac:dyDescent="0.25">
      <c r="A1241" t="str">
        <f t="shared" si="38"/>
        <v>10</v>
      </c>
      <c r="B1241" t="s">
        <v>371</v>
      </c>
      <c r="C1241" s="3" t="str">
        <f>VLOOKUP(Table2[[#This Row],[Tegevusala]],Table4[],2,FALSE)</f>
        <v xml:space="preserve"> Ühekordsed toetused</v>
      </c>
      <c r="D1241" s="3" t="str">
        <f>VLOOKUP(Table2[[#This Row],[Tegevusala]],Table4[[Tegevusala kood]:[Tegevusala alanimetus]],4,FALSE)</f>
        <v>Muu perekondade ja laste sotsiaalne kaitse</v>
      </c>
      <c r="E1241" s="3" t="str">
        <f>VLOOKUP(Table2[[#This Row],[Tegevusala nimetus2]],Table4[[Tegevusala nimetus]:[Tegevusala koondnimetus]],2,FALSE)</f>
        <v>Sotsiaalne kaitse</v>
      </c>
      <c r="F1241" t="s">
        <v>444</v>
      </c>
      <c r="G1241" t="s">
        <v>648</v>
      </c>
      <c r="H1241" s="40">
        <v>9100</v>
      </c>
      <c r="J1241">
        <v>41309</v>
      </c>
      <c r="K1241" s="3" t="str">
        <f>VLOOKUP(Table2[[#This Row],[Konto]],Table5[[Konto]:[Konto nimetus]],2,FALSE)</f>
        <v>Muud peretoetused</v>
      </c>
      <c r="L1241">
        <v>413</v>
      </c>
      <c r="M1241" t="str">
        <f t="shared" si="39"/>
        <v>41</v>
      </c>
      <c r="N1241" s="3" t="str">
        <f>VLOOKUP(Table2[[#This Row],[Tulu/kulu liik2]],Table5[[Tulu/kulu liik]:[Kontode koondnimetus]],4,FALSE)</f>
        <v>Antavad toetused tegevuskuludeks</v>
      </c>
      <c r="O1241" s="3" t="str">
        <f>VLOOKUP(Table2[[#This Row],[Tulu/kulu liik2]],Table5[],6,FALSE)</f>
        <v>Sotsiaalabitoetused ja muud toetused füüsilistele isikutele</v>
      </c>
      <c r="P1241" s="3" t="str">
        <f>VLOOKUP(Table2[[#This Row],[Tulu/kulu liik2]],Table5[],5,FALSE)</f>
        <v>Põhitegevuse kulu</v>
      </c>
    </row>
    <row r="1242" spans="1:16" hidden="1" x14ac:dyDescent="0.25">
      <c r="A1242" t="str">
        <f t="shared" si="38"/>
        <v>10</v>
      </c>
      <c r="B1242" t="s">
        <v>371</v>
      </c>
      <c r="C1242" s="3" t="str">
        <f>VLOOKUP(Table2[[#This Row],[Tegevusala]],Table4[],2,FALSE)</f>
        <v xml:space="preserve"> Ühekordsed toetused</v>
      </c>
      <c r="D1242" s="3" t="str">
        <f>VLOOKUP(Table2[[#This Row],[Tegevusala]],Table4[[Tegevusala kood]:[Tegevusala alanimetus]],4,FALSE)</f>
        <v>Muu perekondade ja laste sotsiaalne kaitse</v>
      </c>
      <c r="E1242" s="3" t="str">
        <f>VLOOKUP(Table2[[#This Row],[Tegevusala nimetus2]],Table4[[Tegevusala nimetus]:[Tegevusala koondnimetus]],2,FALSE)</f>
        <v>Sotsiaalne kaitse</v>
      </c>
      <c r="F1242" t="s">
        <v>444</v>
      </c>
      <c r="G1242" t="s">
        <v>651</v>
      </c>
      <c r="H1242" s="40">
        <v>21000</v>
      </c>
      <c r="J1242">
        <v>41309</v>
      </c>
      <c r="K1242" s="3" t="str">
        <f>VLOOKUP(Table2[[#This Row],[Konto]],Table5[[Konto]:[Konto nimetus]],2,FALSE)</f>
        <v>Muud peretoetused</v>
      </c>
      <c r="L1242">
        <v>413</v>
      </c>
      <c r="M1242" t="str">
        <f t="shared" si="39"/>
        <v>41</v>
      </c>
      <c r="N1242" s="3" t="str">
        <f>VLOOKUP(Table2[[#This Row],[Tulu/kulu liik2]],Table5[[Tulu/kulu liik]:[Kontode koondnimetus]],4,FALSE)</f>
        <v>Antavad toetused tegevuskuludeks</v>
      </c>
      <c r="O1242" s="3" t="str">
        <f>VLOOKUP(Table2[[#This Row],[Tulu/kulu liik2]],Table5[],6,FALSE)</f>
        <v>Sotsiaalabitoetused ja muud toetused füüsilistele isikutele</v>
      </c>
      <c r="P1242" s="3" t="str">
        <f>VLOOKUP(Table2[[#This Row],[Tulu/kulu liik2]],Table5[],5,FALSE)</f>
        <v>Põhitegevuse kulu</v>
      </c>
    </row>
    <row r="1243" spans="1:16" hidden="1" x14ac:dyDescent="0.25">
      <c r="A1243" s="33" t="str">
        <f t="shared" si="38"/>
        <v>10</v>
      </c>
      <c r="B1243" s="33" t="s">
        <v>371</v>
      </c>
      <c r="C1243" s="34" t="str">
        <f>VLOOKUP(Table2[[#This Row],[Tegevusala]],Table4[],2,FALSE)</f>
        <v xml:space="preserve"> Ühekordsed toetused</v>
      </c>
      <c r="D1243" s="34" t="str">
        <f>VLOOKUP(Table2[[#This Row],[Tegevusala]],Table4[[Tegevusala kood]:[Tegevusala alanimetus]],4,FALSE)</f>
        <v>Muu perekondade ja laste sotsiaalne kaitse</v>
      </c>
      <c r="E1243" s="34" t="str">
        <f>VLOOKUP(Table2[[#This Row],[Tegevusala nimetus2]],Table4[[Tegevusala nimetus]:[Tegevusala koondnimetus]],2,FALSE)</f>
        <v>Sotsiaalne kaitse</v>
      </c>
      <c r="F1243" s="33" t="s">
        <v>444</v>
      </c>
      <c r="G1243" s="33" t="s">
        <v>658</v>
      </c>
      <c r="H1243" s="47">
        <v>3000</v>
      </c>
      <c r="I1243" s="35"/>
      <c r="J1243" s="33">
        <v>41309</v>
      </c>
      <c r="K1243" s="34" t="str">
        <f>VLOOKUP(Table2[[#This Row],[Konto]],Table5[[Konto]:[Konto nimetus]],2,FALSE)</f>
        <v>Muud peretoetused</v>
      </c>
      <c r="L1243" s="33">
        <v>413</v>
      </c>
      <c r="M1243" s="33" t="str">
        <f t="shared" si="39"/>
        <v>41</v>
      </c>
      <c r="N1243" s="34" t="str">
        <f>VLOOKUP(Table2[[#This Row],[Tulu/kulu liik2]],Table5[[Tulu/kulu liik]:[Kontode koondnimetus]],4,FALSE)</f>
        <v>Antavad toetused tegevuskuludeks</v>
      </c>
      <c r="O1243" s="34" t="str">
        <f>VLOOKUP(Table2[[#This Row],[Tulu/kulu liik2]],Table5[],6,FALSE)</f>
        <v>Sotsiaalabitoetused ja muud toetused füüsilistele isikutele</v>
      </c>
      <c r="P1243" s="34" t="str">
        <f>VLOOKUP(Table2[[#This Row],[Tulu/kulu liik2]],Table5[],5,FALSE)</f>
        <v>Põhitegevuse kulu</v>
      </c>
    </row>
    <row r="1244" spans="1:16" hidden="1" x14ac:dyDescent="0.25">
      <c r="A1244" s="33" t="str">
        <f t="shared" si="38"/>
        <v>10</v>
      </c>
      <c r="B1244" s="33" t="s">
        <v>371</v>
      </c>
      <c r="C1244" s="34" t="str">
        <f>VLOOKUP(Table2[[#This Row],[Tegevusala]],Table4[],2,FALSE)</f>
        <v xml:space="preserve"> Ühekordsed toetused</v>
      </c>
      <c r="D1244" s="34" t="str">
        <f>VLOOKUP(Table2[[#This Row],[Tegevusala]],Table4[[Tegevusala kood]:[Tegevusala alanimetus]],4,FALSE)</f>
        <v>Muu perekondade ja laste sotsiaalne kaitse</v>
      </c>
      <c r="E1244" s="34" t="str">
        <f>VLOOKUP(Table2[[#This Row],[Tegevusala nimetus2]],Table4[[Tegevusala nimetus]:[Tegevusala koondnimetus]],2,FALSE)</f>
        <v>Sotsiaalne kaitse</v>
      </c>
      <c r="F1244" s="33" t="s">
        <v>444</v>
      </c>
      <c r="G1244" s="33" t="s">
        <v>2087</v>
      </c>
      <c r="H1244" s="47">
        <v>15000</v>
      </c>
      <c r="I1244" s="35"/>
      <c r="J1244" s="33">
        <v>41309</v>
      </c>
      <c r="K1244" s="34" t="str">
        <f>VLOOKUP(Table2[[#This Row],[Konto]],Table5[[Konto]:[Konto nimetus]],2,FALSE)</f>
        <v>Muud peretoetused</v>
      </c>
      <c r="L1244" s="33">
        <v>413</v>
      </c>
      <c r="M1244" s="33" t="str">
        <f t="shared" si="39"/>
        <v>41</v>
      </c>
      <c r="N1244" s="34" t="str">
        <f>VLOOKUP(Table2[[#This Row],[Tulu/kulu liik2]],Table5[[Tulu/kulu liik]:[Kontode koondnimetus]],4,FALSE)</f>
        <v>Antavad toetused tegevuskuludeks</v>
      </c>
      <c r="O1244" s="34" t="str">
        <f>VLOOKUP(Table2[[#This Row],[Tulu/kulu liik2]],Table5[],6,FALSE)</f>
        <v>Sotsiaalabitoetused ja muud toetused füüsilistele isikutele</v>
      </c>
      <c r="P1244" s="34" t="str">
        <f>VLOOKUP(Table2[[#This Row],[Tulu/kulu liik2]],Table5[],5,FALSE)</f>
        <v>Põhitegevuse kulu</v>
      </c>
    </row>
    <row r="1245" spans="1:16" hidden="1" x14ac:dyDescent="0.25">
      <c r="A1245" s="33" t="str">
        <f t="shared" si="38"/>
        <v>10</v>
      </c>
      <c r="B1245" s="33" t="s">
        <v>373</v>
      </c>
      <c r="C1245" s="34" t="str">
        <f>VLOOKUP(Table2[[#This Row],[Tegevusala]],Table4[],2,FALSE)</f>
        <v xml:space="preserve"> Ravitoetused perekondadele, lastele</v>
      </c>
      <c r="D1245" s="34" t="str">
        <f>VLOOKUP(Table2[[#This Row],[Tegevusala]],Table4[[Tegevusala kood]:[Tegevusala alanimetus]],4,FALSE)</f>
        <v>Muu perekondade ja laste sotsiaalne kaitse</v>
      </c>
      <c r="E1245" s="34" t="str">
        <f>VLOOKUP(Table2[[#This Row],[Tegevusala nimetus2]],Table4[[Tegevusala nimetus]:[Tegevusala koondnimetus]],2,FALSE)</f>
        <v>Sotsiaalne kaitse</v>
      </c>
      <c r="F1245" s="33" t="s">
        <v>444</v>
      </c>
      <c r="G1245" s="33" t="s">
        <v>657</v>
      </c>
      <c r="H1245" s="47">
        <v>2500</v>
      </c>
      <c r="I1245" s="35"/>
      <c r="J1245" s="33">
        <v>41309</v>
      </c>
      <c r="K1245" s="34" t="str">
        <f>VLOOKUP(Table2[[#This Row],[Konto]],Table5[[Konto]:[Konto nimetus]],2,FALSE)</f>
        <v>Muud peretoetused</v>
      </c>
      <c r="L1245" s="33">
        <v>413</v>
      </c>
      <c r="M1245" s="33" t="str">
        <f t="shared" si="39"/>
        <v>41</v>
      </c>
      <c r="N1245" s="34" t="str">
        <f>VLOOKUP(Table2[[#This Row],[Tulu/kulu liik2]],Table5[[Tulu/kulu liik]:[Kontode koondnimetus]],4,FALSE)</f>
        <v>Antavad toetused tegevuskuludeks</v>
      </c>
      <c r="O1245" s="34" t="str">
        <f>VLOOKUP(Table2[[#This Row],[Tulu/kulu liik2]],Table5[],6,FALSE)</f>
        <v>Sotsiaalabitoetused ja muud toetused füüsilistele isikutele</v>
      </c>
      <c r="P1245" s="34" t="str">
        <f>VLOOKUP(Table2[[#This Row],[Tulu/kulu liik2]],Table5[],5,FALSE)</f>
        <v>Põhitegevuse kulu</v>
      </c>
    </row>
    <row r="1246" spans="1:16" hidden="1" x14ac:dyDescent="0.25">
      <c r="A1246" t="str">
        <f t="shared" si="38"/>
        <v>10</v>
      </c>
      <c r="B1246" t="s">
        <v>374</v>
      </c>
      <c r="C1246" s="3" t="str">
        <f>VLOOKUP(Table2[[#This Row],[Tegevusala]],Table4[],2,FALSE)</f>
        <v xml:space="preserve"> Sünnitoetused</v>
      </c>
      <c r="D1246" s="3" t="str">
        <f>VLOOKUP(Table2[[#This Row],[Tegevusala]],Table4[[Tegevusala kood]:[Tegevusala alanimetus]],4,FALSE)</f>
        <v>Muu perekondade ja laste sotsiaalne kaitse</v>
      </c>
      <c r="E1246" s="3" t="str">
        <f>VLOOKUP(Table2[[#This Row],[Tegevusala nimetus2]],Table4[[Tegevusala nimetus]:[Tegevusala koondnimetus]],2,FALSE)</f>
        <v>Sotsiaalne kaitse</v>
      </c>
      <c r="F1246" t="s">
        <v>444</v>
      </c>
      <c r="G1246" t="s">
        <v>649</v>
      </c>
      <c r="H1246" s="40">
        <v>40000</v>
      </c>
      <c r="J1246">
        <v>41300</v>
      </c>
      <c r="K1246" s="3" t="str">
        <f>VLOOKUP(Table2[[#This Row],[Konto]],Table5[[Konto]:[Konto nimetus]],2,FALSE)</f>
        <v>Sünnitoetus</v>
      </c>
      <c r="L1246">
        <v>413</v>
      </c>
      <c r="M1246" t="str">
        <f t="shared" si="39"/>
        <v>41</v>
      </c>
      <c r="N1246" s="3" t="str">
        <f>VLOOKUP(Table2[[#This Row],[Tulu/kulu liik2]],Table5[[Tulu/kulu liik]:[Kontode koondnimetus]],4,FALSE)</f>
        <v>Antavad toetused tegevuskuludeks</v>
      </c>
      <c r="O1246" s="3" t="str">
        <f>VLOOKUP(Table2[[#This Row],[Tulu/kulu liik2]],Table5[],6,FALSE)</f>
        <v>Sotsiaalabitoetused ja muud toetused füüsilistele isikutele</v>
      </c>
      <c r="P1246" s="3" t="str">
        <f>VLOOKUP(Table2[[#This Row],[Tulu/kulu liik2]],Table5[],5,FALSE)</f>
        <v>Põhitegevuse kulu</v>
      </c>
    </row>
    <row r="1247" spans="1:16" hidden="1" x14ac:dyDescent="0.25">
      <c r="A1247" t="str">
        <f t="shared" si="38"/>
        <v>10</v>
      </c>
      <c r="B1247" t="s">
        <v>374</v>
      </c>
      <c r="C1247" s="3" t="str">
        <f>VLOOKUP(Table2[[#This Row],[Tegevusala]],Table4[],2,FALSE)</f>
        <v xml:space="preserve"> Sünnitoetused</v>
      </c>
      <c r="D1247" s="3" t="str">
        <f>VLOOKUP(Table2[[#This Row],[Tegevusala]],Table4[[Tegevusala kood]:[Tegevusala alanimetus]],4,FALSE)</f>
        <v>Muu perekondade ja laste sotsiaalne kaitse</v>
      </c>
      <c r="E1247" s="3" t="str">
        <f>VLOOKUP(Table2[[#This Row],[Tegevusala nimetus2]],Table4[[Tegevusala nimetus]:[Tegevusala koondnimetus]],2,FALSE)</f>
        <v>Sotsiaalne kaitse</v>
      </c>
      <c r="F1247" t="s">
        <v>444</v>
      </c>
      <c r="G1247" t="s">
        <v>664</v>
      </c>
      <c r="H1247" s="40">
        <v>5600</v>
      </c>
      <c r="J1247">
        <v>41309</v>
      </c>
      <c r="K1247" s="3" t="str">
        <f>VLOOKUP(Table2[[#This Row],[Konto]],Table5[[Konto]:[Konto nimetus]],2,FALSE)</f>
        <v>Muud peretoetused</v>
      </c>
      <c r="L1247">
        <v>413</v>
      </c>
      <c r="M1247" t="str">
        <f t="shared" si="39"/>
        <v>41</v>
      </c>
      <c r="N1247" s="3" t="str">
        <f>VLOOKUP(Table2[[#This Row],[Tulu/kulu liik2]],Table5[[Tulu/kulu liik]:[Kontode koondnimetus]],4,FALSE)</f>
        <v>Antavad toetused tegevuskuludeks</v>
      </c>
      <c r="O1247" s="3" t="str">
        <f>VLOOKUP(Table2[[#This Row],[Tulu/kulu liik2]],Table5[],6,FALSE)</f>
        <v>Sotsiaalabitoetused ja muud toetused füüsilistele isikutele</v>
      </c>
      <c r="P1247" s="3" t="str">
        <f>VLOOKUP(Table2[[#This Row],[Tulu/kulu liik2]],Table5[],5,FALSE)</f>
        <v>Põhitegevuse kulu</v>
      </c>
    </row>
    <row r="1248" spans="1:16" hidden="1" x14ac:dyDescent="0.25">
      <c r="A1248" t="str">
        <f t="shared" si="38"/>
        <v>10</v>
      </c>
      <c r="B1248" t="s">
        <v>375</v>
      </c>
      <c r="C1248" s="3" t="str">
        <f>VLOOKUP(Table2[[#This Row],[Tegevusala]],Table4[],2,FALSE)</f>
        <v xml:space="preserve"> Tugiisikud (perekondade ja laste)</v>
      </c>
      <c r="D1248" s="3" t="str">
        <f>VLOOKUP(Table2[[#This Row],[Tegevusala]],Table4[[Tegevusala kood]:[Tegevusala alanimetus]],4,FALSE)</f>
        <v>Muu perekondade ja laste sotsiaalne kaitse</v>
      </c>
      <c r="E1248" s="3" t="str">
        <f>VLOOKUP(Table2[[#This Row],[Tegevusala nimetus2]],Table4[[Tegevusala nimetus]:[Tegevusala koondnimetus]],2,FALSE)</f>
        <v>Sotsiaalne kaitse</v>
      </c>
      <c r="F1248" t="s">
        <v>444</v>
      </c>
      <c r="G1248" t="s">
        <v>650</v>
      </c>
      <c r="H1248" s="40">
        <v>11200</v>
      </c>
      <c r="J1248">
        <v>41309</v>
      </c>
      <c r="K1248" s="3" t="str">
        <f>VLOOKUP(Table2[[#This Row],[Konto]],Table5[[Konto]:[Konto nimetus]],2,FALSE)</f>
        <v>Muud peretoetused</v>
      </c>
      <c r="L1248">
        <v>413</v>
      </c>
      <c r="M1248" t="str">
        <f t="shared" si="39"/>
        <v>41</v>
      </c>
      <c r="N1248" s="3" t="str">
        <f>VLOOKUP(Table2[[#This Row],[Tulu/kulu liik2]],Table5[[Tulu/kulu liik]:[Kontode koondnimetus]],4,FALSE)</f>
        <v>Antavad toetused tegevuskuludeks</v>
      </c>
      <c r="O1248" s="3" t="str">
        <f>VLOOKUP(Table2[[#This Row],[Tulu/kulu liik2]],Table5[],6,FALSE)</f>
        <v>Sotsiaalabitoetused ja muud toetused füüsilistele isikutele</v>
      </c>
      <c r="P1248" s="3" t="str">
        <f>VLOOKUP(Table2[[#This Row],[Tulu/kulu liik2]],Table5[],5,FALSE)</f>
        <v>Põhitegevuse kulu</v>
      </c>
    </row>
    <row r="1249" spans="1:16" hidden="1" x14ac:dyDescent="0.25">
      <c r="A1249" s="33" t="str">
        <f t="shared" si="38"/>
        <v>10</v>
      </c>
      <c r="B1249" s="33" t="s">
        <v>375</v>
      </c>
      <c r="C1249" s="34" t="str">
        <f>VLOOKUP(Table2[[#This Row],[Tegevusala]],Table4[],2,FALSE)</f>
        <v xml:space="preserve"> Tugiisikud (perekondade ja laste)</v>
      </c>
      <c r="D1249" s="34" t="str">
        <f>VLOOKUP(Table2[[#This Row],[Tegevusala]],Table4[[Tegevusala kood]:[Tegevusala alanimetus]],4,FALSE)</f>
        <v>Muu perekondade ja laste sotsiaalne kaitse</v>
      </c>
      <c r="E1249" s="34" t="str">
        <f>VLOOKUP(Table2[[#This Row],[Tegevusala nimetus2]],Table4[[Tegevusala nimetus]:[Tegevusala koondnimetus]],2,FALSE)</f>
        <v>Sotsiaalne kaitse</v>
      </c>
      <c r="F1249" s="33" t="s">
        <v>444</v>
      </c>
      <c r="G1249" s="33" t="s">
        <v>659</v>
      </c>
      <c r="H1249" s="47">
        <v>2400</v>
      </c>
      <c r="I1249" s="35" t="s">
        <v>667</v>
      </c>
      <c r="J1249" s="33">
        <v>41309</v>
      </c>
      <c r="K1249" s="34" t="str">
        <f>VLOOKUP(Table2[[#This Row],[Konto]],Table5[[Konto]:[Konto nimetus]],2,FALSE)</f>
        <v>Muud peretoetused</v>
      </c>
      <c r="L1249" s="33">
        <v>413</v>
      </c>
      <c r="M1249" s="33" t="str">
        <f t="shared" si="39"/>
        <v>41</v>
      </c>
      <c r="N1249" s="34" t="str">
        <f>VLOOKUP(Table2[[#This Row],[Tulu/kulu liik2]],Table5[[Tulu/kulu liik]:[Kontode koondnimetus]],4,FALSE)</f>
        <v>Antavad toetused tegevuskuludeks</v>
      </c>
      <c r="O1249" s="34" t="str">
        <f>VLOOKUP(Table2[[#This Row],[Tulu/kulu liik2]],Table5[],6,FALSE)</f>
        <v>Sotsiaalabitoetused ja muud toetused füüsilistele isikutele</v>
      </c>
      <c r="P1249" s="34" t="str">
        <f>VLOOKUP(Table2[[#This Row],[Tulu/kulu liik2]],Table5[],5,FALSE)</f>
        <v>Põhitegevuse kulu</v>
      </c>
    </row>
    <row r="1250" spans="1:16" hidden="1" x14ac:dyDescent="0.25">
      <c r="A1250" t="str">
        <f t="shared" si="38"/>
        <v>10</v>
      </c>
      <c r="B1250" t="s">
        <v>376</v>
      </c>
      <c r="C1250" s="3" t="str">
        <f>VLOOKUP(Table2[[#This Row],[Tegevusala]],Table4[],2,FALSE)</f>
        <v xml:space="preserve"> Muud toetused</v>
      </c>
      <c r="D1250" s="3" t="str">
        <f>VLOOKUP(Table2[[#This Row],[Tegevusala]],Table4[[Tegevusala kood]:[Tegevusala alanimetus]],4,FALSE)</f>
        <v>Muu perekondade ja laste sotsiaalne kaitse</v>
      </c>
      <c r="E1250" s="3" t="str">
        <f>VLOOKUP(Table2[[#This Row],[Tegevusala nimetus2]],Table4[[Tegevusala nimetus]:[Tegevusala koondnimetus]],2,FALSE)</f>
        <v>Sotsiaalne kaitse</v>
      </c>
      <c r="F1250" t="s">
        <v>444</v>
      </c>
      <c r="G1250" t="s">
        <v>647</v>
      </c>
      <c r="H1250" s="40">
        <v>1760</v>
      </c>
      <c r="I1250" s="2" t="s">
        <v>665</v>
      </c>
      <c r="J1250">
        <v>41309</v>
      </c>
      <c r="K1250" s="3" t="str">
        <f>VLOOKUP(Table2[[#This Row],[Konto]],Table5[[Konto]:[Konto nimetus]],2,FALSE)</f>
        <v>Muud peretoetused</v>
      </c>
      <c r="L1250">
        <v>413</v>
      </c>
      <c r="M1250" t="str">
        <f t="shared" si="39"/>
        <v>41</v>
      </c>
      <c r="N1250" s="3" t="str">
        <f>VLOOKUP(Table2[[#This Row],[Tulu/kulu liik2]],Table5[[Tulu/kulu liik]:[Kontode koondnimetus]],4,FALSE)</f>
        <v>Antavad toetused tegevuskuludeks</v>
      </c>
      <c r="O1250" s="3" t="str">
        <f>VLOOKUP(Table2[[#This Row],[Tulu/kulu liik2]],Table5[],6,FALSE)</f>
        <v>Sotsiaalabitoetused ja muud toetused füüsilistele isikutele</v>
      </c>
      <c r="P1250" s="3" t="str">
        <f>VLOOKUP(Table2[[#This Row],[Tulu/kulu liik2]],Table5[],5,FALSE)</f>
        <v>Põhitegevuse kulu</v>
      </c>
    </row>
    <row r="1251" spans="1:16" hidden="1" x14ac:dyDescent="0.25">
      <c r="A1251" s="33" t="str">
        <f t="shared" si="38"/>
        <v>10</v>
      </c>
      <c r="B1251" s="33" t="s">
        <v>376</v>
      </c>
      <c r="C1251" s="34" t="str">
        <f>VLOOKUP(Table2[[#This Row],[Tegevusala]],Table4[],2,FALSE)</f>
        <v xml:space="preserve"> Muud toetused</v>
      </c>
      <c r="D1251" s="34" t="str">
        <f>VLOOKUP(Table2[[#This Row],[Tegevusala]],Table4[[Tegevusala kood]:[Tegevusala alanimetus]],4,FALSE)</f>
        <v>Muu perekondade ja laste sotsiaalne kaitse</v>
      </c>
      <c r="E1251" s="34" t="str">
        <f>VLOOKUP(Table2[[#This Row],[Tegevusala nimetus2]],Table4[[Tegevusala nimetus]:[Tegevusala koondnimetus]],2,FALSE)</f>
        <v>Sotsiaalne kaitse</v>
      </c>
      <c r="F1251" s="33" t="s">
        <v>444</v>
      </c>
      <c r="G1251" s="33" t="s">
        <v>652</v>
      </c>
      <c r="H1251" s="47">
        <v>400</v>
      </c>
      <c r="I1251" s="35"/>
      <c r="J1251" s="33">
        <v>41309</v>
      </c>
      <c r="K1251" s="34" t="str">
        <f>VLOOKUP(Table2[[#This Row],[Konto]],Table5[[Konto]:[Konto nimetus]],2,FALSE)</f>
        <v>Muud peretoetused</v>
      </c>
      <c r="L1251" s="33">
        <v>413</v>
      </c>
      <c r="M1251" s="33" t="str">
        <f t="shared" si="39"/>
        <v>41</v>
      </c>
      <c r="N1251" s="34" t="str">
        <f>VLOOKUP(Table2[[#This Row],[Tulu/kulu liik2]],Table5[[Tulu/kulu liik]:[Kontode koondnimetus]],4,FALSE)</f>
        <v>Antavad toetused tegevuskuludeks</v>
      </c>
      <c r="O1251" s="34" t="str">
        <f>VLOOKUP(Table2[[#This Row],[Tulu/kulu liik2]],Table5[],6,FALSE)</f>
        <v>Sotsiaalabitoetused ja muud toetused füüsilistele isikutele</v>
      </c>
      <c r="P1251" s="34" t="str">
        <f>VLOOKUP(Table2[[#This Row],[Tulu/kulu liik2]],Table5[],5,FALSE)</f>
        <v>Põhitegevuse kulu</v>
      </c>
    </row>
    <row r="1252" spans="1:16" hidden="1" x14ac:dyDescent="0.25">
      <c r="A1252" s="33" t="str">
        <f t="shared" si="38"/>
        <v>10</v>
      </c>
      <c r="B1252" s="33" t="s">
        <v>376</v>
      </c>
      <c r="C1252" s="34" t="str">
        <f>VLOOKUP(Table2[[#This Row],[Tegevusala]],Table4[],2,FALSE)</f>
        <v xml:space="preserve"> Muud toetused</v>
      </c>
      <c r="D1252" s="34" t="str">
        <f>VLOOKUP(Table2[[#This Row],[Tegevusala]],Table4[[Tegevusala kood]:[Tegevusala alanimetus]],4,FALSE)</f>
        <v>Muu perekondade ja laste sotsiaalne kaitse</v>
      </c>
      <c r="E1252" s="34" t="str">
        <f>VLOOKUP(Table2[[#This Row],[Tegevusala nimetus2]],Table4[[Tegevusala nimetus]:[Tegevusala koondnimetus]],2,FALSE)</f>
        <v>Sotsiaalne kaitse</v>
      </c>
      <c r="F1252" s="33" t="s">
        <v>444</v>
      </c>
      <c r="G1252" s="33" t="s">
        <v>653</v>
      </c>
      <c r="H1252" s="47">
        <v>2400</v>
      </c>
      <c r="I1252" s="35" t="s">
        <v>666</v>
      </c>
      <c r="J1252" s="33">
        <v>41309</v>
      </c>
      <c r="K1252" s="34" t="str">
        <f>VLOOKUP(Table2[[#This Row],[Konto]],Table5[[Konto]:[Konto nimetus]],2,FALSE)</f>
        <v>Muud peretoetused</v>
      </c>
      <c r="L1252" s="33">
        <v>413</v>
      </c>
      <c r="M1252" s="33" t="str">
        <f t="shared" si="39"/>
        <v>41</v>
      </c>
      <c r="N1252" s="34" t="str">
        <f>VLOOKUP(Table2[[#This Row],[Tulu/kulu liik2]],Table5[[Tulu/kulu liik]:[Kontode koondnimetus]],4,FALSE)</f>
        <v>Antavad toetused tegevuskuludeks</v>
      </c>
      <c r="O1252" s="34" t="str">
        <f>VLOOKUP(Table2[[#This Row],[Tulu/kulu liik2]],Table5[],6,FALSE)</f>
        <v>Sotsiaalabitoetused ja muud toetused füüsilistele isikutele</v>
      </c>
      <c r="P1252" s="34" t="str">
        <f>VLOOKUP(Table2[[#This Row],[Tulu/kulu liik2]],Table5[],5,FALSE)</f>
        <v>Põhitegevuse kulu</v>
      </c>
    </row>
    <row r="1253" spans="1:16" hidden="1" x14ac:dyDescent="0.25">
      <c r="A1253" t="str">
        <f t="shared" si="38"/>
        <v>10</v>
      </c>
      <c r="B1253" t="s">
        <v>376</v>
      </c>
      <c r="C1253" s="3" t="str">
        <f>VLOOKUP(Table2[[#This Row],[Tegevusala]],Table4[],2,FALSE)</f>
        <v xml:space="preserve"> Muud toetused</v>
      </c>
      <c r="D1253" s="3" t="str">
        <f>VLOOKUP(Table2[[#This Row],[Tegevusala]],Table4[[Tegevusala kood]:[Tegevusala alanimetus]],4,FALSE)</f>
        <v>Muu perekondade ja laste sotsiaalne kaitse</v>
      </c>
      <c r="E1253" s="3" t="str">
        <f>VLOOKUP(Table2[[#This Row],[Tegevusala nimetus2]],Table4[[Tegevusala nimetus]:[Tegevusala koondnimetus]],2,FALSE)</f>
        <v>Sotsiaalne kaitse</v>
      </c>
      <c r="F1253" t="s">
        <v>444</v>
      </c>
      <c r="G1253" t="s">
        <v>662</v>
      </c>
      <c r="H1253" s="40">
        <v>2800</v>
      </c>
      <c r="J1253">
        <v>41309</v>
      </c>
      <c r="K1253" s="3" t="str">
        <f>VLOOKUP(Table2[[#This Row],[Konto]],Table5[[Konto]:[Konto nimetus]],2,FALSE)</f>
        <v>Muud peretoetused</v>
      </c>
      <c r="L1253">
        <v>413</v>
      </c>
      <c r="M1253" t="str">
        <f t="shared" si="39"/>
        <v>41</v>
      </c>
      <c r="N1253" s="3" t="str">
        <f>VLOOKUP(Table2[[#This Row],[Tulu/kulu liik2]],Table5[[Tulu/kulu liik]:[Kontode koondnimetus]],4,FALSE)</f>
        <v>Antavad toetused tegevuskuludeks</v>
      </c>
      <c r="O1253" s="3" t="str">
        <f>VLOOKUP(Table2[[#This Row],[Tulu/kulu liik2]],Table5[],6,FALSE)</f>
        <v>Sotsiaalabitoetused ja muud toetused füüsilistele isikutele</v>
      </c>
      <c r="P1253" s="3" t="str">
        <f>VLOOKUP(Table2[[#This Row],[Tulu/kulu liik2]],Table5[],5,FALSE)</f>
        <v>Põhitegevuse kulu</v>
      </c>
    </row>
    <row r="1254" spans="1:16" hidden="1" x14ac:dyDescent="0.25">
      <c r="A1254" t="str">
        <f t="shared" si="38"/>
        <v>10</v>
      </c>
      <c r="B1254" t="s">
        <v>376</v>
      </c>
      <c r="C1254" s="3" t="str">
        <f>VLOOKUP(Table2[[#This Row],[Tegevusala]],Table4[],2,FALSE)</f>
        <v xml:space="preserve"> Muud toetused</v>
      </c>
      <c r="D1254" s="3" t="str">
        <f>VLOOKUP(Table2[[#This Row],[Tegevusala]],Table4[[Tegevusala kood]:[Tegevusala alanimetus]],4,FALSE)</f>
        <v>Muu perekondade ja laste sotsiaalne kaitse</v>
      </c>
      <c r="E1254" s="3" t="str">
        <f>VLOOKUP(Table2[[#This Row],[Tegevusala nimetus2]],Table4[[Tegevusala nimetus]:[Tegevusala koondnimetus]],2,FALSE)</f>
        <v>Sotsiaalne kaitse</v>
      </c>
      <c r="F1254" t="s">
        <v>444</v>
      </c>
      <c r="G1254" t="s">
        <v>663</v>
      </c>
      <c r="H1254" s="40">
        <v>800</v>
      </c>
      <c r="J1254">
        <v>41309</v>
      </c>
      <c r="K1254" s="3" t="str">
        <f>VLOOKUP(Table2[[#This Row],[Konto]],Table5[[Konto]:[Konto nimetus]],2,FALSE)</f>
        <v>Muud peretoetused</v>
      </c>
      <c r="L1254">
        <v>413</v>
      </c>
      <c r="M1254" t="str">
        <f t="shared" si="39"/>
        <v>41</v>
      </c>
      <c r="N1254" s="3" t="str">
        <f>VLOOKUP(Table2[[#This Row],[Tulu/kulu liik2]],Table5[[Tulu/kulu liik]:[Kontode koondnimetus]],4,FALSE)</f>
        <v>Antavad toetused tegevuskuludeks</v>
      </c>
      <c r="O1254" s="3" t="str">
        <f>VLOOKUP(Table2[[#This Row],[Tulu/kulu liik2]],Table5[],6,FALSE)</f>
        <v>Sotsiaalabitoetused ja muud toetused füüsilistele isikutele</v>
      </c>
      <c r="P1254" s="3" t="str">
        <f>VLOOKUP(Table2[[#This Row],[Tulu/kulu liik2]],Table5[],5,FALSE)</f>
        <v>Põhitegevuse kulu</v>
      </c>
    </row>
    <row r="1255" spans="1:16" hidden="1" x14ac:dyDescent="0.25">
      <c r="A1255" s="33" t="str">
        <f t="shared" si="38"/>
        <v>10</v>
      </c>
      <c r="B1255" s="38" t="s">
        <v>376</v>
      </c>
      <c r="C1255" s="34" t="str">
        <f>VLOOKUP(Table2[[#This Row],[Tegevusala]],Table4[],2,FALSE)</f>
        <v xml:space="preserve"> Muud toetused</v>
      </c>
      <c r="D1255" s="34" t="str">
        <f>VLOOKUP(Table2[[#This Row],[Tegevusala]],Table4[[Tegevusala kood]:[Tegevusala alanimetus]],4,FALSE)</f>
        <v>Muu perekondade ja laste sotsiaalne kaitse</v>
      </c>
      <c r="E1255" s="34" t="str">
        <f>VLOOKUP(Table2[[#This Row],[Tegevusala nimetus2]],Table4[[Tegevusala nimetus]:[Tegevusala koondnimetus]],2,FALSE)</f>
        <v>Sotsiaalne kaitse</v>
      </c>
      <c r="F1255" s="33" t="s">
        <v>444</v>
      </c>
      <c r="G1255" s="33" t="s">
        <v>672</v>
      </c>
      <c r="H1255" s="47">
        <v>600</v>
      </c>
      <c r="I1255" s="35"/>
      <c r="J1255" s="33">
        <v>5526</v>
      </c>
      <c r="K1255" s="34" t="str">
        <f>VLOOKUP(Table2[[#This Row],[Konto]],Table5[[Konto]:[Konto nimetus]],2,FALSE)</f>
        <v>Sotsiaalteenused</v>
      </c>
      <c r="L1255" s="33">
        <v>55</v>
      </c>
      <c r="M1255" s="33" t="str">
        <f t="shared" si="39"/>
        <v>55</v>
      </c>
      <c r="N1255" s="34" t="str">
        <f>VLOOKUP(Table2[[#This Row],[Tulu/kulu liik2]],Table5[[Tulu/kulu liik]:[Kontode koondnimetus]],4,FALSE)</f>
        <v>Muud tegevuskulud</v>
      </c>
      <c r="O1255" s="34" t="str">
        <f>VLOOKUP(Table2[[#This Row],[Tulu/kulu liik2]],Table5[],6,FALSE)</f>
        <v>Majandamiskulud</v>
      </c>
      <c r="P1255" s="34" t="str">
        <f>VLOOKUP(Table2[[#This Row],[Tulu/kulu liik2]],Table5[],5,FALSE)</f>
        <v>Põhitegevuse kulu</v>
      </c>
    </row>
    <row r="1256" spans="1:16" hidden="1" x14ac:dyDescent="0.25">
      <c r="A1256" s="33" t="str">
        <f t="shared" si="38"/>
        <v>10</v>
      </c>
      <c r="B1256" s="38" t="s">
        <v>376</v>
      </c>
      <c r="C1256" s="34" t="str">
        <f>VLOOKUP(Table2[[#This Row],[Tegevusala]],Table4[],2,FALSE)</f>
        <v xml:space="preserve"> Muud toetused</v>
      </c>
      <c r="D1256" s="34" t="str">
        <f>VLOOKUP(Table2[[#This Row],[Tegevusala]],Table4[[Tegevusala kood]:[Tegevusala alanimetus]],4,FALSE)</f>
        <v>Muu perekondade ja laste sotsiaalne kaitse</v>
      </c>
      <c r="E1256" s="34" t="str">
        <f>VLOOKUP(Table2[[#This Row],[Tegevusala nimetus2]],Table4[[Tegevusala nimetus]:[Tegevusala koondnimetus]],2,FALSE)</f>
        <v>Sotsiaalne kaitse</v>
      </c>
      <c r="F1256" s="33" t="s">
        <v>444</v>
      </c>
      <c r="G1256" s="33" t="s">
        <v>1647</v>
      </c>
      <c r="H1256" s="47">
        <v>8000</v>
      </c>
      <c r="I1256" s="35"/>
      <c r="J1256" s="33">
        <v>5525</v>
      </c>
      <c r="K1256" s="34" t="str">
        <f>VLOOKUP(Table2[[#This Row],[Konto]],Table5[[Konto]:[Konto nimetus]],2,FALSE)</f>
        <v>Kommunikatsiooni-, kultuuri- ja vaba aja sisustamise kulud</v>
      </c>
      <c r="L1256" s="33">
        <v>55</v>
      </c>
      <c r="M1256" s="33" t="str">
        <f t="shared" si="39"/>
        <v>55</v>
      </c>
      <c r="N1256" s="34" t="str">
        <f>VLOOKUP(Table2[[#This Row],[Tulu/kulu liik2]],Table5[[Tulu/kulu liik]:[Kontode koondnimetus]],4,FALSE)</f>
        <v>Muud tegevuskulud</v>
      </c>
      <c r="O1256" s="34" t="str">
        <f>VLOOKUP(Table2[[#This Row],[Tulu/kulu liik2]],Table5[],6,FALSE)</f>
        <v>Majandamiskulud</v>
      </c>
      <c r="P1256" s="34" t="str">
        <f>VLOOKUP(Table2[[#This Row],[Tulu/kulu liik2]],Table5[],5,FALSE)</f>
        <v>Põhitegevuse kulu</v>
      </c>
    </row>
    <row r="1257" spans="1:16" hidden="1" x14ac:dyDescent="0.25">
      <c r="A1257" s="33" t="str">
        <f t="shared" si="38"/>
        <v>10</v>
      </c>
      <c r="B1257" s="33" t="s">
        <v>376</v>
      </c>
      <c r="C1257" s="34" t="str">
        <f>VLOOKUP(Table2[[#This Row],[Tegevusala]],Table4[],2,FALSE)</f>
        <v xml:space="preserve"> Muud toetused</v>
      </c>
      <c r="D1257" s="34" t="str">
        <f>VLOOKUP(Table2[[#This Row],[Tegevusala]],Table4[[Tegevusala kood]:[Tegevusala alanimetus]],4,FALSE)</f>
        <v>Muu perekondade ja laste sotsiaalne kaitse</v>
      </c>
      <c r="E1257" s="34" t="str">
        <f>VLOOKUP(Table2[[#This Row],[Tegevusala nimetus2]],Table4[[Tegevusala nimetus]:[Tegevusala koondnimetus]],2,FALSE)</f>
        <v>Sotsiaalne kaitse</v>
      </c>
      <c r="F1257" s="33" t="s">
        <v>444</v>
      </c>
      <c r="G1257" s="33" t="s">
        <v>2014</v>
      </c>
      <c r="H1257" s="47">
        <v>600</v>
      </c>
      <c r="I1257" s="35"/>
      <c r="J1257" s="33">
        <v>4500</v>
      </c>
      <c r="K1257" s="34" t="str">
        <f>VLOOKUP(Table2[[#This Row],[Konto]],Table5[[Konto]:[Konto nimetus]],2,FALSE)</f>
        <v>Sihtotstarbelised eraldised jooksvateks kuludeks</v>
      </c>
      <c r="L1257" s="33">
        <v>4500</v>
      </c>
      <c r="M1257" s="33" t="str">
        <f t="shared" si="39"/>
        <v>45</v>
      </c>
      <c r="N1257" s="34" t="str">
        <f>VLOOKUP(Table2[[#This Row],[Tulu/kulu liik2]],Table5[[Tulu/kulu liik]:[Kontode koondnimetus]],4,FALSE)</f>
        <v>Antavad toetused tegevuskuludeks</v>
      </c>
      <c r="O1257" s="34" t="str">
        <f>VLOOKUP(Table2[[#This Row],[Tulu/kulu liik2]],Table5[],6,FALSE)</f>
        <v>Sihtotstarbelised toetused tegevuskuludeks</v>
      </c>
      <c r="P1257" s="34" t="str">
        <f>VLOOKUP(Table2[[#This Row],[Tulu/kulu liik2]],Table5[],5,FALSE)</f>
        <v>Põhitegevuse kulu</v>
      </c>
    </row>
    <row r="1258" spans="1:16" hidden="1" x14ac:dyDescent="0.25">
      <c r="A1258" t="str">
        <f t="shared" si="38"/>
        <v>10</v>
      </c>
      <c r="B1258" t="s">
        <v>376</v>
      </c>
      <c r="C1258" s="3" t="str">
        <f>VLOOKUP(Table2[[#This Row],[Tegevusala]],Table4[],2,FALSE)</f>
        <v xml:space="preserve"> Muud toetused</v>
      </c>
      <c r="D1258" s="3" t="str">
        <f>VLOOKUP(Table2[[#This Row],[Tegevusala]],Table4[[Tegevusala kood]:[Tegevusala alanimetus]],4,FALSE)</f>
        <v>Muu perekondade ja laste sotsiaalne kaitse</v>
      </c>
      <c r="E1258" s="3" t="str">
        <f>VLOOKUP(Table2[[#This Row],[Tegevusala nimetus2]],Table4[[Tegevusala nimetus]:[Tegevusala koondnimetus]],2,FALSE)</f>
        <v>Sotsiaalne kaitse</v>
      </c>
      <c r="F1258" s="33" t="s">
        <v>444</v>
      </c>
      <c r="G1258" t="s">
        <v>2135</v>
      </c>
      <c r="H1258" s="40">
        <v>3000</v>
      </c>
      <c r="J1258">
        <v>41309</v>
      </c>
      <c r="K1258" s="3" t="str">
        <f>VLOOKUP(Table2[[#This Row],[Konto]],Table5[[Konto]:[Konto nimetus]],2,FALSE)</f>
        <v>Muud peretoetused</v>
      </c>
      <c r="L1258">
        <v>413</v>
      </c>
      <c r="M1258" t="str">
        <f t="shared" si="39"/>
        <v>41</v>
      </c>
      <c r="N1258" s="3" t="str">
        <f>VLOOKUP(Table2[[#This Row],[Tulu/kulu liik2]],Table5[[Tulu/kulu liik]:[Kontode koondnimetus]],4,FALSE)</f>
        <v>Antavad toetused tegevuskuludeks</v>
      </c>
      <c r="O1258" s="34" t="str">
        <f>VLOOKUP(Table2[[#This Row],[Tulu/kulu liik2]],Table5[],6,FALSE)</f>
        <v>Sotsiaalabitoetused ja muud toetused füüsilistele isikutele</v>
      </c>
      <c r="P1258" s="3" t="str">
        <f>VLOOKUP(Table2[[#This Row],[Tulu/kulu liik2]],Table5[],5,FALSE)</f>
        <v>Põhitegevuse kulu</v>
      </c>
    </row>
    <row r="1259" spans="1:16" hidden="1" x14ac:dyDescent="0.25">
      <c r="A1259" t="str">
        <f t="shared" si="38"/>
        <v>10</v>
      </c>
      <c r="B1259" t="s">
        <v>57</v>
      </c>
      <c r="C1259" s="3" t="str">
        <f>VLOOKUP(Table2[[#This Row],[Tegevusala]],Table4[],2,FALSE)</f>
        <v xml:space="preserve"> Töötute sotsiaalne kaitse</v>
      </c>
      <c r="D1259" s="3" t="str">
        <f>VLOOKUP(Table2[[#This Row],[Tegevusala]],Table4[[Tegevusala kood]:[Tegevusala alanimetus]],4,FALSE)</f>
        <v>Töötute sotsiaalne kaitse</v>
      </c>
      <c r="E1259" s="3" t="str">
        <f>VLOOKUP(Table2[[#This Row],[Tegevusala nimetus2]],Table4[[Tegevusala nimetus]:[Tegevusala koondnimetus]],2,FALSE)</f>
        <v>Sotsiaalne kaitse</v>
      </c>
      <c r="F1259" t="s">
        <v>444</v>
      </c>
      <c r="G1259" t="s">
        <v>643</v>
      </c>
      <c r="H1259" s="40">
        <v>3000</v>
      </c>
      <c r="J1259">
        <v>41329</v>
      </c>
      <c r="K1259" s="3" t="str">
        <f>VLOOKUP(Table2[[#This Row],[Konto]],Table5[[Konto]:[Konto nimetus]],2,FALSE)</f>
        <v>Muud toetused töötutele</v>
      </c>
      <c r="L1259">
        <v>413</v>
      </c>
      <c r="M1259" t="str">
        <f t="shared" si="39"/>
        <v>41</v>
      </c>
      <c r="N1259" s="3" t="str">
        <f>VLOOKUP(Table2[[#This Row],[Tulu/kulu liik2]],Table5[[Tulu/kulu liik]:[Kontode koondnimetus]],4,FALSE)</f>
        <v>Antavad toetused tegevuskuludeks</v>
      </c>
      <c r="O1259" s="3" t="str">
        <f>VLOOKUP(Table2[[#This Row],[Tulu/kulu liik2]],Table5[],6,FALSE)</f>
        <v>Sotsiaalabitoetused ja muud toetused füüsilistele isikutele</v>
      </c>
      <c r="P1259" s="3" t="str">
        <f>VLOOKUP(Table2[[#This Row],[Tulu/kulu liik2]],Table5[],5,FALSE)</f>
        <v>Põhitegevuse kulu</v>
      </c>
    </row>
    <row r="1260" spans="1:16" hidden="1" x14ac:dyDescent="0.25">
      <c r="A1260" s="33" t="str">
        <f t="shared" si="38"/>
        <v>10</v>
      </c>
      <c r="B1260" s="33" t="s">
        <v>57</v>
      </c>
      <c r="C1260" s="34" t="str">
        <f>VLOOKUP(Table2[[#This Row],[Tegevusala]],Table4[],2,FALSE)</f>
        <v xml:space="preserve"> Töötute sotsiaalne kaitse</v>
      </c>
      <c r="D1260" s="34" t="str">
        <f>VLOOKUP(Table2[[#This Row],[Tegevusala]],Table4[[Tegevusala kood]:[Tegevusala alanimetus]],4,FALSE)</f>
        <v>Töötute sotsiaalne kaitse</v>
      </c>
      <c r="E1260" s="34" t="str">
        <f>VLOOKUP(Table2[[#This Row],[Tegevusala nimetus2]],Table4[[Tegevusala nimetus]:[Tegevusala koondnimetus]],2,FALSE)</f>
        <v>Sotsiaalne kaitse</v>
      </c>
      <c r="F1260" s="33" t="s">
        <v>444</v>
      </c>
      <c r="G1260" s="33" t="s">
        <v>644</v>
      </c>
      <c r="H1260" s="47">
        <v>1200</v>
      </c>
      <c r="I1260" s="35"/>
      <c r="J1260" s="33">
        <v>41329</v>
      </c>
      <c r="K1260" s="34" t="str">
        <f>VLOOKUP(Table2[[#This Row],[Konto]],Table5[[Konto]:[Konto nimetus]],2,FALSE)</f>
        <v>Muud toetused töötutele</v>
      </c>
      <c r="L1260" s="33">
        <v>413</v>
      </c>
      <c r="M1260" s="33" t="str">
        <f t="shared" si="39"/>
        <v>41</v>
      </c>
      <c r="N1260" s="34" t="str">
        <f>VLOOKUP(Table2[[#This Row],[Tulu/kulu liik2]],Table5[[Tulu/kulu liik]:[Kontode koondnimetus]],4,FALSE)</f>
        <v>Antavad toetused tegevuskuludeks</v>
      </c>
      <c r="O1260" s="34" t="str">
        <f>VLOOKUP(Table2[[#This Row],[Tulu/kulu liik2]],Table5[],6,FALSE)</f>
        <v>Sotsiaalabitoetused ja muud toetused füüsilistele isikutele</v>
      </c>
      <c r="P1260" s="34" t="str">
        <f>VLOOKUP(Table2[[#This Row],[Tulu/kulu liik2]],Table5[],5,FALSE)</f>
        <v>Põhitegevuse kulu</v>
      </c>
    </row>
    <row r="1261" spans="1:16" hidden="1" x14ac:dyDescent="0.25">
      <c r="A1261" t="str">
        <f t="shared" si="38"/>
        <v>10</v>
      </c>
      <c r="B1261" t="s">
        <v>57</v>
      </c>
      <c r="C1261" s="3" t="str">
        <f>VLOOKUP(Table2[[#This Row],[Tegevusala]],Table4[],2,FALSE)</f>
        <v xml:space="preserve"> Töötute sotsiaalne kaitse</v>
      </c>
      <c r="D1261" s="3" t="str">
        <f>VLOOKUP(Table2[[#This Row],[Tegevusala]],Table4[[Tegevusala kood]:[Tegevusala alanimetus]],4,FALSE)</f>
        <v>Töötute sotsiaalne kaitse</v>
      </c>
      <c r="E1261" s="3" t="str">
        <f>VLOOKUP(Table2[[#This Row],[Tegevusala nimetus2]],Table4[[Tegevusala nimetus]:[Tegevusala koondnimetus]],2,FALSE)</f>
        <v>Sotsiaalne kaitse</v>
      </c>
      <c r="F1261" t="s">
        <v>444</v>
      </c>
      <c r="G1261" t="s">
        <v>645</v>
      </c>
      <c r="H1261" s="40">
        <v>1200</v>
      </c>
      <c r="J1261">
        <v>41329</v>
      </c>
      <c r="K1261" s="3" t="str">
        <f>VLOOKUP(Table2[[#This Row],[Konto]],Table5[[Konto]:[Konto nimetus]],2,FALSE)</f>
        <v>Muud toetused töötutele</v>
      </c>
      <c r="L1261">
        <v>413</v>
      </c>
      <c r="M1261" t="str">
        <f t="shared" si="39"/>
        <v>41</v>
      </c>
      <c r="N1261" s="3" t="str">
        <f>VLOOKUP(Table2[[#This Row],[Tulu/kulu liik2]],Table5[[Tulu/kulu liik]:[Kontode koondnimetus]],4,FALSE)</f>
        <v>Antavad toetused tegevuskuludeks</v>
      </c>
      <c r="O1261" s="3" t="str">
        <f>VLOOKUP(Table2[[#This Row],[Tulu/kulu liik2]],Table5[],6,FALSE)</f>
        <v>Sotsiaalabitoetused ja muud toetused füüsilistele isikutele</v>
      </c>
      <c r="P1261" s="3" t="str">
        <f>VLOOKUP(Table2[[#This Row],[Tulu/kulu liik2]],Table5[],5,FALSE)</f>
        <v>Põhitegevuse kulu</v>
      </c>
    </row>
    <row r="1262" spans="1:16" hidden="1" x14ac:dyDescent="0.25">
      <c r="A1262" t="str">
        <f t="shared" si="38"/>
        <v>10</v>
      </c>
      <c r="B1262" t="s">
        <v>59</v>
      </c>
      <c r="C1262" s="3" t="str">
        <f>VLOOKUP(Table2[[#This Row],[Tegevusala]],Table4[],2,FALSE)</f>
        <v xml:space="preserve"> Eluasemeteenused sotsiaalsetele riskirühmadele</v>
      </c>
      <c r="D1262" s="3" t="str">
        <f>VLOOKUP(Table2[[#This Row],[Tegevusala]],Table4[[Tegevusala kood]:[Tegevusala alanimetus]],4,FALSE)</f>
        <v>Eluasemeteenused sotsiaalsetele riskirühmadele</v>
      </c>
      <c r="E1262" s="3" t="str">
        <f>VLOOKUP(Table2[[#This Row],[Tegevusala nimetus2]],Table4[[Tegevusala nimetus]:[Tegevusala koondnimetus]],2,FALSE)</f>
        <v>Sotsiaalne kaitse</v>
      </c>
      <c r="F1262" t="s">
        <v>444</v>
      </c>
      <c r="G1262" t="s">
        <v>641</v>
      </c>
      <c r="H1262" s="40">
        <v>16000</v>
      </c>
      <c r="J1262">
        <v>413899</v>
      </c>
      <c r="K1262" s="3" t="str">
        <f>VLOOKUP(Table2[[#This Row],[Konto]],Table5[[Konto]:[Konto nimetus]],2,FALSE)</f>
        <v>Muud sotsiaalabitoetused ja hüvitised</v>
      </c>
      <c r="L1262">
        <v>413</v>
      </c>
      <c r="M1262" t="str">
        <f t="shared" si="39"/>
        <v>41</v>
      </c>
      <c r="N1262" s="3" t="str">
        <f>VLOOKUP(Table2[[#This Row],[Tulu/kulu liik2]],Table5[[Tulu/kulu liik]:[Kontode koondnimetus]],4,FALSE)</f>
        <v>Antavad toetused tegevuskuludeks</v>
      </c>
      <c r="O1262" s="3" t="str">
        <f>VLOOKUP(Table2[[#This Row],[Tulu/kulu liik2]],Table5[],6,FALSE)</f>
        <v>Sotsiaalabitoetused ja muud toetused füüsilistele isikutele</v>
      </c>
      <c r="P1262" s="3" t="str">
        <f>VLOOKUP(Table2[[#This Row],[Tulu/kulu liik2]],Table5[],5,FALSE)</f>
        <v>Põhitegevuse kulu</v>
      </c>
    </row>
    <row r="1263" spans="1:16" hidden="1" x14ac:dyDescent="0.25">
      <c r="A1263" t="str">
        <f t="shared" si="38"/>
        <v>10</v>
      </c>
      <c r="B1263" t="s">
        <v>59</v>
      </c>
      <c r="C1263" s="3" t="str">
        <f>VLOOKUP(Table2[[#This Row],[Tegevusala]],Table4[],2,FALSE)</f>
        <v xml:space="preserve"> Eluasemeteenused sotsiaalsetele riskirühmadele</v>
      </c>
      <c r="D1263" s="3" t="str">
        <f>VLOOKUP(Table2[[#This Row],[Tegevusala]],Table4[[Tegevusala kood]:[Tegevusala alanimetus]],4,FALSE)</f>
        <v>Eluasemeteenused sotsiaalsetele riskirühmadele</v>
      </c>
      <c r="E1263" s="3" t="str">
        <f>VLOOKUP(Table2[[#This Row],[Tegevusala nimetus2]],Table4[[Tegevusala nimetus]:[Tegevusala koondnimetus]],2,FALSE)</f>
        <v>Sotsiaalne kaitse</v>
      </c>
      <c r="F1263" t="s">
        <v>444</v>
      </c>
      <c r="G1263" t="s">
        <v>642</v>
      </c>
      <c r="H1263" s="40">
        <v>18385</v>
      </c>
      <c r="J1263">
        <v>5511</v>
      </c>
      <c r="K1263" s="3" t="str">
        <f>VLOOKUP(Table2[[#This Row],[Konto]],Table5[[Konto]:[Konto nimetus]],2,FALSE)</f>
        <v>Kinnistute, hoonete ja ruumide majandamiskulud</v>
      </c>
      <c r="L1263">
        <v>55</v>
      </c>
      <c r="M1263" t="str">
        <f t="shared" si="39"/>
        <v>55</v>
      </c>
      <c r="N1263" s="3" t="str">
        <f>VLOOKUP(Table2[[#This Row],[Tulu/kulu liik2]],Table5[[Tulu/kulu liik]:[Kontode koondnimetus]],4,FALSE)</f>
        <v>Muud tegevuskulud</v>
      </c>
      <c r="O1263" s="3" t="str">
        <f>VLOOKUP(Table2[[#This Row],[Tulu/kulu liik2]],Table5[],6,FALSE)</f>
        <v>Majandamiskulud</v>
      </c>
      <c r="P1263" s="3" t="str">
        <f>VLOOKUP(Table2[[#This Row],[Tulu/kulu liik2]],Table5[],5,FALSE)</f>
        <v>Põhitegevuse kulu</v>
      </c>
    </row>
    <row r="1264" spans="1:16" hidden="1" x14ac:dyDescent="0.25">
      <c r="A1264" s="8" t="str">
        <f t="shared" si="38"/>
        <v>10</v>
      </c>
      <c r="B1264" s="8" t="s">
        <v>61</v>
      </c>
      <c r="C1264" s="32" t="str">
        <f>VLOOKUP(Table2[[#This Row],[Tegevusala]],Table4[],2,FALSE)</f>
        <v xml:space="preserve"> Riiklik toimetulekutoetus</v>
      </c>
      <c r="D1264" s="32" t="str">
        <f>VLOOKUP(Table2[[#This Row],[Tegevusala]],Table4[[Tegevusala kood]:[Tegevusala alanimetus]],4,FALSE)</f>
        <v>Riiklik toimetulekutoetus</v>
      </c>
      <c r="E1264" s="32" t="str">
        <f>VLOOKUP(Table2[[#This Row],[Tegevusala nimetus2]],Table4[[Tegevusala nimetus]:[Tegevusala koondnimetus]],2,FALSE)</f>
        <v>Sotsiaalne kaitse</v>
      </c>
      <c r="F1264" s="8" t="s">
        <v>444</v>
      </c>
      <c r="G1264" s="8" t="s">
        <v>639</v>
      </c>
      <c r="H1264" s="43">
        <v>70350</v>
      </c>
      <c r="I1264" s="9" t="s">
        <v>82</v>
      </c>
      <c r="J1264" s="8">
        <v>4131</v>
      </c>
      <c r="K1264" s="32" t="str">
        <f>VLOOKUP(Table2[[#This Row],[Konto]],Table5[[Konto]:[Konto nimetus]],2,FALSE)</f>
        <v>Toimetulekutoetus ja täiendavad sotsiaaltoetused</v>
      </c>
      <c r="L1264" s="8">
        <v>413</v>
      </c>
      <c r="M1264" s="8" t="str">
        <f t="shared" si="39"/>
        <v>41</v>
      </c>
      <c r="N1264" s="32" t="str">
        <f>VLOOKUP(Table2[[#This Row],[Tulu/kulu liik2]],Table5[[Tulu/kulu liik]:[Kontode koondnimetus]],4,FALSE)</f>
        <v>Antavad toetused tegevuskuludeks</v>
      </c>
      <c r="O1264" s="32" t="str">
        <f>VLOOKUP(Table2[[#This Row],[Tulu/kulu liik2]],Table5[],6,FALSE)</f>
        <v>Sotsiaalabitoetused ja muud toetused füüsilistele isikutele</v>
      </c>
      <c r="P1264" s="32" t="str">
        <f>VLOOKUP(Table2[[#This Row],[Tulu/kulu liik2]],Table5[],5,FALSE)</f>
        <v>Põhitegevuse kulu</v>
      </c>
    </row>
    <row r="1265" spans="1:16" hidden="1" x14ac:dyDescent="0.25">
      <c r="A1265" s="8" t="str">
        <f t="shared" si="38"/>
        <v>10</v>
      </c>
      <c r="B1265" s="8" t="s">
        <v>61</v>
      </c>
      <c r="C1265" s="32" t="str">
        <f>VLOOKUP(Table2[[#This Row],[Tegevusala]],Table4[],2,FALSE)</f>
        <v xml:space="preserve"> Riiklik toimetulekutoetus</v>
      </c>
      <c r="D1265" s="32" t="str">
        <f>VLOOKUP(Table2[[#This Row],[Tegevusala]],Table4[[Tegevusala kood]:[Tegevusala alanimetus]],4,FALSE)</f>
        <v>Riiklik toimetulekutoetus</v>
      </c>
      <c r="E1265" s="32" t="str">
        <f>VLOOKUP(Table2[[#This Row],[Tegevusala nimetus2]],Table4[[Tegevusala nimetus]:[Tegevusala koondnimetus]],2,FALSE)</f>
        <v>Sotsiaalne kaitse</v>
      </c>
      <c r="F1265" s="8" t="s">
        <v>444</v>
      </c>
      <c r="G1265" s="8" t="s">
        <v>82</v>
      </c>
      <c r="H1265" s="43">
        <v>-70350</v>
      </c>
      <c r="I1265" s="9" t="s">
        <v>640</v>
      </c>
      <c r="J1265" s="8">
        <v>35201</v>
      </c>
      <c r="K1265" s="32" t="str">
        <f>VLOOKUP(Table2[[#This Row],[Konto]],Table5[[Konto]:[Konto nimetus]],2,FALSE)</f>
        <v>Toetusfond</v>
      </c>
      <c r="L1265" s="8">
        <v>35201</v>
      </c>
      <c r="M1265" s="8" t="str">
        <f t="shared" si="39"/>
        <v>35</v>
      </c>
      <c r="N1265" s="32" t="str">
        <f>VLOOKUP(Table2[[#This Row],[Tulu/kulu liik2]],Table5[[Tulu/kulu liik]:[Kontode koondnimetus]],4,FALSE)</f>
        <v>Saadavad toetused tegevuskuludeks</v>
      </c>
      <c r="O1265" s="32" t="str">
        <f>VLOOKUP(Table2[[#This Row],[Tulu/kulu liik2]],Table5[],6,FALSE)</f>
        <v>Toetusfond</v>
      </c>
      <c r="P1265" s="32" t="str">
        <f>VLOOKUP(Table2[[#This Row],[Tulu/kulu liik2]],Table5[],5,FALSE)</f>
        <v>Põhitegevuse tulu</v>
      </c>
    </row>
    <row r="1266" spans="1:16" hidden="1" x14ac:dyDescent="0.25">
      <c r="A1266" t="str">
        <f t="shared" si="38"/>
        <v>10</v>
      </c>
      <c r="B1266" t="s">
        <v>63</v>
      </c>
      <c r="C1266" s="3" t="str">
        <f>VLOOKUP(Table2[[#This Row],[Tegevusala]],Table4[],2,FALSE)</f>
        <v xml:space="preserve"> Muu sotsiaalsete riskirühmade kaitse</v>
      </c>
      <c r="D1266" s="3" t="str">
        <f>VLOOKUP(Table2[[#This Row],[Tegevusala]],Table4[[Tegevusala kood]:[Tegevusala alanimetus]],4,FALSE)</f>
        <v>Muu sotsiaalsete riskirühmade kaitse</v>
      </c>
      <c r="E1266" s="3" t="str">
        <f>VLOOKUP(Table2[[#This Row],[Tegevusala nimetus2]],Table4[[Tegevusala nimetus]:[Tegevusala koondnimetus]],2,FALSE)</f>
        <v>Sotsiaalne kaitse</v>
      </c>
      <c r="F1266" t="s">
        <v>444</v>
      </c>
      <c r="G1266" t="s">
        <v>635</v>
      </c>
      <c r="H1266" s="40">
        <v>2000</v>
      </c>
      <c r="J1266">
        <v>413899</v>
      </c>
      <c r="K1266" s="3" t="str">
        <f>VLOOKUP(Table2[[#This Row],[Konto]],Table5[[Konto]:[Konto nimetus]],2,FALSE)</f>
        <v>Muud sotsiaalabitoetused ja hüvitised</v>
      </c>
      <c r="L1266">
        <v>413</v>
      </c>
      <c r="M1266" t="str">
        <f t="shared" si="39"/>
        <v>41</v>
      </c>
      <c r="N1266" s="3" t="str">
        <f>VLOOKUP(Table2[[#This Row],[Tulu/kulu liik2]],Table5[[Tulu/kulu liik]:[Kontode koondnimetus]],4,FALSE)</f>
        <v>Antavad toetused tegevuskuludeks</v>
      </c>
      <c r="O1266" s="3" t="str">
        <f>VLOOKUP(Table2[[#This Row],[Tulu/kulu liik2]],Table5[],6,FALSE)</f>
        <v>Sotsiaalabitoetused ja muud toetused füüsilistele isikutele</v>
      </c>
      <c r="P1266" s="3" t="str">
        <f>VLOOKUP(Table2[[#This Row],[Tulu/kulu liik2]],Table5[],5,FALSE)</f>
        <v>Põhitegevuse kulu</v>
      </c>
    </row>
    <row r="1267" spans="1:16" hidden="1" x14ac:dyDescent="0.25">
      <c r="A1267" t="str">
        <f t="shared" si="38"/>
        <v>10</v>
      </c>
      <c r="B1267" t="s">
        <v>63</v>
      </c>
      <c r="C1267" s="3" t="str">
        <f>VLOOKUP(Table2[[#This Row],[Tegevusala]],Table4[],2,FALSE)</f>
        <v xml:space="preserve"> Muu sotsiaalsete riskirühmade kaitse</v>
      </c>
      <c r="D1267" s="3" t="str">
        <f>VLOOKUP(Table2[[#This Row],[Tegevusala]],Table4[[Tegevusala kood]:[Tegevusala alanimetus]],4,FALSE)</f>
        <v>Muu sotsiaalsete riskirühmade kaitse</v>
      </c>
      <c r="E1267" s="3" t="str">
        <f>VLOOKUP(Table2[[#This Row],[Tegevusala nimetus2]],Table4[[Tegevusala nimetus]:[Tegevusala koondnimetus]],2,FALSE)</f>
        <v>Sotsiaalne kaitse</v>
      </c>
      <c r="F1267" t="s">
        <v>444</v>
      </c>
      <c r="G1267" t="s">
        <v>636</v>
      </c>
      <c r="H1267" s="40">
        <v>20000</v>
      </c>
      <c r="J1267">
        <v>413899</v>
      </c>
      <c r="K1267" s="3" t="str">
        <f>VLOOKUP(Table2[[#This Row],[Konto]],Table5[[Konto]:[Konto nimetus]],2,FALSE)</f>
        <v>Muud sotsiaalabitoetused ja hüvitised</v>
      </c>
      <c r="L1267">
        <v>413</v>
      </c>
      <c r="M1267" t="str">
        <f t="shared" si="39"/>
        <v>41</v>
      </c>
      <c r="N1267" s="3" t="str">
        <f>VLOOKUP(Table2[[#This Row],[Tulu/kulu liik2]],Table5[[Tulu/kulu liik]:[Kontode koondnimetus]],4,FALSE)</f>
        <v>Antavad toetused tegevuskuludeks</v>
      </c>
      <c r="O1267" s="3" t="str">
        <f>VLOOKUP(Table2[[#This Row],[Tulu/kulu liik2]],Table5[],6,FALSE)</f>
        <v>Sotsiaalabitoetused ja muud toetused füüsilistele isikutele</v>
      </c>
      <c r="P1267" s="3" t="str">
        <f>VLOOKUP(Table2[[#This Row],[Tulu/kulu liik2]],Table5[],5,FALSE)</f>
        <v>Põhitegevuse kulu</v>
      </c>
    </row>
    <row r="1268" spans="1:16" hidden="1" x14ac:dyDescent="0.25">
      <c r="A1268" t="str">
        <f t="shared" si="38"/>
        <v>10</v>
      </c>
      <c r="B1268" t="s">
        <v>63</v>
      </c>
      <c r="C1268" s="3" t="str">
        <f>VLOOKUP(Table2[[#This Row],[Tegevusala]],Table4[],2,FALSE)</f>
        <v xml:space="preserve"> Muu sotsiaalsete riskirühmade kaitse</v>
      </c>
      <c r="D1268" s="3" t="str">
        <f>VLOOKUP(Table2[[#This Row],[Tegevusala]],Table4[[Tegevusala kood]:[Tegevusala alanimetus]],4,FALSE)</f>
        <v>Muu sotsiaalsete riskirühmade kaitse</v>
      </c>
      <c r="E1268" s="3" t="str">
        <f>VLOOKUP(Table2[[#This Row],[Tegevusala nimetus2]],Table4[[Tegevusala nimetus]:[Tegevusala koondnimetus]],2,FALSE)</f>
        <v>Sotsiaalne kaitse</v>
      </c>
      <c r="F1268" t="s">
        <v>444</v>
      </c>
      <c r="G1268" t="s">
        <v>637</v>
      </c>
      <c r="H1268" s="40">
        <v>800</v>
      </c>
      <c r="J1268">
        <v>413899</v>
      </c>
      <c r="K1268" s="3" t="str">
        <f>VLOOKUP(Table2[[#This Row],[Konto]],Table5[[Konto]:[Konto nimetus]],2,FALSE)</f>
        <v>Muud sotsiaalabitoetused ja hüvitised</v>
      </c>
      <c r="L1268">
        <v>413</v>
      </c>
      <c r="M1268" t="str">
        <f t="shared" si="39"/>
        <v>41</v>
      </c>
      <c r="N1268" s="3" t="str">
        <f>VLOOKUP(Table2[[#This Row],[Tulu/kulu liik2]],Table5[[Tulu/kulu liik]:[Kontode koondnimetus]],4,FALSE)</f>
        <v>Antavad toetused tegevuskuludeks</v>
      </c>
      <c r="O1268" s="3" t="str">
        <f>VLOOKUP(Table2[[#This Row],[Tulu/kulu liik2]],Table5[],6,FALSE)</f>
        <v>Sotsiaalabitoetused ja muud toetused füüsilistele isikutele</v>
      </c>
      <c r="P1268" s="3" t="str">
        <f>VLOOKUP(Table2[[#This Row],[Tulu/kulu liik2]],Table5[],5,FALSE)</f>
        <v>Põhitegevuse kulu</v>
      </c>
    </row>
    <row r="1269" spans="1:16" hidden="1" x14ac:dyDescent="0.25">
      <c r="A1269" t="str">
        <f t="shared" si="38"/>
        <v>10</v>
      </c>
      <c r="B1269" t="s">
        <v>63</v>
      </c>
      <c r="C1269" s="3" t="str">
        <f>VLOOKUP(Table2[[#This Row],[Tegevusala]],Table4[],2,FALSE)</f>
        <v xml:space="preserve"> Muu sotsiaalsete riskirühmade kaitse</v>
      </c>
      <c r="D1269" s="3" t="str">
        <f>VLOOKUP(Table2[[#This Row],[Tegevusala]],Table4[[Tegevusala kood]:[Tegevusala alanimetus]],4,FALSE)</f>
        <v>Muu sotsiaalsete riskirühmade kaitse</v>
      </c>
      <c r="E1269" s="3" t="str">
        <f>VLOOKUP(Table2[[#This Row],[Tegevusala nimetus2]],Table4[[Tegevusala nimetus]:[Tegevusala koondnimetus]],2,FALSE)</f>
        <v>Sotsiaalne kaitse</v>
      </c>
      <c r="F1269" t="s">
        <v>444</v>
      </c>
      <c r="G1269" t="s">
        <v>638</v>
      </c>
      <c r="H1269" s="40">
        <v>3000</v>
      </c>
      <c r="J1269">
        <v>413899</v>
      </c>
      <c r="K1269" s="3" t="str">
        <f>VLOOKUP(Table2[[#This Row],[Konto]],Table5[[Konto]:[Konto nimetus]],2,FALSE)</f>
        <v>Muud sotsiaalabitoetused ja hüvitised</v>
      </c>
      <c r="L1269">
        <v>413</v>
      </c>
      <c r="M1269" t="str">
        <f t="shared" si="39"/>
        <v>41</v>
      </c>
      <c r="N1269" s="3" t="str">
        <f>VLOOKUP(Table2[[#This Row],[Tulu/kulu liik2]],Table5[[Tulu/kulu liik]:[Kontode koondnimetus]],4,FALSE)</f>
        <v>Antavad toetused tegevuskuludeks</v>
      </c>
      <c r="O1269" s="3" t="str">
        <f>VLOOKUP(Table2[[#This Row],[Tulu/kulu liik2]],Table5[],6,FALSE)</f>
        <v>Sotsiaalabitoetused ja muud toetused füüsilistele isikutele</v>
      </c>
      <c r="P1269" s="3" t="str">
        <f>VLOOKUP(Table2[[#This Row],[Tulu/kulu liik2]],Table5[],5,FALSE)</f>
        <v>Põhitegevuse kulu</v>
      </c>
    </row>
    <row r="1270" spans="1:16" hidden="1" x14ac:dyDescent="0.25">
      <c r="A1270" t="str">
        <f t="shared" si="38"/>
        <v>10</v>
      </c>
      <c r="B1270" t="s">
        <v>63</v>
      </c>
      <c r="C1270" s="3" t="str">
        <f>VLOOKUP(Table2[[#This Row],[Tegevusala]],Table4[],2,FALSE)</f>
        <v xml:space="preserve"> Muu sotsiaalsete riskirühmade kaitse</v>
      </c>
      <c r="D1270" s="3" t="str">
        <f>VLOOKUP(Table2[[#This Row],[Tegevusala]],Table4[[Tegevusala kood]:[Tegevusala alanimetus]],4,FALSE)</f>
        <v>Muu sotsiaalsete riskirühmade kaitse</v>
      </c>
      <c r="E1270" s="3" t="str">
        <f>VLOOKUP(Table2[[#This Row],[Tegevusala nimetus2]],Table4[[Tegevusala nimetus]:[Tegevusala koondnimetus]],2,FALSE)</f>
        <v>Sotsiaalne kaitse</v>
      </c>
      <c r="F1270" t="s">
        <v>444</v>
      </c>
      <c r="G1270" t="s">
        <v>2088</v>
      </c>
      <c r="H1270" s="40">
        <v>7440</v>
      </c>
      <c r="I1270" s="2" t="s">
        <v>2089</v>
      </c>
      <c r="J1270">
        <v>413899</v>
      </c>
      <c r="K1270" s="3" t="str">
        <f>VLOOKUP(Table2[[#This Row],[Konto]],Table5[[Konto]:[Konto nimetus]],2,FALSE)</f>
        <v>Muud sotsiaalabitoetused ja hüvitised</v>
      </c>
      <c r="L1270">
        <v>413</v>
      </c>
      <c r="M1270" t="str">
        <f t="shared" si="39"/>
        <v>41</v>
      </c>
      <c r="N1270" s="3" t="str">
        <f>VLOOKUP(Table2[[#This Row],[Tulu/kulu liik2]],Table5[[Tulu/kulu liik]:[Kontode koondnimetus]],4,FALSE)</f>
        <v>Antavad toetused tegevuskuludeks</v>
      </c>
      <c r="O1270" s="3" t="str">
        <f>VLOOKUP(Table2[[#This Row],[Tulu/kulu liik2]],Table5[],6,FALSE)</f>
        <v>Sotsiaalabitoetused ja muud toetused füüsilistele isikutele</v>
      </c>
      <c r="P1270" s="3" t="str">
        <f>VLOOKUP(Table2[[#This Row],[Tulu/kulu liik2]],Table5[],5,FALSE)</f>
        <v>Põhitegevuse kulu</v>
      </c>
    </row>
    <row r="1271" spans="1:16" hidden="1" x14ac:dyDescent="0.25">
      <c r="A1271" t="str">
        <f t="shared" si="38"/>
        <v>10</v>
      </c>
      <c r="B1271" t="s">
        <v>63</v>
      </c>
      <c r="C1271" s="3" t="str">
        <f>VLOOKUP(Table2[[#This Row],[Tegevusala]],Table4[],2,FALSE)</f>
        <v xml:space="preserve"> Muu sotsiaalsete riskirühmade kaitse</v>
      </c>
      <c r="D1271" s="3" t="str">
        <f>VLOOKUP(Table2[[#This Row],[Tegevusala]],Table4[[Tegevusala kood]:[Tegevusala alanimetus]],4,FALSE)</f>
        <v>Muu sotsiaalsete riskirühmade kaitse</v>
      </c>
      <c r="E1271" s="3" t="str">
        <f>VLOOKUP(Table2[[#This Row],[Tegevusala nimetus2]],Table4[[Tegevusala nimetus]:[Tegevusala koondnimetus]],2,FALSE)</f>
        <v>Sotsiaalne kaitse</v>
      </c>
      <c r="F1271" t="s">
        <v>630</v>
      </c>
      <c r="G1271" t="s">
        <v>2039</v>
      </c>
      <c r="H1271" s="40">
        <v>5000</v>
      </c>
      <c r="J1271">
        <v>1551</v>
      </c>
      <c r="K1271" s="3" t="str">
        <f>VLOOKUP(Table2[[#This Row],[Konto]],Table5[[Konto]:[Konto nimetus]],2,FALSE)</f>
        <v>Rajatiste ja hoonete soetamine ja renoveerimine</v>
      </c>
      <c r="L1271">
        <v>15</v>
      </c>
      <c r="M1271" t="str">
        <f t="shared" si="39"/>
        <v>15</v>
      </c>
      <c r="N1271" s="3" t="str">
        <f>VLOOKUP(Table2[[#This Row],[Tulu/kulu liik2]],Table5[[Tulu/kulu liik]:[Kontode koondnimetus]],4,FALSE)</f>
        <v>Põhivara soetus (-)</v>
      </c>
      <c r="O1271" s="34" t="str">
        <f>VLOOKUP(Table2[[#This Row],[Tulu/kulu liik2]],Table5[],6,FALSE)</f>
        <v>Põhivara soetus (-)</v>
      </c>
      <c r="P1271" s="3" t="str">
        <f>VLOOKUP(Table2[[#This Row],[Tulu/kulu liik2]],Table5[],5,FALSE)</f>
        <v>Investeerimistegevus</v>
      </c>
    </row>
    <row r="1272" spans="1:16" hidden="1" x14ac:dyDescent="0.25">
      <c r="A1272" t="str">
        <f t="shared" si="38"/>
        <v>10</v>
      </c>
      <c r="B1272" t="s">
        <v>65</v>
      </c>
      <c r="C1272" s="3" t="str">
        <f>VLOOKUP(Table2[[#This Row],[Tegevusala]],Table4[],2,FALSE)</f>
        <v xml:space="preserve"> Muu sotsiaalne kaitse, sh sotsiaalse kaitse haldus</v>
      </c>
      <c r="D1272" s="3" t="str">
        <f>VLOOKUP(Table2[[#This Row],[Tegevusala]],Table4[[Tegevusala kood]:[Tegevusala alanimetus]],4,FALSE)</f>
        <v>Muu sotsiaalne kaitse, sh sotsiaalse kaitse haldus</v>
      </c>
      <c r="E1272" s="3" t="str">
        <f>VLOOKUP(Table2[[#This Row],[Tegevusala nimetus2]],Table4[[Tegevusala nimetus]:[Tegevusala koondnimetus]],2,FALSE)</f>
        <v>Sotsiaalne kaitse</v>
      </c>
      <c r="F1272" t="s">
        <v>444</v>
      </c>
      <c r="G1272" t="s">
        <v>728</v>
      </c>
      <c r="H1272" s="40">
        <v>18500</v>
      </c>
      <c r="I1272" s="2" t="s">
        <v>729</v>
      </c>
      <c r="J1272">
        <v>5513</v>
      </c>
      <c r="K1272" s="3" t="str">
        <f>VLOOKUP(Table2[[#This Row],[Konto]],Table5[[Konto]:[Konto nimetus]],2,FALSE)</f>
        <v>Sõidukite ülalpidamise kulud</v>
      </c>
      <c r="L1272">
        <v>55</v>
      </c>
      <c r="M1272" t="str">
        <f t="shared" si="39"/>
        <v>55</v>
      </c>
      <c r="N1272" s="3" t="str">
        <f>VLOOKUP(Table2[[#This Row],[Tulu/kulu liik2]],Table5[[Tulu/kulu liik]:[Kontode koondnimetus]],4,FALSE)</f>
        <v>Muud tegevuskulud</v>
      </c>
      <c r="O1272" s="3" t="str">
        <f>VLOOKUP(Table2[[#This Row],[Tulu/kulu liik2]],Table5[],6,FALSE)</f>
        <v>Majandamiskulud</v>
      </c>
      <c r="P1272" s="3" t="str">
        <f>VLOOKUP(Table2[[#This Row],[Tulu/kulu liik2]],Table5[],5,FALSE)</f>
        <v>Põhitegevuse kulu</v>
      </c>
    </row>
    <row r="1273" spans="1:16" hidden="1" x14ac:dyDescent="0.25">
      <c r="A1273" t="str">
        <f t="shared" si="38"/>
        <v>10</v>
      </c>
      <c r="B1273" t="s">
        <v>65</v>
      </c>
      <c r="C1273" s="3" t="str">
        <f>VLOOKUP(Table2[[#This Row],[Tegevusala]],Table4[],2,FALSE)</f>
        <v xml:space="preserve"> Muu sotsiaalne kaitse, sh sotsiaalse kaitse haldus</v>
      </c>
      <c r="D1273" s="3" t="str">
        <f>VLOOKUP(Table2[[#This Row],[Tegevusala]],Table4[[Tegevusala kood]:[Tegevusala alanimetus]],4,FALSE)</f>
        <v>Muu sotsiaalne kaitse, sh sotsiaalse kaitse haldus</v>
      </c>
      <c r="E1273" s="3" t="str">
        <f>VLOOKUP(Table2[[#This Row],[Tegevusala nimetus2]],Table4[[Tegevusala nimetus]:[Tegevusala koondnimetus]],2,FALSE)</f>
        <v>Sotsiaalne kaitse</v>
      </c>
      <c r="F1273" t="s">
        <v>444</v>
      </c>
      <c r="G1273" t="s">
        <v>730</v>
      </c>
      <c r="H1273" s="40">
        <f>(17*4)*12</f>
        <v>816</v>
      </c>
      <c r="J1273">
        <v>5500</v>
      </c>
      <c r="K1273" s="3" t="str">
        <f>VLOOKUP(Table2[[#This Row],[Konto]],Table5[[Konto]:[Konto nimetus]],2,FALSE)</f>
        <v>Administreerimiskulud</v>
      </c>
      <c r="L1273">
        <v>55</v>
      </c>
      <c r="M1273" t="str">
        <f t="shared" si="39"/>
        <v>55</v>
      </c>
      <c r="N1273" s="3" t="str">
        <f>VLOOKUP(Table2[[#This Row],[Tulu/kulu liik2]],Table5[[Tulu/kulu liik]:[Kontode koondnimetus]],4,FALSE)</f>
        <v>Muud tegevuskulud</v>
      </c>
      <c r="O1273" s="3" t="str">
        <f>VLOOKUP(Table2[[#This Row],[Tulu/kulu liik2]],Table5[],6,FALSE)</f>
        <v>Majandamiskulud</v>
      </c>
      <c r="P1273" s="3" t="str">
        <f>VLOOKUP(Table2[[#This Row],[Tulu/kulu liik2]],Table5[],5,FALSE)</f>
        <v>Põhitegevuse kulu</v>
      </c>
    </row>
    <row r="1274" spans="1:16" hidden="1" x14ac:dyDescent="0.25">
      <c r="A1274" t="str">
        <f t="shared" ref="A1274:A1280" si="40">LEFT(B1274,2)</f>
        <v>10</v>
      </c>
      <c r="B1274" t="s">
        <v>65</v>
      </c>
      <c r="C1274" s="3" t="str">
        <f>VLOOKUP(Table2[[#This Row],[Tegevusala]],Table4[],2,FALSE)</f>
        <v xml:space="preserve"> Muu sotsiaalne kaitse, sh sotsiaalse kaitse haldus</v>
      </c>
      <c r="D1274" s="3" t="str">
        <f>VLOOKUP(Table2[[#This Row],[Tegevusala]],Table4[[Tegevusala kood]:[Tegevusala alanimetus]],4,FALSE)</f>
        <v>Muu sotsiaalne kaitse, sh sotsiaalse kaitse haldus</v>
      </c>
      <c r="E1274" s="3" t="str">
        <f>VLOOKUP(Table2[[#This Row],[Tegevusala nimetus2]],Table4[[Tegevusala nimetus]:[Tegevusala koondnimetus]],2,FALSE)</f>
        <v>Sotsiaalne kaitse</v>
      </c>
      <c r="F1274" t="s">
        <v>444</v>
      </c>
      <c r="G1274" t="s">
        <v>102</v>
      </c>
      <c r="H1274" s="40">
        <v>1500</v>
      </c>
      <c r="J1274">
        <v>5504</v>
      </c>
      <c r="K1274" s="3" t="str">
        <f>VLOOKUP(Table2[[#This Row],[Konto]],Table5[[Konto]:[Konto nimetus]],2,FALSE)</f>
        <v>Koolituskulud</v>
      </c>
      <c r="L1274">
        <v>55</v>
      </c>
      <c r="M1274" t="str">
        <f t="shared" ref="M1274:M1280" si="41">LEFT(J1274,2)</f>
        <v>55</v>
      </c>
      <c r="N1274" s="3" t="str">
        <f>VLOOKUP(Table2[[#This Row],[Tulu/kulu liik2]],Table5[[Tulu/kulu liik]:[Kontode koondnimetus]],4,FALSE)</f>
        <v>Muud tegevuskulud</v>
      </c>
      <c r="O1274" s="3" t="str">
        <f>VLOOKUP(Table2[[#This Row],[Tulu/kulu liik2]],Table5[],6,FALSE)</f>
        <v>Majandamiskulud</v>
      </c>
      <c r="P1274" s="3" t="str">
        <f>VLOOKUP(Table2[[#This Row],[Tulu/kulu liik2]],Table5[],5,FALSE)</f>
        <v>Põhitegevuse kulu</v>
      </c>
    </row>
    <row r="1275" spans="1:16" hidden="1" x14ac:dyDescent="0.25">
      <c r="A1275" t="str">
        <f t="shared" si="40"/>
        <v>10</v>
      </c>
      <c r="B1275" t="s">
        <v>65</v>
      </c>
      <c r="C1275" s="3" t="str">
        <f>VLOOKUP(Table2[[#This Row],[Tegevusala]],Table4[],2,FALSE)</f>
        <v xml:space="preserve"> Muu sotsiaalne kaitse, sh sotsiaalse kaitse haldus</v>
      </c>
      <c r="D1275" s="3" t="str">
        <f>VLOOKUP(Table2[[#This Row],[Tegevusala]],Table4[[Tegevusala kood]:[Tegevusala alanimetus]],4,FALSE)</f>
        <v>Muu sotsiaalne kaitse, sh sotsiaalse kaitse haldus</v>
      </c>
      <c r="E1275" s="3" t="str">
        <f>VLOOKUP(Table2[[#This Row],[Tegevusala nimetus2]],Table4[[Tegevusala nimetus]:[Tegevusala koondnimetus]],2,FALSE)</f>
        <v>Sotsiaalne kaitse</v>
      </c>
      <c r="F1275" t="s">
        <v>444</v>
      </c>
      <c r="G1275" t="s">
        <v>711</v>
      </c>
      <c r="H1275" s="40">
        <v>300</v>
      </c>
      <c r="J1275">
        <v>5515</v>
      </c>
      <c r="K1275" s="3" t="str">
        <f>VLOOKUP(Table2[[#This Row],[Konto]],Table5[[Konto]:[Konto nimetus]],2,FALSE)</f>
        <v>Inventari kulud, v.a infotehnoloogia ja kaitseotstarbelised kulud</v>
      </c>
      <c r="L1275">
        <v>55</v>
      </c>
      <c r="M1275" t="str">
        <f t="shared" si="41"/>
        <v>55</v>
      </c>
      <c r="N1275" s="3" t="str">
        <f>VLOOKUP(Table2[[#This Row],[Tulu/kulu liik2]],Table5[[Tulu/kulu liik]:[Kontode koondnimetus]],4,FALSE)</f>
        <v>Muud tegevuskulud</v>
      </c>
      <c r="O1275" s="3" t="str">
        <f>VLOOKUP(Table2[[#This Row],[Tulu/kulu liik2]],Table5[],6,FALSE)</f>
        <v>Majandamiskulud</v>
      </c>
      <c r="P1275" s="3" t="str">
        <f>VLOOKUP(Table2[[#This Row],[Tulu/kulu liik2]],Table5[],5,FALSE)</f>
        <v>Põhitegevuse kulu</v>
      </c>
    </row>
    <row r="1276" spans="1:16" hidden="1" x14ac:dyDescent="0.25">
      <c r="A1276" t="str">
        <f t="shared" si="40"/>
        <v>10</v>
      </c>
      <c r="B1276" s="14" t="s">
        <v>65</v>
      </c>
      <c r="C1276" s="3" t="str">
        <f>VLOOKUP(Table2[[#This Row],[Tegevusala]],Table4[],2,FALSE)</f>
        <v xml:space="preserve"> Muu sotsiaalne kaitse, sh sotsiaalse kaitse haldus</v>
      </c>
      <c r="D1276" s="3" t="str">
        <f>VLOOKUP(Table2[[#This Row],[Tegevusala]],Table4[[Tegevusala kood]:[Tegevusala alanimetus]],4,FALSE)</f>
        <v>Muu sotsiaalne kaitse, sh sotsiaalse kaitse haldus</v>
      </c>
      <c r="E1276" s="3" t="str">
        <f>VLOOKUP(Table2[[#This Row],[Tegevusala nimetus2]],Table4[[Tegevusala nimetus]:[Tegevusala koondnimetus]],2,FALSE)</f>
        <v>Sotsiaalne kaitse</v>
      </c>
      <c r="F1276" t="s">
        <v>444</v>
      </c>
      <c r="G1276" t="s">
        <v>731</v>
      </c>
      <c r="H1276" s="40">
        <f>400+600</f>
        <v>1000</v>
      </c>
      <c r="I1276" s="63" t="s">
        <v>2078</v>
      </c>
      <c r="J1276">
        <v>601</v>
      </c>
      <c r="K1276" s="3" t="str">
        <f>VLOOKUP(Table2[[#This Row],[Konto]],Table5[[Konto]:[Konto nimetus]],2,FALSE)</f>
        <v>Maksu-, riigilõivu- ja trahvikulud</v>
      </c>
      <c r="L1276">
        <v>60</v>
      </c>
      <c r="M1276" t="str">
        <f t="shared" si="41"/>
        <v>60</v>
      </c>
      <c r="N1276" s="3" t="str">
        <f>VLOOKUP(Table2[[#This Row],[Tulu/kulu liik2]],Table5[[Tulu/kulu liik]:[Kontode koondnimetus]],4,FALSE)</f>
        <v>Muud tegevuskulud</v>
      </c>
      <c r="O1276" s="3" t="str">
        <f>VLOOKUP(Table2[[#This Row],[Tulu/kulu liik2]],Table5[],6,FALSE)</f>
        <v>Muud kulud</v>
      </c>
      <c r="P1276" s="3" t="str">
        <f>VLOOKUP(Table2[[#This Row],[Tulu/kulu liik2]],Table5[],5,FALSE)</f>
        <v>Põhitegevuse kulu</v>
      </c>
    </row>
    <row r="1277" spans="1:16" hidden="1" x14ac:dyDescent="0.25">
      <c r="A1277" t="str">
        <f t="shared" si="40"/>
        <v>10</v>
      </c>
      <c r="B1277" s="14" t="s">
        <v>65</v>
      </c>
      <c r="C1277" s="3" t="str">
        <f>VLOOKUP(Table2[[#This Row],[Tegevusala]],Table4[],2,FALSE)</f>
        <v xml:space="preserve"> Muu sotsiaalne kaitse, sh sotsiaalse kaitse haldus</v>
      </c>
      <c r="D1277" s="3" t="str">
        <f>VLOOKUP(Table2[[#This Row],[Tegevusala]],Table4[[Tegevusala kood]:[Tegevusala alanimetus]],4,FALSE)</f>
        <v>Muu sotsiaalne kaitse, sh sotsiaalse kaitse haldus</v>
      </c>
      <c r="E1277" s="3" t="str">
        <f>VLOOKUP(Table2[[#This Row],[Tegevusala nimetus2]],Table4[[Tegevusala nimetus]:[Tegevusala koondnimetus]],2,FALSE)</f>
        <v>Sotsiaalne kaitse</v>
      </c>
      <c r="F1277" t="s">
        <v>444</v>
      </c>
      <c r="G1277" t="s">
        <v>732</v>
      </c>
      <c r="H1277" s="40">
        <v>2000</v>
      </c>
      <c r="J1277">
        <v>4500</v>
      </c>
      <c r="K1277" s="3" t="str">
        <f>VLOOKUP(Table2[[#This Row],[Konto]],Table5[[Konto]:[Konto nimetus]],2,FALSE)</f>
        <v>Sihtotstarbelised eraldised jooksvateks kuludeks</v>
      </c>
      <c r="L1277">
        <v>4500</v>
      </c>
      <c r="M1277" t="str">
        <f t="shared" si="41"/>
        <v>45</v>
      </c>
      <c r="N1277" s="3" t="str">
        <f>VLOOKUP(Table2[[#This Row],[Tulu/kulu liik2]],Table5[[Tulu/kulu liik]:[Kontode koondnimetus]],4,FALSE)</f>
        <v>Antavad toetused tegevuskuludeks</v>
      </c>
      <c r="O1277" s="3" t="str">
        <f>VLOOKUP(Table2[[#This Row],[Tulu/kulu liik2]],Table5[],6,FALSE)</f>
        <v>Sihtotstarbelised toetused tegevuskuludeks</v>
      </c>
      <c r="P1277" s="3" t="str">
        <f>VLOOKUP(Table2[[#This Row],[Tulu/kulu liik2]],Table5[],5,FALSE)</f>
        <v>Põhitegevuse kulu</v>
      </c>
    </row>
    <row r="1278" spans="1:16" hidden="1" x14ac:dyDescent="0.25">
      <c r="A1278" t="str">
        <f t="shared" si="40"/>
        <v>10</v>
      </c>
      <c r="B1278" t="s">
        <v>65</v>
      </c>
      <c r="C1278" s="3" t="str">
        <f>VLOOKUP(Table2[[#This Row],[Tegevusala]],Table4[],2,FALSE)</f>
        <v xml:space="preserve"> Muu sotsiaalne kaitse, sh sotsiaalse kaitse haldus</v>
      </c>
      <c r="D1278" s="3" t="str">
        <f>VLOOKUP(Table2[[#This Row],[Tegevusala]],Table4[[Tegevusala kood]:[Tegevusala alanimetus]],4,FALSE)</f>
        <v>Muu sotsiaalne kaitse, sh sotsiaalse kaitse haldus</v>
      </c>
      <c r="E1278" s="3" t="str">
        <f>VLOOKUP(Table2[[#This Row],[Tegevusala nimetus2]],Table4[[Tegevusala nimetus]:[Tegevusala koondnimetus]],2,FALSE)</f>
        <v>Sotsiaalne kaitse</v>
      </c>
      <c r="F1278" t="s">
        <v>444</v>
      </c>
      <c r="G1278" t="s">
        <v>1983</v>
      </c>
      <c r="H1278" s="40">
        <f>4*400</f>
        <v>1600</v>
      </c>
      <c r="J1278">
        <v>5540</v>
      </c>
      <c r="K1278" s="3" t="str">
        <f>VLOOKUP(Table2[[#This Row],[Konto]],Table5[[Konto]:[Konto nimetus]],2,FALSE)</f>
        <v>Mitmesugused majanduskulud</v>
      </c>
      <c r="L1278">
        <v>55</v>
      </c>
      <c r="M1278" t="str">
        <f t="shared" si="41"/>
        <v>55</v>
      </c>
      <c r="N1278" s="3" t="str">
        <f>VLOOKUP(Table2[[#This Row],[Tulu/kulu liik2]],Table5[[Tulu/kulu liik]:[Kontode koondnimetus]],4,FALSE)</f>
        <v>Muud tegevuskulud</v>
      </c>
      <c r="O1278" s="34" t="str">
        <f>VLOOKUP(Table2[[#This Row],[Tulu/kulu liik2]],Table5[],6,FALSE)</f>
        <v>Majandamiskulud</v>
      </c>
      <c r="P1278" s="3" t="str">
        <f>VLOOKUP(Table2[[#This Row],[Tulu/kulu liik2]],Table5[],5,FALSE)</f>
        <v>Põhitegevuse kulu</v>
      </c>
    </row>
    <row r="1279" spans="1:16" hidden="1" x14ac:dyDescent="0.25">
      <c r="A1279" t="str">
        <f t="shared" si="40"/>
        <v>10</v>
      </c>
      <c r="B1279" s="14" t="s">
        <v>65</v>
      </c>
      <c r="C1279" s="3" t="str">
        <f>VLOOKUP(Table2[[#This Row],[Tegevusala]],Table4[],2,FALSE)</f>
        <v xml:space="preserve"> Muu sotsiaalne kaitse, sh sotsiaalse kaitse haldus</v>
      </c>
      <c r="D1279" s="3" t="str">
        <f>VLOOKUP(Table2[[#This Row],[Tegevusala]],Table4[[Tegevusala kood]:[Tegevusala alanimetus]],4,FALSE)</f>
        <v>Muu sotsiaalne kaitse, sh sotsiaalse kaitse haldus</v>
      </c>
      <c r="E1279" s="3" t="str">
        <f>VLOOKUP(Table2[[#This Row],[Tegevusala nimetus2]],Table4[[Tegevusala nimetus]:[Tegevusala koondnimetus]],2,FALSE)</f>
        <v>Sotsiaalne kaitse</v>
      </c>
      <c r="F1279" t="s">
        <v>444</v>
      </c>
      <c r="G1279" t="s">
        <v>2077</v>
      </c>
      <c r="H1279" s="40">
        <v>300</v>
      </c>
      <c r="J1279">
        <v>5514</v>
      </c>
      <c r="K1279" s="3" t="str">
        <f>VLOOKUP(Table2[[#This Row],[Konto]],Table5[[Konto]:[Konto nimetus]],2,FALSE)</f>
        <v>Info- ja kommunikatsioonitehnoliigised kulud</v>
      </c>
      <c r="L1279">
        <v>55</v>
      </c>
      <c r="M1279" t="str">
        <f t="shared" si="41"/>
        <v>55</v>
      </c>
      <c r="N1279" s="3" t="str">
        <f>VLOOKUP(Table2[[#This Row],[Tulu/kulu liik2]],Table5[[Tulu/kulu liik]:[Kontode koondnimetus]],4,FALSE)</f>
        <v>Muud tegevuskulud</v>
      </c>
      <c r="O1279" s="34" t="str">
        <f>VLOOKUP(Table2[[#This Row],[Tulu/kulu liik2]],Table5[],6,FALSE)</f>
        <v>Majandamiskulud</v>
      </c>
      <c r="P1279" s="3" t="str">
        <f>VLOOKUP(Table2[[#This Row],[Tulu/kulu liik2]],Table5[],5,FALSE)</f>
        <v>Põhitegevuse kulu</v>
      </c>
    </row>
    <row r="1280" spans="1:16" hidden="1" x14ac:dyDescent="0.25">
      <c r="A1280" t="str">
        <f t="shared" si="40"/>
        <v>10</v>
      </c>
      <c r="B1280" s="14" t="s">
        <v>65</v>
      </c>
      <c r="C1280" s="3" t="str">
        <f>VLOOKUP(Table2[[#This Row],[Tegevusala]],Table4[],2,FALSE)</f>
        <v xml:space="preserve"> Muu sotsiaalne kaitse, sh sotsiaalse kaitse haldus</v>
      </c>
      <c r="D1280" s="3" t="str">
        <f>VLOOKUP(Table2[[#This Row],[Tegevusala]],Table4[[Tegevusala kood]:[Tegevusala alanimetus]],4,FALSE)</f>
        <v>Muu sotsiaalne kaitse, sh sotsiaalse kaitse haldus</v>
      </c>
      <c r="E1280" s="3" t="str">
        <f>VLOOKUP(Table2[[#This Row],[Tegevusala nimetus2]],Table4[[Tegevusala nimetus]:[Tegevusala koondnimetus]],2,FALSE)</f>
        <v>Sotsiaalne kaitse</v>
      </c>
      <c r="F1280" t="s">
        <v>444</v>
      </c>
      <c r="G1280" t="s">
        <v>2079</v>
      </c>
      <c r="H1280" s="40">
        <v>1000</v>
      </c>
      <c r="J1280">
        <v>5500</v>
      </c>
      <c r="K1280" s="3" t="str">
        <f>VLOOKUP(Table2[[#This Row],[Konto]],Table5[[Konto]:[Konto nimetus]],2,FALSE)</f>
        <v>Administreerimiskulud</v>
      </c>
      <c r="L1280">
        <v>55</v>
      </c>
      <c r="M1280" t="str">
        <f t="shared" si="41"/>
        <v>55</v>
      </c>
      <c r="N1280" s="3" t="str">
        <f>VLOOKUP(Table2[[#This Row],[Tulu/kulu liik2]],Table5[[Tulu/kulu liik]:[Kontode koondnimetus]],4,FALSE)</f>
        <v>Muud tegevuskulud</v>
      </c>
      <c r="O1280" s="34" t="str">
        <f>VLOOKUP(Table2[[#This Row],[Tulu/kulu liik2]],Table5[],6,FALSE)</f>
        <v>Majandamiskulud</v>
      </c>
      <c r="P1280" s="3" t="str">
        <f>VLOOKUP(Table2[[#This Row],[Tulu/kulu liik2]],Table5[],5,FALSE)</f>
        <v>Põhitegevuse kulu</v>
      </c>
    </row>
    <row r="1281" spans="1:17" hidden="1" x14ac:dyDescent="0.25">
      <c r="A1281" t="str">
        <f t="shared" ref="A1281:A1286" si="42">LEFT(B1281,2)</f>
        <v>09</v>
      </c>
      <c r="B1281" t="s">
        <v>343</v>
      </c>
      <c r="C1281" s="3" t="str">
        <f>VLOOKUP(Table2[[#This Row],[Tegevusala]],Table4[],2,FALSE)</f>
        <v xml:space="preserve"> Haldus</v>
      </c>
      <c r="D1281" s="3" t="str">
        <f>VLOOKUP(Table2[[#This Row],[Tegevusala]],Table4[[Tegevusala kood]:[Tegevusala alanimetus]],4,FALSE)</f>
        <v>Muu haridus, sh hariduse haldus</v>
      </c>
      <c r="E1281" s="3" t="str">
        <f>VLOOKUP(Table2[[#This Row],[Tegevusala nimetus2]],Table4[[Tegevusala nimetus]:[Tegevusala koondnimetus]],2,FALSE)</f>
        <v>Haridus</v>
      </c>
      <c r="F1281" t="s">
        <v>1527</v>
      </c>
      <c r="G1281" t="s">
        <v>2190</v>
      </c>
      <c r="H1281" s="40">
        <v>-83233</v>
      </c>
      <c r="J1281">
        <v>35201</v>
      </c>
      <c r="K1281" s="3" t="str">
        <f>VLOOKUP(Table2[[#This Row],[Konto]],Table5[[Konto]:[Konto nimetus]],2,FALSE)</f>
        <v>Toetusfond</v>
      </c>
      <c r="L1281">
        <v>35201</v>
      </c>
      <c r="M1281" t="str">
        <f t="shared" ref="M1281:M1286" si="43">LEFT(J1281,2)</f>
        <v>35</v>
      </c>
      <c r="N1281" s="3" t="str">
        <f>VLOOKUP(Table2[[#This Row],[Tulu/kulu liik2]],Table5[[Tulu/kulu liik]:[Kontode koondnimetus]],4,FALSE)</f>
        <v>Saadavad toetused tegevuskuludeks</v>
      </c>
      <c r="O1281" s="34" t="str">
        <f>VLOOKUP(Table2[[#This Row],[Tulu/kulu liik2]],Table5[],6,FALSE)</f>
        <v>Toetusfond</v>
      </c>
      <c r="P1281" s="3" t="str">
        <f>VLOOKUP(Table2[[#This Row],[Tulu/kulu liik2]],Table5[],5,FALSE)</f>
        <v>Põhitegevuse tulu</v>
      </c>
    </row>
    <row r="1282" spans="1:17" hidden="1" x14ac:dyDescent="0.25">
      <c r="A1282" t="str">
        <f t="shared" si="42"/>
        <v>01</v>
      </c>
      <c r="B1282" t="s">
        <v>15</v>
      </c>
      <c r="C1282" s="3" t="str">
        <f>VLOOKUP(Table2[[#This Row],[Tegevusala]],Table4[],2,FALSE)</f>
        <v xml:space="preserve"> Valla- ja linnavalitsus</v>
      </c>
      <c r="D1282" s="3" t="str">
        <f>VLOOKUP(Table2[[#This Row],[Tegevusala]],Table4[[Tegevusala kood]:[Tegevusala alanimetus]],4,FALSE)</f>
        <v>Valla- ja linnavalitsus</v>
      </c>
      <c r="E1282" s="3" t="str">
        <f>VLOOKUP(Table2[[#This Row],[Tegevusala nimetus2]],Table4[[Tegevusala nimetus]:[Tegevusala koondnimetus]],2,FALSE)</f>
        <v>Üldised valitsussektori teenused</v>
      </c>
      <c r="F1282" t="s">
        <v>1949</v>
      </c>
      <c r="G1282" t="s">
        <v>2191</v>
      </c>
      <c r="H1282" s="40">
        <v>-988</v>
      </c>
      <c r="J1282">
        <v>35201</v>
      </c>
      <c r="K1282" s="3" t="str">
        <f>VLOOKUP(Table2[[#This Row],[Konto]],Table5[[Konto]:[Konto nimetus]],2,FALSE)</f>
        <v>Toetusfond</v>
      </c>
      <c r="L1282">
        <v>35201</v>
      </c>
      <c r="M1282" t="str">
        <f t="shared" si="43"/>
        <v>35</v>
      </c>
      <c r="N1282" s="3" t="str">
        <f>VLOOKUP(Table2[[#This Row],[Tulu/kulu liik2]],Table5[[Tulu/kulu liik]:[Kontode koondnimetus]],4,FALSE)</f>
        <v>Saadavad toetused tegevuskuludeks</v>
      </c>
      <c r="O1282" s="34" t="str">
        <f>VLOOKUP(Table2[[#This Row],[Tulu/kulu liik2]],Table5[],6,FALSE)</f>
        <v>Toetusfond</v>
      </c>
      <c r="P1282" s="3" t="str">
        <f>VLOOKUP(Table2[[#This Row],[Tulu/kulu liik2]],Table5[],5,FALSE)</f>
        <v>Põhitegevuse tulu</v>
      </c>
    </row>
    <row r="1283" spans="1:17" hidden="1" x14ac:dyDescent="0.25">
      <c r="A1283" t="str">
        <f t="shared" si="42"/>
        <v>09</v>
      </c>
      <c r="B1283" t="s">
        <v>313</v>
      </c>
      <c r="C1283" s="3" t="str">
        <f>VLOOKUP(Table2[[#This Row],[Tegevusala]],Table4[],2,FALSE)</f>
        <v xml:space="preserve"> Kulina Lasteaed</v>
      </c>
      <c r="D1283" s="3" t="str">
        <f>VLOOKUP(Table2[[#This Row],[Tegevusala]],Table4[[Tegevusala kood]:[Tegevusala alanimetus]],4,FALSE)</f>
        <v>Alusharidus</v>
      </c>
      <c r="E1283" s="3" t="str">
        <f>VLOOKUP(Table2[[#This Row],[Tegevusala nimetus2]],Table4[[Tegevusala nimetus]:[Tegevusala koondnimetus]],2,FALSE)</f>
        <v>Haridus</v>
      </c>
      <c r="F1283" t="s">
        <v>1293</v>
      </c>
      <c r="G1283" t="s">
        <v>2234</v>
      </c>
      <c r="H1283" s="40">
        <v>1958.4</v>
      </c>
      <c r="I1283" s="2" t="s">
        <v>2233</v>
      </c>
      <c r="J1283">
        <v>1551</v>
      </c>
      <c r="K1283" s="3" t="str">
        <f>VLOOKUP(Table2[[#This Row],[Konto]],Table5[[Konto]:[Konto nimetus]],2,FALSE)</f>
        <v>Rajatiste ja hoonete soetamine ja renoveerimine</v>
      </c>
      <c r="L1283">
        <v>15</v>
      </c>
      <c r="M1283" t="str">
        <f t="shared" si="43"/>
        <v>15</v>
      </c>
      <c r="N1283" s="3" t="str">
        <f>VLOOKUP(Table2[[#This Row],[Tulu/kulu liik2]],Table5[[Tulu/kulu liik]:[Kontode koondnimetus]],4,FALSE)</f>
        <v>Põhivara soetus (-)</v>
      </c>
      <c r="O1283" s="34" t="str">
        <f>VLOOKUP(Table2[[#This Row],[Tulu/kulu liik2]],Table5[],6,FALSE)</f>
        <v>Põhivara soetus (-)</v>
      </c>
      <c r="P1283" s="3" t="str">
        <f>VLOOKUP(Table2[[#This Row],[Tulu/kulu liik2]],Table5[],5,FALSE)</f>
        <v>Investeerimistegevus</v>
      </c>
      <c r="Q1283" s="2"/>
    </row>
    <row r="1284" spans="1:17" hidden="1" x14ac:dyDescent="0.25">
      <c r="A1284" t="str">
        <f t="shared" si="42"/>
        <v>09</v>
      </c>
      <c r="B1284" t="s">
        <v>313</v>
      </c>
      <c r="C1284" s="3" t="str">
        <f>VLOOKUP(Table2[[#This Row],[Tegevusala]],Table4[],2,FALSE)</f>
        <v xml:space="preserve"> Kulina Lasteaed</v>
      </c>
      <c r="D1284" s="3" t="str">
        <f>VLOOKUP(Table2[[#This Row],[Tegevusala]],Table4[[Tegevusala kood]:[Tegevusala alanimetus]],4,FALSE)</f>
        <v>Alusharidus</v>
      </c>
      <c r="E1284" s="3" t="str">
        <f>VLOOKUP(Table2[[#This Row],[Tegevusala nimetus2]],Table4[[Tegevusala nimetus]:[Tegevusala koondnimetus]],2,FALSE)</f>
        <v>Haridus</v>
      </c>
      <c r="F1284" t="s">
        <v>1293</v>
      </c>
      <c r="G1284" t="s">
        <v>2234</v>
      </c>
      <c r="H1284" s="40">
        <v>13248</v>
      </c>
      <c r="I1284" s="2" t="s">
        <v>2235</v>
      </c>
      <c r="J1284">
        <v>1551</v>
      </c>
      <c r="K1284" s="3" t="str">
        <f>VLOOKUP(Table2[[#This Row],[Konto]],Table5[[Konto]:[Konto nimetus]],2,FALSE)</f>
        <v>Rajatiste ja hoonete soetamine ja renoveerimine</v>
      </c>
      <c r="L1284">
        <v>15</v>
      </c>
      <c r="M1284" t="str">
        <f t="shared" si="43"/>
        <v>15</v>
      </c>
      <c r="N1284" s="3" t="str">
        <f>VLOOKUP(Table2[[#This Row],[Tulu/kulu liik2]],Table5[[Tulu/kulu liik]:[Kontode koondnimetus]],4,FALSE)</f>
        <v>Põhivara soetus (-)</v>
      </c>
      <c r="O1284" s="34" t="str">
        <f>VLOOKUP(Table2[[#This Row],[Tulu/kulu liik2]],Table5[],6,FALSE)</f>
        <v>Põhivara soetus (-)</v>
      </c>
      <c r="P1284" s="3" t="str">
        <f>VLOOKUP(Table2[[#This Row],[Tulu/kulu liik2]],Table5[],5,FALSE)</f>
        <v>Investeerimistegevus</v>
      </c>
      <c r="Q1284" s="2"/>
    </row>
    <row r="1285" spans="1:17" hidden="1" x14ac:dyDescent="0.25">
      <c r="A1285" t="str">
        <f t="shared" si="42"/>
        <v>09</v>
      </c>
      <c r="B1285" t="s">
        <v>2226</v>
      </c>
      <c r="C1285" s="3" t="str">
        <f>VLOOKUP(Table2[[#This Row],[Tegevusala]],Table4[],2,FALSE)</f>
        <v>Muuga-Laekvere Kool</v>
      </c>
      <c r="D1285" s="3" t="str">
        <f>VLOOKUP(Table2[[#This Row],[Tegevusala]],Table4[[Tegevusala kood]:[Tegevusala alanimetus]],4,FALSE)</f>
        <v>Põhihariduse otsekulud</v>
      </c>
      <c r="E1285" s="3" t="str">
        <f>VLOOKUP(Table2[[#This Row],[Tegevusala nimetus2]],Table4[[Tegevusala nimetus]:[Tegevusala koondnimetus]],2,FALSE)</f>
        <v>Haridus</v>
      </c>
      <c r="F1285" t="s">
        <v>2231</v>
      </c>
      <c r="G1285" t="s">
        <v>2193</v>
      </c>
      <c r="H1285" s="40">
        <v>6000</v>
      </c>
      <c r="J1285">
        <v>5511</v>
      </c>
      <c r="K1285" s="3" t="str">
        <f>VLOOKUP(Table2[[#This Row],[Konto]],Table5[[Konto]:[Konto nimetus]],2,FALSE)</f>
        <v>Kinnistute, hoonete ja ruumide majandamiskulud</v>
      </c>
      <c r="L1285">
        <v>55</v>
      </c>
      <c r="M1285" t="str">
        <f t="shared" si="43"/>
        <v>55</v>
      </c>
      <c r="N1285" s="3" t="str">
        <f>VLOOKUP(Table2[[#This Row],[Tulu/kulu liik2]],Table5[[Tulu/kulu liik]:[Kontode koondnimetus]],4,FALSE)</f>
        <v>Muud tegevuskulud</v>
      </c>
      <c r="O1285" s="34" t="str">
        <f>VLOOKUP(Table2[[#This Row],[Tulu/kulu liik2]],Table5[],6,FALSE)</f>
        <v>Majandamiskulud</v>
      </c>
      <c r="P1285" s="3" t="str">
        <f>VLOOKUP(Table2[[#This Row],[Tulu/kulu liik2]],Table5[],5,FALSE)</f>
        <v>Põhitegevuse kulu</v>
      </c>
    </row>
    <row r="1286" spans="1:17" hidden="1" x14ac:dyDescent="0.25">
      <c r="A1286" t="str">
        <f t="shared" si="42"/>
        <v>09</v>
      </c>
      <c r="B1286" s="33" t="s">
        <v>2226</v>
      </c>
      <c r="C1286" s="3" t="str">
        <f>VLOOKUP(Table2[[#This Row],[Tegevusala]],Table4[],2,FALSE)</f>
        <v>Muuga-Laekvere Kool</v>
      </c>
      <c r="D1286" s="3" t="str">
        <f>VLOOKUP(Table2[[#This Row],[Tegevusala]],Table4[[Tegevusala kood]:[Tegevusala alanimetus]],4,FALSE)</f>
        <v>Põhihariduse otsekulud</v>
      </c>
      <c r="E1286" s="3" t="str">
        <f>VLOOKUP(Table2[[#This Row],[Tegevusala nimetus2]],Table4[[Tegevusala nimetus]:[Tegevusala koondnimetus]],2,FALSE)</f>
        <v>Haridus</v>
      </c>
      <c r="F1286" t="s">
        <v>2231</v>
      </c>
      <c r="G1286" t="s">
        <v>2192</v>
      </c>
      <c r="H1286" s="40">
        <v>5000</v>
      </c>
      <c r="J1286">
        <v>5524</v>
      </c>
      <c r="K1286" s="3" t="str">
        <f>VLOOKUP(Table2[[#This Row],[Konto]],Table5[[Konto]:[Konto nimetus]],2,FALSE)</f>
        <v>Õppevahendid</v>
      </c>
      <c r="L1286">
        <v>55</v>
      </c>
      <c r="M1286" t="str">
        <f t="shared" si="43"/>
        <v>55</v>
      </c>
      <c r="N1286" s="3" t="str">
        <f>VLOOKUP(Table2[[#This Row],[Tulu/kulu liik2]],Table5[[Tulu/kulu liik]:[Kontode koondnimetus]],4,FALSE)</f>
        <v>Muud tegevuskulud</v>
      </c>
      <c r="O1286" s="34" t="str">
        <f>VLOOKUP(Table2[[#This Row],[Tulu/kulu liik2]],Table5[],6,FALSE)</f>
        <v>Majandamiskulud</v>
      </c>
      <c r="P1286" s="3" t="str">
        <f>VLOOKUP(Table2[[#This Row],[Tulu/kulu liik2]],Table5[],5,FALSE)</f>
        <v>Põhitegevuse kulu</v>
      </c>
    </row>
    <row r="1287" spans="1:17" hidden="1" x14ac:dyDescent="0.25">
      <c r="A1287" t="str">
        <f>LEFT(B1287,2)</f>
        <v>10</v>
      </c>
      <c r="B1287" t="s">
        <v>368</v>
      </c>
      <c r="C1287" s="3" t="str">
        <f>VLOOKUP(Table2[[#This Row],[Tegevusala]],Table4[],2,FALSE)</f>
        <v xml:space="preserve"> Muud asutused</v>
      </c>
      <c r="D1287" s="3" t="str">
        <f>VLOOKUP(Table2[[#This Row],[Tegevusala]],Table4[[Tegevusala kood]:[Tegevusala alanimetus]],4,FALSE)</f>
        <v>Laste ja noorte sotsiaalhoolekande asutused</v>
      </c>
      <c r="E1287" s="3" t="str">
        <f>VLOOKUP(Table2[[#This Row],[Tegevusala nimetus2]],Table4[[Tegevusala nimetus]:[Tegevusala koondnimetus]],2,FALSE)</f>
        <v>Sotsiaalne kaitse</v>
      </c>
      <c r="F1287" t="s">
        <v>444</v>
      </c>
      <c r="G1287" t="s">
        <v>2243</v>
      </c>
      <c r="H1287" s="40">
        <v>2500</v>
      </c>
      <c r="J1287">
        <v>5526</v>
      </c>
      <c r="K1287" s="3" t="str">
        <f>VLOOKUP(Table2[[#This Row],[Konto]],Table5[[Konto]:[Konto nimetus]],2,FALSE)</f>
        <v>Sotsiaalteenused</v>
      </c>
      <c r="L1287">
        <v>55</v>
      </c>
      <c r="M1287" t="str">
        <f>LEFT(J1287,2)</f>
        <v>55</v>
      </c>
      <c r="N1287" s="3" t="str">
        <f>VLOOKUP(Table2[[#This Row],[Tulu/kulu liik2]],Table5[[Tulu/kulu liik]:[Kontode koondnimetus]],4,FALSE)</f>
        <v>Muud tegevuskulud</v>
      </c>
      <c r="O1287" s="34" t="str">
        <f>VLOOKUP(Table2[[#This Row],[Tulu/kulu liik2]],Table5[],6,FALSE)</f>
        <v>Majandamiskulud</v>
      </c>
      <c r="P1287" s="3" t="str">
        <f>VLOOKUP(Table2[[#This Row],[Tulu/kulu liik2]],Table5[],5,FALSE)</f>
        <v>Põhitegevuse kulu</v>
      </c>
    </row>
    <row r="1288" spans="1:17" hidden="1" x14ac:dyDescent="0.25">
      <c r="A1288" t="str">
        <f>LEFT(B1288,2)</f>
        <v>10</v>
      </c>
      <c r="B1288" t="s">
        <v>61</v>
      </c>
      <c r="C1288" s="3" t="str">
        <f>VLOOKUP(Table2[[#This Row],[Tegevusala]],Table4[],2,FALSE)</f>
        <v xml:space="preserve"> Riiklik toimetulekutoetus</v>
      </c>
      <c r="D1288" s="3" t="str">
        <f>VLOOKUP(Table2[[#This Row],[Tegevusala]],Table4[[Tegevusala kood]:[Tegevusala alanimetus]],4,FALSE)</f>
        <v>Riiklik toimetulekutoetus</v>
      </c>
      <c r="E1288" s="3" t="str">
        <f>VLOOKUP(Table2[[#This Row],[Tegevusala nimetus2]],Table4[[Tegevusala nimetus]:[Tegevusala koondnimetus]],2,FALSE)</f>
        <v>Sotsiaalne kaitse</v>
      </c>
      <c r="F1288" t="s">
        <v>444</v>
      </c>
      <c r="G1288" t="s">
        <v>2249</v>
      </c>
      <c r="H1288" s="40">
        <v>6971</v>
      </c>
      <c r="J1288">
        <v>4131</v>
      </c>
      <c r="K1288" s="3" t="str">
        <f>VLOOKUP(Table2[[#This Row],[Konto]],Table5[[Konto]:[Konto nimetus]],2,FALSE)</f>
        <v>Toimetulekutoetus ja täiendavad sotsiaaltoetused</v>
      </c>
      <c r="L1288">
        <v>413</v>
      </c>
      <c r="M1288" t="str">
        <f>LEFT(J1288,2)</f>
        <v>41</v>
      </c>
      <c r="N1288" s="3" t="str">
        <f>VLOOKUP(Table2[[#This Row],[Tulu/kulu liik2]],Table5[[Tulu/kulu liik]:[Kontode koondnimetus]],4,FALSE)</f>
        <v>Antavad toetused tegevuskuludeks</v>
      </c>
      <c r="O1288" s="34" t="str">
        <f>VLOOKUP(Table2[[#This Row],[Tulu/kulu liik2]],Table5[],6,FALSE)</f>
        <v>Sotsiaalabitoetused ja muud toetused füüsilistele isikutele</v>
      </c>
      <c r="P1288" s="3" t="str">
        <f>VLOOKUP(Table2[[#This Row],[Tulu/kulu liik2]],Table5[],5,FALSE)</f>
        <v>Põhitegevuse kulu</v>
      </c>
    </row>
  </sheetData>
  <pageMargins left="0.7" right="0.7" top="0.75" bottom="0.75" header="0.3" footer="0.3"/>
  <pageSetup orientation="portrait" verticalDpi="3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B6" sqref="B6"/>
    </sheetView>
  </sheetViews>
  <sheetFormatPr defaultRowHeight="15" x14ac:dyDescent="0.25"/>
  <sheetData>
    <row r="1" spans="1:17" x14ac:dyDescent="0.25">
      <c r="A1" t="str">
        <f>Koond_kulud!A1</f>
        <v>Valdkond</v>
      </c>
      <c r="B1" t="str">
        <f>Koond_kulud!B1</f>
        <v>Tegevusala</v>
      </c>
      <c r="C1" t="str">
        <f>Koond_kulud!C1</f>
        <v>Tegevusala nimetus2</v>
      </c>
      <c r="D1" t="str">
        <f>Koond_kulud!D1</f>
        <v>Tegevusala alanimetus</v>
      </c>
      <c r="E1" t="str">
        <f>Koond_kulud!E1</f>
        <v>Tegevusala koondnimetus</v>
      </c>
      <c r="F1" t="str">
        <f>Koond_kulud!F1</f>
        <v>Eelarve eest vastutav</v>
      </c>
      <c r="G1" t="str">
        <f>Koond_kulud!G1</f>
        <v>Tegevuse kirjeldus</v>
      </c>
      <c r="H1" t="str">
        <f>Koond_kulud!H1</f>
        <v xml:space="preserve">2020. EA </v>
      </c>
      <c r="I1" t="str">
        <f>Koond_kulud!I1</f>
        <v>Märkused</v>
      </c>
      <c r="J1" t="str">
        <f>Koond_kulud!J1</f>
        <v>Konto</v>
      </c>
      <c r="K1" t="str">
        <f>Koond_kulud!K1</f>
        <v>Konto nimetus</v>
      </c>
      <c r="L1" t="str">
        <f>Koond_kulud!L1</f>
        <v>Tulu/kulu liik2</v>
      </c>
      <c r="M1" t="str">
        <f>Koond_kulud!M1</f>
        <v>Konto grupp</v>
      </c>
      <c r="N1" t="str">
        <f>Koond_kulud!N1</f>
        <v>Kontode koondnimetus</v>
      </c>
      <c r="O1" t="str">
        <f>Koond_kulud!O1</f>
        <v>Kontode alanimetus</v>
      </c>
      <c r="P1" t="str">
        <f>Koond_kulud!P1</f>
        <v>Tulu/kulu liigi grupp</v>
      </c>
      <c r="Q1" t="str">
        <f>Koond_kulud!Q1</f>
        <v>Lisaeelarve / €</v>
      </c>
    </row>
    <row r="2" spans="1:17" x14ac:dyDescent="0.25">
      <c r="A2" t="str">
        <f>Koond_kulud!A66</f>
        <v>01</v>
      </c>
      <c r="B2" t="str">
        <f>Koond_kulud!B66</f>
        <v xml:space="preserve">01112           </v>
      </c>
      <c r="C2" t="str">
        <f>Koond_kulud!C66</f>
        <v xml:space="preserve"> Valla- ja linnavalitsus</v>
      </c>
      <c r="D2" t="str">
        <f>Koond_kulud!D66</f>
        <v>Valla- ja linnavalitsus</v>
      </c>
      <c r="E2" t="str">
        <f>Koond_kulud!E66</f>
        <v>Üldised valitsussektori teenused</v>
      </c>
      <c r="F2" t="str">
        <f>Koond_kulud!F66</f>
        <v>Ehitusnõunik</v>
      </c>
      <c r="G2" t="str">
        <f>Koond_kulud!G66</f>
        <v>Vallamaja küttesüsteem</v>
      </c>
      <c r="H2">
        <f>Koond_kulud!H66</f>
        <v>10000</v>
      </c>
      <c r="I2">
        <f>Koond_kulud!I66</f>
        <v>0</v>
      </c>
      <c r="J2">
        <f>Koond_kulud!J66</f>
        <v>1551</v>
      </c>
      <c r="K2" t="str">
        <f>Koond_kulud!K66</f>
        <v>Rajatiste ja hoonete soetamine ja renoveerimine</v>
      </c>
      <c r="L2">
        <f>Koond_kulud!L66</f>
        <v>15</v>
      </c>
      <c r="M2" t="str">
        <f>Koond_kulud!M66</f>
        <v>15</v>
      </c>
      <c r="N2" t="str">
        <f>Koond_kulud!N66</f>
        <v>Põhivara soetus (-)</v>
      </c>
      <c r="O2" t="str">
        <f>Koond_kulud!O66</f>
        <v>Põhivara soetus (-)</v>
      </c>
      <c r="P2" t="str">
        <f>Koond_kulud!P66</f>
        <v>Investeerimistegevus</v>
      </c>
      <c r="Q2">
        <f>Koond_kulud!Q66</f>
        <v>0</v>
      </c>
    </row>
    <row r="3" spans="1:17" x14ac:dyDescent="0.25">
      <c r="A3" t="str">
        <f>Koond_kulud!A67</f>
        <v>01</v>
      </c>
      <c r="B3" t="str">
        <f>Koond_kulud!B67</f>
        <v xml:space="preserve">01112           </v>
      </c>
      <c r="C3" t="str">
        <f>Koond_kulud!C67</f>
        <v xml:space="preserve"> Valla- ja linnavalitsus</v>
      </c>
      <c r="D3" t="str">
        <f>Koond_kulud!D67</f>
        <v>Valla- ja linnavalitsus</v>
      </c>
      <c r="E3" t="str">
        <f>Koond_kulud!E67</f>
        <v>Üldised valitsussektori teenused</v>
      </c>
      <c r="F3" t="str">
        <f>Koond_kulud!F67</f>
        <v>Ehitusnõunik</v>
      </c>
      <c r="G3" t="str">
        <f>Koond_kulud!G67</f>
        <v>Vinni-Pajusti avaliku ruumi arendamine (Kirjandustammik, vaateplatvorm, VPG ala)</v>
      </c>
      <c r="H3">
        <f>Koond_kulud!H67</f>
        <v>25000</v>
      </c>
      <c r="I3">
        <f>Koond_kulud!I67</f>
        <v>0</v>
      </c>
      <c r="J3">
        <f>Koond_kulud!J67</f>
        <v>1551</v>
      </c>
      <c r="K3" t="str">
        <f>Koond_kulud!K67</f>
        <v>Rajatiste ja hoonete soetamine ja renoveerimine</v>
      </c>
      <c r="L3">
        <f>Koond_kulud!L67</f>
        <v>15</v>
      </c>
      <c r="M3" t="str">
        <f>Koond_kulud!M67</f>
        <v>15</v>
      </c>
      <c r="N3" t="str">
        <f>Koond_kulud!N67</f>
        <v>Põhivara soetus (-)</v>
      </c>
      <c r="O3" t="str">
        <f>Koond_kulud!O67</f>
        <v>Põhivara soetus (-)</v>
      </c>
      <c r="P3" t="str">
        <f>Koond_kulud!P67</f>
        <v>Investeerimistegevus</v>
      </c>
      <c r="Q3">
        <f>Koond_kulud!Q67</f>
        <v>0</v>
      </c>
    </row>
    <row r="4" spans="1:17" x14ac:dyDescent="0.25">
      <c r="A4" t="str">
        <f>Koond_kulud!A68</f>
        <v>01</v>
      </c>
      <c r="B4" t="str">
        <f>Koond_kulud!B68</f>
        <v xml:space="preserve">01112           </v>
      </c>
      <c r="C4" t="str">
        <f>Koond_kulud!C68</f>
        <v xml:space="preserve"> Valla- ja linnavalitsus</v>
      </c>
      <c r="D4" t="str">
        <f>Koond_kulud!D68</f>
        <v>Valla- ja linnavalitsus</v>
      </c>
      <c r="E4" t="str">
        <f>Koond_kulud!E68</f>
        <v>Üldised valitsussektori teenused</v>
      </c>
      <c r="F4" t="str">
        <f>Koond_kulud!F68</f>
        <v>Vallavalitsus</v>
      </c>
      <c r="G4" t="str">
        <f>Koond_kulud!G68</f>
        <v>Avalike mänguväljakute ja sportimispaikade rajamine</v>
      </c>
      <c r="H4">
        <f>Koond_kulud!H68</f>
        <v>30000</v>
      </c>
      <c r="I4">
        <f>Koond_kulud!I68</f>
        <v>0</v>
      </c>
      <c r="J4">
        <f>Koond_kulud!J68</f>
        <v>1551</v>
      </c>
      <c r="K4" t="str">
        <f>Koond_kulud!K68</f>
        <v>Rajatiste ja hoonete soetamine ja renoveerimine</v>
      </c>
      <c r="L4">
        <f>Koond_kulud!L68</f>
        <v>15</v>
      </c>
      <c r="M4" t="str">
        <f>Koond_kulud!M68</f>
        <v>15</v>
      </c>
      <c r="N4" t="str">
        <f>Koond_kulud!N68</f>
        <v>Põhivara soetus (-)</v>
      </c>
      <c r="O4" t="str">
        <f>Koond_kulud!O68</f>
        <v>Põhivara soetus (-)</v>
      </c>
      <c r="P4" t="str">
        <f>Koond_kulud!P68</f>
        <v>Investeerimistegevus</v>
      </c>
      <c r="Q4">
        <f>Koond_kulud!Q68</f>
        <v>0</v>
      </c>
    </row>
    <row r="5" spans="1:17" x14ac:dyDescent="0.25">
      <c r="A5" t="str">
        <f>Koond_kulud!A77</f>
        <v>01</v>
      </c>
      <c r="B5" t="str">
        <f>Koond_kulud!B77</f>
        <v xml:space="preserve">01114           </v>
      </c>
      <c r="C5" t="str">
        <f>Koond_kulud!C77</f>
        <v xml:space="preserve"> Kohaliku omavalitsuse üksuse reservfond</v>
      </c>
      <c r="D5" t="str">
        <f>Koond_kulud!D77</f>
        <v>Kohaliku omavalitsuse üksuse reservfond</v>
      </c>
      <c r="E5" t="str">
        <f>Koond_kulud!E77</f>
        <v>Üldised valitsussektori teenused</v>
      </c>
      <c r="F5" t="str">
        <f>Koond_kulud!F77</f>
        <v>Vallavanem</v>
      </c>
      <c r="G5" t="str">
        <f>Koond_kulud!G77</f>
        <v>Kaasav eelarve</v>
      </c>
      <c r="H5">
        <f>Koond_kulud!H77</f>
        <v>25000</v>
      </c>
      <c r="I5">
        <f>Koond_kulud!I77</f>
        <v>0</v>
      </c>
      <c r="J5">
        <f>Koond_kulud!J77</f>
        <v>1551</v>
      </c>
      <c r="K5" t="str">
        <f>Koond_kulud!K77</f>
        <v>Rajatiste ja hoonete soetamine ja renoveerimine</v>
      </c>
      <c r="L5">
        <f>Koond_kulud!L77</f>
        <v>15</v>
      </c>
      <c r="M5" t="str">
        <f>Koond_kulud!M77</f>
        <v>15</v>
      </c>
      <c r="N5" t="str">
        <f>Koond_kulud!N77</f>
        <v>Põhivara soetus (-)</v>
      </c>
      <c r="O5" t="str">
        <f>Koond_kulud!O77</f>
        <v>Põhivara soetus (-)</v>
      </c>
      <c r="P5" t="str">
        <f>Koond_kulud!P77</f>
        <v>Investeerimistegevus</v>
      </c>
      <c r="Q5">
        <f>Koond_kulud!Q77</f>
        <v>0</v>
      </c>
    </row>
    <row r="6" spans="1:17" x14ac:dyDescent="0.25">
      <c r="A6" t="str">
        <f>Koond_kulud!A95</f>
        <v>04</v>
      </c>
      <c r="B6" t="str">
        <f>Koond_kulud!B95</f>
        <v xml:space="preserve">04510           </v>
      </c>
      <c r="C6" t="str">
        <f>Koond_kulud!C95</f>
        <v>Maanteetransport</v>
      </c>
      <c r="D6" t="str">
        <f>Koond_kulud!D95</f>
        <v>Maanteetransport</v>
      </c>
      <c r="E6" t="str">
        <f>Koond_kulud!E95</f>
        <v>Majandus</v>
      </c>
      <c r="F6" t="str">
        <f>Koond_kulud!F95</f>
        <v>Teede- ja ühistranspordinõunik</v>
      </c>
      <c r="G6" t="str">
        <f>Koond_kulud!G95</f>
        <v>Ettevõtlust/turismi toetava taristu arendamine, sh kiire internetiühenduse leviku toetamine valla territooriumil</v>
      </c>
      <c r="H6">
        <f>Koond_kulud!H95</f>
        <v>10000</v>
      </c>
      <c r="I6">
        <f>Koond_kulud!I95</f>
        <v>0</v>
      </c>
      <c r="J6">
        <f>Koond_kulud!J95</f>
        <v>1551</v>
      </c>
      <c r="K6" t="str">
        <f>Koond_kulud!K95</f>
        <v>Rajatiste ja hoonete soetamine ja renoveerimine</v>
      </c>
      <c r="L6">
        <f>Koond_kulud!L95</f>
        <v>15</v>
      </c>
      <c r="M6" t="str">
        <f>Koond_kulud!M95</f>
        <v>15</v>
      </c>
      <c r="N6" t="str">
        <f>Koond_kulud!N95</f>
        <v>Põhivara soetus (-)</v>
      </c>
      <c r="O6" t="str">
        <f>Koond_kulud!O95</f>
        <v>Põhivara soetus (-)</v>
      </c>
      <c r="P6" t="str">
        <f>Koond_kulud!P95</f>
        <v>Investeerimistegevus</v>
      </c>
      <c r="Q6">
        <f>Koond_kulud!Q95</f>
        <v>0</v>
      </c>
    </row>
    <row r="7" spans="1:17" x14ac:dyDescent="0.25">
      <c r="A7" t="str">
        <f>Koond_kulud!A130</f>
        <v>06</v>
      </c>
      <c r="B7" t="str">
        <f>Koond_kulud!B130</f>
        <v xml:space="preserve">06300           </v>
      </c>
      <c r="C7" t="str">
        <f>Koond_kulud!C130</f>
        <v>Veevarustus</v>
      </c>
      <c r="D7" t="str">
        <f>Koond_kulud!D130</f>
        <v>Veevarustus</v>
      </c>
      <c r="E7" t="str">
        <f>Koond_kulud!E130</f>
        <v>Elamu- ja kommunaalmajandus</v>
      </c>
      <c r="F7" t="str">
        <f>Koond_kulud!F130</f>
        <v>Ehitusnõunik</v>
      </c>
      <c r="G7" t="str">
        <f>Koond_kulud!G130</f>
        <v>Alevike kanalisatsioon</v>
      </c>
      <c r="H7">
        <f>Koond_kulud!H130</f>
        <v>68000</v>
      </c>
      <c r="I7">
        <f>Koond_kulud!I130</f>
        <v>0</v>
      </c>
      <c r="J7">
        <f>Koond_kulud!J130</f>
        <v>1551</v>
      </c>
      <c r="K7" t="str">
        <f>Koond_kulud!K130</f>
        <v>Rajatiste ja hoonete soetamine ja renoveerimine</v>
      </c>
      <c r="L7">
        <f>Koond_kulud!L130</f>
        <v>15</v>
      </c>
      <c r="M7" t="str">
        <f>Koond_kulud!M130</f>
        <v>15</v>
      </c>
      <c r="N7" t="str">
        <f>Koond_kulud!N130</f>
        <v>Põhivara soetus (-)</v>
      </c>
      <c r="O7" t="str">
        <f>Koond_kulud!O130</f>
        <v>Põhivara soetus (-)</v>
      </c>
      <c r="P7" t="str">
        <f>Koond_kulud!P130</f>
        <v>Investeerimistegevus</v>
      </c>
      <c r="Q7">
        <f>Koond_kulud!Q130</f>
        <v>0</v>
      </c>
    </row>
    <row r="8" spans="1:17" x14ac:dyDescent="0.25">
      <c r="A8" t="str">
        <f>Koond_kulud!A131</f>
        <v>06</v>
      </c>
      <c r="B8" t="str">
        <f>Koond_kulud!B131</f>
        <v xml:space="preserve">06300           </v>
      </c>
      <c r="C8" t="str">
        <f>Koond_kulud!C131</f>
        <v>Veevarustus</v>
      </c>
      <c r="D8" t="str">
        <f>Koond_kulud!D131</f>
        <v>Veevarustus</v>
      </c>
      <c r="E8" t="str">
        <f>Koond_kulud!E131</f>
        <v>Elamu- ja kommunaalmajandus</v>
      </c>
      <c r="F8" t="str">
        <f>Koond_kulud!F131</f>
        <v>Arendusnõunik</v>
      </c>
      <c r="G8" t="str">
        <f>Koond_kulud!G131</f>
        <v>ÜVK arendamise kava investeeringute kaasrahastamine</v>
      </c>
      <c r="H8">
        <f>Koond_kulud!H131</f>
        <v>200000</v>
      </c>
      <c r="I8">
        <f>Koond_kulud!I131</f>
        <v>0</v>
      </c>
      <c r="J8">
        <f>Koond_kulud!J131</f>
        <v>1551</v>
      </c>
      <c r="K8" t="str">
        <f>Koond_kulud!K131</f>
        <v>Rajatiste ja hoonete soetamine ja renoveerimine</v>
      </c>
      <c r="L8">
        <f>Koond_kulud!L131</f>
        <v>15</v>
      </c>
      <c r="M8" t="str">
        <f>Koond_kulud!M131</f>
        <v>15</v>
      </c>
      <c r="N8" t="str">
        <f>Koond_kulud!N131</f>
        <v>Põhivara soetus (-)</v>
      </c>
      <c r="O8" t="str">
        <f>Koond_kulud!O131</f>
        <v>Põhivara soetus (-)</v>
      </c>
      <c r="P8" t="str">
        <f>Koond_kulud!P131</f>
        <v>Investeerimistegevus</v>
      </c>
      <c r="Q8">
        <f>Koond_kulud!Q131</f>
        <v>0</v>
      </c>
    </row>
    <row r="9" spans="1:17" x14ac:dyDescent="0.25">
      <c r="A9" t="str">
        <f>Koond_kulud!A133</f>
        <v>06</v>
      </c>
      <c r="B9" t="str">
        <f>Koond_kulud!B133</f>
        <v xml:space="preserve">06400           </v>
      </c>
      <c r="C9" t="str">
        <f>Koond_kulud!C133</f>
        <v>Tänavavalgustus</v>
      </c>
      <c r="D9" t="str">
        <f>Koond_kulud!D133</f>
        <v>Tänavavalgustus</v>
      </c>
      <c r="E9" t="str">
        <f>Koond_kulud!E133</f>
        <v>Elamu- ja kommunaalmajandus</v>
      </c>
      <c r="F9" t="str">
        <f>Koond_kulud!F133</f>
        <v>Ehitusnõunik</v>
      </c>
      <c r="G9" t="str">
        <f>Koond_kulud!G133</f>
        <v>Tänavalgustuse rekonstrueerimine</v>
      </c>
      <c r="H9">
        <f>Koond_kulud!H133</f>
        <v>230000</v>
      </c>
      <c r="I9">
        <f>Koond_kulud!I133</f>
        <v>0</v>
      </c>
      <c r="J9">
        <f>Koond_kulud!J133</f>
        <v>1551</v>
      </c>
      <c r="K9" t="str">
        <f>Koond_kulud!K133</f>
        <v>Rajatiste ja hoonete soetamine ja renoveerimine</v>
      </c>
      <c r="L9">
        <f>Koond_kulud!L133</f>
        <v>15</v>
      </c>
      <c r="M9" t="str">
        <f>Koond_kulud!M133</f>
        <v>15</v>
      </c>
      <c r="N9" t="str">
        <f>Koond_kulud!N133</f>
        <v>Põhivara soetus (-)</v>
      </c>
      <c r="O9" t="str">
        <f>Koond_kulud!O133</f>
        <v>Põhivara soetus (-)</v>
      </c>
      <c r="P9" t="str">
        <f>Koond_kulud!P133</f>
        <v>Investeerimistegevus</v>
      </c>
      <c r="Q9">
        <f>Koond_kulud!Q133</f>
        <v>0</v>
      </c>
    </row>
    <row r="10" spans="1:17" x14ac:dyDescent="0.25">
      <c r="A10" t="str">
        <f>Koond_kulud!A134</f>
        <v>06</v>
      </c>
      <c r="B10" t="str">
        <f>Koond_kulud!B134</f>
        <v xml:space="preserve">06400           </v>
      </c>
      <c r="C10" t="str">
        <f>Koond_kulud!C134</f>
        <v>Tänavavalgustus</v>
      </c>
      <c r="D10" t="str">
        <f>Koond_kulud!D134</f>
        <v>Tänavavalgustus</v>
      </c>
      <c r="E10" t="str">
        <f>Koond_kulud!E134</f>
        <v>Elamu- ja kommunaalmajandus</v>
      </c>
      <c r="F10" t="str">
        <f>Koond_kulud!F134</f>
        <v>Ehitusnõunik</v>
      </c>
      <c r="G10" t="str">
        <f>Koond_kulud!G134</f>
        <v>Tänavalgustuse rekonstrueerimine</v>
      </c>
      <c r="H10">
        <f>Koond_kulud!H134</f>
        <v>470000</v>
      </c>
      <c r="I10" t="str">
        <f>Koond_kulud!I134</f>
        <v>Ühtekuuluvusfond</v>
      </c>
      <c r="J10">
        <f>Koond_kulud!J134</f>
        <v>1551</v>
      </c>
      <c r="K10" t="str">
        <f>Koond_kulud!K134</f>
        <v>Rajatiste ja hoonete soetamine ja renoveerimine</v>
      </c>
      <c r="L10">
        <f>Koond_kulud!L134</f>
        <v>15</v>
      </c>
      <c r="M10" t="str">
        <f>Koond_kulud!M134</f>
        <v>15</v>
      </c>
      <c r="N10" t="str">
        <f>Koond_kulud!N134</f>
        <v>Põhivara soetus (-)</v>
      </c>
      <c r="O10" t="str">
        <f>Koond_kulud!O134</f>
        <v>Põhivara soetus (-)</v>
      </c>
      <c r="P10" t="str">
        <f>Koond_kulud!P134</f>
        <v>Investeerimistegevus</v>
      </c>
      <c r="Q10">
        <f>Koond_kulud!Q134</f>
        <v>0</v>
      </c>
    </row>
    <row r="11" spans="1:17" x14ac:dyDescent="0.25">
      <c r="A11" t="str">
        <f>Koond_kulud!A180</f>
        <v>06</v>
      </c>
      <c r="B11" t="str">
        <f>Koond_kulud!B180</f>
        <v xml:space="preserve">0660501         </v>
      </c>
      <c r="C11" t="str">
        <f>Koond_kulud!C180</f>
        <v>Laekvere teeninduspiirkond</v>
      </c>
      <c r="D11" t="str">
        <f>Koond_kulud!D180</f>
        <v>Muu elamu- ja kommunaalmajanduse tegevus</v>
      </c>
      <c r="E11" t="str">
        <f>Koond_kulud!E180</f>
        <v>Elamu- ja kommunaalmajandus</v>
      </c>
      <c r="F11" t="str">
        <f>Koond_kulud!F180</f>
        <v>Laekvere piirkond</v>
      </c>
      <c r="G11" t="str">
        <f>Koond_kulud!G180</f>
        <v>Laekvere kompostimisväljaku rajamine</v>
      </c>
      <c r="H11">
        <f>Koond_kulud!H180</f>
        <v>5000</v>
      </c>
      <c r="I11" t="str">
        <f>Koond_kulud!I180</f>
        <v>maa soetus</v>
      </c>
      <c r="J11">
        <f>Koond_kulud!J180</f>
        <v>1550</v>
      </c>
      <c r="K11" t="str">
        <f>Koond_kulud!K180</f>
        <v>Maa soetamine</v>
      </c>
      <c r="L11">
        <f>Koond_kulud!L180</f>
        <v>15</v>
      </c>
      <c r="M11" t="str">
        <f>Koond_kulud!M180</f>
        <v>15</v>
      </c>
      <c r="N11" t="str">
        <f>Koond_kulud!N180</f>
        <v>Põhivara soetus (-)</v>
      </c>
      <c r="O11" t="str">
        <f>Koond_kulud!O180</f>
        <v>Põhivara soetus (-)</v>
      </c>
      <c r="P11" t="str">
        <f>Koond_kulud!P180</f>
        <v>Investeerimistegevus</v>
      </c>
      <c r="Q11">
        <f>Koond_kulud!Q180</f>
        <v>0</v>
      </c>
    </row>
    <row r="12" spans="1:17" x14ac:dyDescent="0.25">
      <c r="A12" t="str">
        <f>Koond_kulud!A355</f>
        <v>08</v>
      </c>
      <c r="B12" t="str">
        <f>Koond_kulud!B355</f>
        <v xml:space="preserve">0810905         </v>
      </c>
      <c r="C12" t="str">
        <f>Koond_kulud!C355</f>
        <v xml:space="preserve"> Kergliiklusteed</v>
      </c>
      <c r="D12" t="str">
        <f>Koond_kulud!D355</f>
        <v>Vaba aja üritused</v>
      </c>
      <c r="E12" t="str">
        <f>Koond_kulud!E355</f>
        <v>Vabaaeg, kultuur ja religioon</v>
      </c>
      <c r="F12" t="str">
        <f>Koond_kulud!F355</f>
        <v>Ehitusnõunik</v>
      </c>
      <c r="G12" t="str">
        <f>Koond_kulud!G355</f>
        <v>Laekvere kergliiklustee</v>
      </c>
      <c r="H12">
        <f>Koond_kulud!H355</f>
        <v>25000</v>
      </c>
      <c r="I12">
        <f>Koond_kulud!I355</f>
        <v>0</v>
      </c>
      <c r="J12">
        <f>Koond_kulud!J355</f>
        <v>1551</v>
      </c>
      <c r="K12" t="str">
        <f>Koond_kulud!K355</f>
        <v>Rajatiste ja hoonete soetamine ja renoveerimine</v>
      </c>
      <c r="L12">
        <f>Koond_kulud!L355</f>
        <v>15</v>
      </c>
      <c r="M12" t="str">
        <f>Koond_kulud!M355</f>
        <v>15</v>
      </c>
      <c r="N12" t="str">
        <f>Koond_kulud!N355</f>
        <v>Põhivara soetus (-)</v>
      </c>
      <c r="O12" t="str">
        <f>Koond_kulud!O355</f>
        <v>Põhivara soetus (-)</v>
      </c>
      <c r="P12" t="str">
        <f>Koond_kulud!P355</f>
        <v>Investeerimistegevus</v>
      </c>
      <c r="Q12">
        <f>Koond_kulud!Q355</f>
        <v>0</v>
      </c>
    </row>
    <row r="13" spans="1:17" x14ac:dyDescent="0.25">
      <c r="A13" t="str">
        <f>Koond_kulud!A356</f>
        <v>08</v>
      </c>
      <c r="B13" t="str">
        <f>Koond_kulud!B356</f>
        <v xml:space="preserve">0810905         </v>
      </c>
      <c r="C13" t="str">
        <f>Koond_kulud!C356</f>
        <v xml:space="preserve"> Kergliiklusteed</v>
      </c>
      <c r="D13" t="str">
        <f>Koond_kulud!D356</f>
        <v>Vaba aja üritused</v>
      </c>
      <c r="E13" t="str">
        <f>Koond_kulud!E356</f>
        <v>Vabaaeg, kultuur ja religioon</v>
      </c>
      <c r="F13" t="str">
        <f>Koond_kulud!F356</f>
        <v>Ehitusnõunik</v>
      </c>
      <c r="G13" t="str">
        <f>Koond_kulud!G356</f>
        <v>Viru-Jaagupi – Kannastiku kergliiklustee</v>
      </c>
      <c r="H13">
        <f>Koond_kulud!H356</f>
        <v>250000</v>
      </c>
      <c r="I13">
        <f>Koond_kulud!I356</f>
        <v>0</v>
      </c>
      <c r="J13">
        <f>Koond_kulud!J356</f>
        <v>1551</v>
      </c>
      <c r="K13" t="str">
        <f>Koond_kulud!K356</f>
        <v>Rajatiste ja hoonete soetamine ja renoveerimine</v>
      </c>
      <c r="L13">
        <f>Koond_kulud!L356</f>
        <v>15</v>
      </c>
      <c r="M13" t="str">
        <f>Koond_kulud!M356</f>
        <v>15</v>
      </c>
      <c r="N13" t="str">
        <f>Koond_kulud!N356</f>
        <v>Põhivara soetus (-)</v>
      </c>
      <c r="O13" t="str">
        <f>Koond_kulud!O356</f>
        <v>Põhivara soetus (-)</v>
      </c>
      <c r="P13" t="str">
        <f>Koond_kulud!P356</f>
        <v>Investeerimistegevus</v>
      </c>
      <c r="Q13">
        <f>Koond_kulud!Q356</f>
        <v>0</v>
      </c>
    </row>
    <row r="14" spans="1:17" x14ac:dyDescent="0.25">
      <c r="A14" t="str">
        <f>Koond_kulud!A387</f>
        <v>08</v>
      </c>
      <c r="B14" t="str">
        <f>Koond_kulud!B387</f>
        <v xml:space="preserve">0820102         </v>
      </c>
      <c r="C14" t="str">
        <f>Koond_kulud!C387</f>
        <v>Viru-Jaagupi Rahvaraamatukogu</v>
      </c>
      <c r="D14" t="str">
        <f>Koond_kulud!D387</f>
        <v>Raamatukogud</v>
      </c>
      <c r="E14" t="str">
        <f>Koond_kulud!E387</f>
        <v>Vabaaeg, kultuur ja religioon</v>
      </c>
      <c r="F14" t="str">
        <f>Koond_kulud!F387</f>
        <v>Ehitusnõunik</v>
      </c>
      <c r="G14" t="str">
        <f>Koond_kulud!G387</f>
        <v>Viru-Jaagupi rahvaraamatukogu küttesüsteemi üleviimine pelletküttele</v>
      </c>
      <c r="H14">
        <f>Koond_kulud!H387</f>
        <v>130000</v>
      </c>
      <c r="I14">
        <f>Koond_kulud!I387</f>
        <v>0</v>
      </c>
      <c r="J14">
        <f>Koond_kulud!J387</f>
        <v>1551</v>
      </c>
      <c r="K14" t="str">
        <f>Koond_kulud!K387</f>
        <v>Rajatiste ja hoonete soetamine ja renoveerimine</v>
      </c>
      <c r="L14">
        <f>Koond_kulud!L387</f>
        <v>15</v>
      </c>
      <c r="M14" t="str">
        <f>Koond_kulud!M387</f>
        <v>15</v>
      </c>
      <c r="N14" t="str">
        <f>Koond_kulud!N387</f>
        <v>Põhivara soetus (-)</v>
      </c>
      <c r="O14" t="str">
        <f>Koond_kulud!O387</f>
        <v>Põhivara soetus (-)</v>
      </c>
      <c r="P14" t="str">
        <f>Koond_kulud!P387</f>
        <v>Investeerimistegevus</v>
      </c>
      <c r="Q14">
        <f>Koond_kulud!Q387</f>
        <v>0</v>
      </c>
    </row>
    <row r="15" spans="1:17" x14ac:dyDescent="0.25">
      <c r="A15" t="str">
        <f>Koond_kulud!A474</f>
        <v>08</v>
      </c>
      <c r="B15" t="str">
        <f>Koond_kulud!B474</f>
        <v xml:space="preserve">0820202         </v>
      </c>
      <c r="C15" t="str">
        <f>Koond_kulud!C474</f>
        <v xml:space="preserve"> Pajusti klubi</v>
      </c>
      <c r="D15" t="str">
        <f>Koond_kulud!D474</f>
        <v>Rahvakultuur</v>
      </c>
      <c r="E15" t="str">
        <f>Koond_kulud!E474</f>
        <v>Vabaaeg, kultuur ja religioon</v>
      </c>
      <c r="F15" t="str">
        <f>Koond_kulud!F474</f>
        <v>Ehitusnõunik</v>
      </c>
      <c r="G15" t="str">
        <f>Koond_kulud!G474</f>
        <v>Pajusti klubi katus</v>
      </c>
      <c r="H15">
        <f>Koond_kulud!H474</f>
        <v>40000</v>
      </c>
      <c r="I15">
        <f>Koond_kulud!I474</f>
        <v>0</v>
      </c>
      <c r="J15">
        <f>Koond_kulud!J474</f>
        <v>1551</v>
      </c>
      <c r="K15" t="str">
        <f>Koond_kulud!K474</f>
        <v>Rajatiste ja hoonete soetamine ja renoveerimine</v>
      </c>
      <c r="L15">
        <f>Koond_kulud!L474</f>
        <v>15</v>
      </c>
      <c r="M15" t="str">
        <f>Koond_kulud!M474</f>
        <v>15</v>
      </c>
      <c r="N15" t="str">
        <f>Koond_kulud!N474</f>
        <v>Põhivara soetus (-)</v>
      </c>
      <c r="O15" t="str">
        <f>Koond_kulud!O474</f>
        <v>Põhivara soetus (-)</v>
      </c>
      <c r="P15" t="str">
        <f>Koond_kulud!P474</f>
        <v>Investeerimistegevus</v>
      </c>
      <c r="Q15">
        <f>Koond_kulud!Q474</f>
        <v>0</v>
      </c>
    </row>
    <row r="16" spans="1:17" x14ac:dyDescent="0.25">
      <c r="A16" t="str">
        <f>Koond_kulud!A523</f>
        <v>08</v>
      </c>
      <c r="B16" t="str">
        <f>Koond_kulud!B523</f>
        <v xml:space="preserve">0820205         </v>
      </c>
      <c r="C16" t="str">
        <f>Koond_kulud!C523</f>
        <v>Laekvere Rahvamaja</v>
      </c>
      <c r="D16" t="str">
        <f>Koond_kulud!D523</f>
        <v>Rahvakultuur</v>
      </c>
      <c r="E16" t="str">
        <f>Koond_kulud!E523</f>
        <v>Vabaaeg, kultuur ja religioon</v>
      </c>
      <c r="F16" t="str">
        <f>Koond_kulud!F523</f>
        <v>Ehitusnõunik</v>
      </c>
      <c r="G16" t="str">
        <f>Koond_kulud!G523</f>
        <v>Laekvere Rahvamaja keldrisse lasketiiru rajamine</v>
      </c>
      <c r="H16">
        <f>Koond_kulud!H523</f>
        <v>64820</v>
      </c>
      <c r="I16">
        <f>Koond_kulud!I523</f>
        <v>0</v>
      </c>
      <c r="J16">
        <f>Koond_kulud!J523</f>
        <v>1551</v>
      </c>
      <c r="K16" t="str">
        <f>Koond_kulud!K523</f>
        <v>Rajatiste ja hoonete soetamine ja renoveerimine</v>
      </c>
      <c r="L16">
        <f>Koond_kulud!L523</f>
        <v>15</v>
      </c>
      <c r="M16" t="str">
        <f>Koond_kulud!M523</f>
        <v>15</v>
      </c>
      <c r="N16" t="str">
        <f>Koond_kulud!N523</f>
        <v>Põhivara soetus (-)</v>
      </c>
      <c r="O16" t="str">
        <f>Koond_kulud!O523</f>
        <v>Põhivara soetus (-)</v>
      </c>
      <c r="P16" t="str">
        <f>Koond_kulud!P523</f>
        <v>Investeerimistegevus</v>
      </c>
      <c r="Q16">
        <f>Koond_kulud!Q523</f>
        <v>0</v>
      </c>
    </row>
    <row r="17" spans="1:17" x14ac:dyDescent="0.25">
      <c r="A17" t="str">
        <f>Koond_kulud!A524</f>
        <v>08</v>
      </c>
      <c r="B17" t="str">
        <f>Koond_kulud!B524</f>
        <v xml:space="preserve">0820205         </v>
      </c>
      <c r="C17" t="str">
        <f>Koond_kulud!C524</f>
        <v>Laekvere Rahvamaja</v>
      </c>
      <c r="D17" t="str">
        <f>Koond_kulud!D524</f>
        <v>Rahvakultuur</v>
      </c>
      <c r="E17" t="str">
        <f>Koond_kulud!E524</f>
        <v>Vabaaeg, kultuur ja religioon</v>
      </c>
      <c r="F17" t="str">
        <f>Koond_kulud!F524</f>
        <v>Ehitusnõunik</v>
      </c>
      <c r="G17" t="str">
        <f>Koond_kulud!G524</f>
        <v>Laekvere Rahvamaja, soojustuse projekteerimine ja noortetoa ventilatsioon</v>
      </c>
      <c r="H17">
        <f>Koond_kulud!H524</f>
        <v>32000</v>
      </c>
      <c r="I17">
        <f>Koond_kulud!I524</f>
        <v>0</v>
      </c>
      <c r="J17">
        <f>Koond_kulud!J524</f>
        <v>1551</v>
      </c>
      <c r="K17" t="str">
        <f>Koond_kulud!K524</f>
        <v>Rajatiste ja hoonete soetamine ja renoveerimine</v>
      </c>
      <c r="L17">
        <f>Koond_kulud!L524</f>
        <v>15</v>
      </c>
      <c r="M17" t="str">
        <f>Koond_kulud!M524</f>
        <v>15</v>
      </c>
      <c r="N17" t="str">
        <f>Koond_kulud!N524</f>
        <v>Põhivara soetus (-)</v>
      </c>
      <c r="O17" t="str">
        <f>Koond_kulud!O524</f>
        <v>Põhivara soetus (-)</v>
      </c>
      <c r="P17" t="str">
        <f>Koond_kulud!P524</f>
        <v>Investeerimistegevus</v>
      </c>
      <c r="Q17">
        <f>Koond_kulud!Q524</f>
        <v>0</v>
      </c>
    </row>
    <row r="18" spans="1:17" x14ac:dyDescent="0.25">
      <c r="A18" t="str">
        <f>Koond_kulud!A526</f>
        <v>08</v>
      </c>
      <c r="B18" t="str">
        <f>Koond_kulud!B526</f>
        <v xml:space="preserve">0820205         </v>
      </c>
      <c r="C18" t="str">
        <f>Koond_kulud!C526</f>
        <v>Laekvere Rahvamaja</v>
      </c>
      <c r="D18" t="str">
        <f>Koond_kulud!D526</f>
        <v>Rahvakultuur</v>
      </c>
      <c r="E18" t="str">
        <f>Koond_kulud!E526</f>
        <v>Vabaaeg, kultuur ja religioon</v>
      </c>
      <c r="F18" t="str">
        <f>Koond_kulud!F526</f>
        <v>Ehitusnõunik</v>
      </c>
      <c r="G18" t="str">
        <f>Koond_kulud!G526</f>
        <v>Laekvere Rahvamaja keldrisse lasketiiru rajamine</v>
      </c>
      <c r="H18">
        <f>Koond_kulud!H526</f>
        <v>20000</v>
      </c>
      <c r="I18" t="str">
        <f>Koond_kulud!I526</f>
        <v>PRIA toetus</v>
      </c>
      <c r="J18">
        <f>Koond_kulud!J526</f>
        <v>1551</v>
      </c>
      <c r="K18" t="str">
        <f>Koond_kulud!K526</f>
        <v>Rajatiste ja hoonete soetamine ja renoveerimine</v>
      </c>
      <c r="L18">
        <f>Koond_kulud!L526</f>
        <v>15</v>
      </c>
      <c r="M18" t="str">
        <f>Koond_kulud!M526</f>
        <v>15</v>
      </c>
      <c r="N18" t="str">
        <f>Koond_kulud!N526</f>
        <v>Põhivara soetus (-)</v>
      </c>
      <c r="O18" t="str">
        <f>Koond_kulud!O526</f>
        <v>Põhivara soetus (-)</v>
      </c>
      <c r="P18" t="str">
        <f>Koond_kulud!P526</f>
        <v>Investeerimistegevus</v>
      </c>
      <c r="Q18">
        <f>Koond_kulud!Q526</f>
        <v>0</v>
      </c>
    </row>
    <row r="19" spans="1:17" x14ac:dyDescent="0.25">
      <c r="A19" t="str">
        <f>Koond_kulud!A581</f>
        <v>08</v>
      </c>
      <c r="B19" t="str">
        <f>Koond_kulud!B581</f>
        <v xml:space="preserve">08600           </v>
      </c>
      <c r="C19" t="str">
        <f>Koond_kulud!C581</f>
        <v xml:space="preserve"> Muu vaba aeg, kultuur, religioon, sh haldus</v>
      </c>
      <c r="D19" t="str">
        <f>Koond_kulud!D581</f>
        <v>Muu vaba aeg, kultuur, religioon, sh haldus</v>
      </c>
      <c r="E19" t="str">
        <f>Koond_kulud!E581</f>
        <v>Vabaaeg, kultuur ja religioon</v>
      </c>
      <c r="F19" t="str">
        <f>Koond_kulud!F581</f>
        <v>Arendusnõunik</v>
      </c>
      <c r="G19" t="str">
        <f>Koond_kulud!G581</f>
        <v>Raudteepärandi projektis osalemine</v>
      </c>
      <c r="H19">
        <f>Koond_kulud!H581</f>
        <v>20000</v>
      </c>
      <c r="I19">
        <f>Koond_kulud!I581</f>
        <v>0</v>
      </c>
      <c r="J19">
        <f>Koond_kulud!J581</f>
        <v>1551</v>
      </c>
      <c r="K19" t="str">
        <f>Koond_kulud!K581</f>
        <v>Rajatiste ja hoonete soetamine ja renoveerimine</v>
      </c>
      <c r="L19">
        <f>Koond_kulud!L581</f>
        <v>15</v>
      </c>
      <c r="M19" t="str">
        <f>Koond_kulud!M581</f>
        <v>15</v>
      </c>
      <c r="N19" t="str">
        <f>Koond_kulud!N581</f>
        <v>Põhivara soetus (-)</v>
      </c>
      <c r="O19" t="str">
        <f>Koond_kulud!O581</f>
        <v>Põhivara soetus (-)</v>
      </c>
      <c r="P19" t="str">
        <f>Koond_kulud!P581</f>
        <v>Investeerimistegevus</v>
      </c>
      <c r="Q19">
        <f>Koond_kulud!Q581</f>
        <v>0</v>
      </c>
    </row>
    <row r="20" spans="1:17" x14ac:dyDescent="0.25">
      <c r="A20" t="str">
        <f>Koond_kulud!A640</f>
        <v>09</v>
      </c>
      <c r="B20" t="str">
        <f>Koond_kulud!B640</f>
        <v xml:space="preserve">0911002         </v>
      </c>
      <c r="C20" t="str">
        <f>Koond_kulud!C640</f>
        <v xml:space="preserve"> Pajusti Lasteaed</v>
      </c>
      <c r="D20" t="str">
        <f>Koond_kulud!D640</f>
        <v>Alusharidus</v>
      </c>
      <c r="E20" t="str">
        <f>Koond_kulud!E640</f>
        <v>Haridus</v>
      </c>
      <c r="F20" t="str">
        <f>Koond_kulud!F640</f>
        <v>Ehitusnõunik</v>
      </c>
      <c r="G20" t="str">
        <f>Koond_kulud!G640</f>
        <v>Pajusti Lasteaia rühmaruumide remont</v>
      </c>
      <c r="H20">
        <f>Koond_kulud!H640</f>
        <v>80000</v>
      </c>
      <c r="I20">
        <f>Koond_kulud!I640</f>
        <v>0</v>
      </c>
      <c r="J20">
        <f>Koond_kulud!J640</f>
        <v>1551</v>
      </c>
      <c r="K20" t="str">
        <f>Koond_kulud!K640</f>
        <v>Rajatiste ja hoonete soetamine ja renoveerimine</v>
      </c>
      <c r="L20">
        <f>Koond_kulud!L640</f>
        <v>15</v>
      </c>
      <c r="M20" t="str">
        <f>Koond_kulud!M640</f>
        <v>15</v>
      </c>
      <c r="N20" t="str">
        <f>Koond_kulud!N640</f>
        <v>Põhivara soetus (-)</v>
      </c>
      <c r="O20" t="str">
        <f>Koond_kulud!O640</f>
        <v>Põhivara soetus (-)</v>
      </c>
      <c r="P20" t="str">
        <f>Koond_kulud!P640</f>
        <v>Investeerimistegevus</v>
      </c>
      <c r="Q20">
        <f>Koond_kulud!Q640</f>
        <v>0</v>
      </c>
    </row>
    <row r="21" spans="1:17" x14ac:dyDescent="0.25">
      <c r="A21" t="str">
        <f>Koond_kulud!A797</f>
        <v>09</v>
      </c>
      <c r="B21" t="str">
        <f>Koond_kulud!B797</f>
        <v>0921208</v>
      </c>
      <c r="C21" t="str">
        <f>Koond_kulud!C797</f>
        <v>Muuga-Laekvere Kool</v>
      </c>
      <c r="D21" t="str">
        <f>Koond_kulud!D797</f>
        <v>Põhihariduse otsekulud</v>
      </c>
      <c r="E21" t="str">
        <f>Koond_kulud!E797</f>
        <v>Haridus</v>
      </c>
      <c r="F21" t="str">
        <f>Koond_kulud!F797</f>
        <v>Ehitusnõunik</v>
      </c>
      <c r="G21" t="str">
        <f>Koond_kulud!G797</f>
        <v>Muuga-Laekvere Kooli Laekvere koolimaja katuse vahetus, fassaadi remont</v>
      </c>
      <c r="H21">
        <f>Koond_kulud!H797</f>
        <v>290000</v>
      </c>
      <c r="I21">
        <f>Koond_kulud!I797</f>
        <v>0</v>
      </c>
      <c r="J21">
        <f>Koond_kulud!J797</f>
        <v>1551</v>
      </c>
      <c r="K21" t="str">
        <f>Koond_kulud!K797</f>
        <v>Rajatiste ja hoonete soetamine ja renoveerimine</v>
      </c>
      <c r="L21">
        <f>Koond_kulud!L797</f>
        <v>15</v>
      </c>
      <c r="M21" t="str">
        <f>Koond_kulud!M797</f>
        <v>15</v>
      </c>
      <c r="N21" t="str">
        <f>Koond_kulud!N797</f>
        <v>Põhivara soetus (-)</v>
      </c>
      <c r="O21" t="str">
        <f>Koond_kulud!O797</f>
        <v>Põhivara soetus (-)</v>
      </c>
      <c r="P21" t="str">
        <f>Koond_kulud!P797</f>
        <v>Investeerimistegevus</v>
      </c>
      <c r="Q21">
        <f>Koond_kulud!Q797</f>
        <v>0</v>
      </c>
    </row>
    <row r="22" spans="1:17" x14ac:dyDescent="0.25">
      <c r="A22" t="str">
        <f>Koond_kulud!A900</f>
        <v>09</v>
      </c>
      <c r="B22" t="str">
        <f>Koond_kulud!B900</f>
        <v xml:space="preserve">0921203         </v>
      </c>
      <c r="C22" t="str">
        <f>Koond_kulud!C900</f>
        <v xml:space="preserve"> Roela kool</v>
      </c>
      <c r="D22" t="str">
        <f>Koond_kulud!D900</f>
        <v>Põhihariduse otsekulud</v>
      </c>
      <c r="E22" t="str">
        <f>Koond_kulud!E900</f>
        <v>Haridus</v>
      </c>
      <c r="F22" t="str">
        <f>Koond_kulud!F900</f>
        <v>Ehitusnõunik</v>
      </c>
      <c r="G22" t="str">
        <f>Koond_kulud!G900</f>
        <v>Roela kool-küttesüsteem ja fassaad</v>
      </c>
      <c r="H22">
        <f>Koond_kulud!H900</f>
        <v>95000</v>
      </c>
      <c r="I22">
        <f>Koond_kulud!I900</f>
        <v>0</v>
      </c>
      <c r="J22">
        <f>Koond_kulud!J900</f>
        <v>1551</v>
      </c>
      <c r="K22" t="str">
        <f>Koond_kulud!K900</f>
        <v>Rajatiste ja hoonete soetamine ja renoveerimine</v>
      </c>
      <c r="L22">
        <f>Koond_kulud!L900</f>
        <v>15</v>
      </c>
      <c r="M22" t="str">
        <f>Koond_kulud!M900</f>
        <v>15</v>
      </c>
      <c r="N22" t="str">
        <f>Koond_kulud!N900</f>
        <v>Põhivara soetus (-)</v>
      </c>
      <c r="O22" t="str">
        <f>Koond_kulud!O900</f>
        <v>Põhivara soetus (-)</v>
      </c>
      <c r="P22" t="str">
        <f>Koond_kulud!P900</f>
        <v>Investeerimistegevus</v>
      </c>
      <c r="Q22">
        <f>Koond_kulud!Q900</f>
        <v>0</v>
      </c>
    </row>
    <row r="23" spans="1:17" x14ac:dyDescent="0.25">
      <c r="A23" t="str">
        <f>Koond_kulud!A906</f>
        <v>09</v>
      </c>
      <c r="B23" t="str">
        <f>Koond_kulud!B906</f>
        <v xml:space="preserve">0921204         </v>
      </c>
      <c r="C23" t="str">
        <f>Koond_kulud!C906</f>
        <v xml:space="preserve"> Tudu kool</v>
      </c>
      <c r="D23" t="str">
        <f>Koond_kulud!D906</f>
        <v>Põhihariduse otsekulud</v>
      </c>
      <c r="E23" t="str">
        <f>Koond_kulud!E906</f>
        <v>Haridus</v>
      </c>
      <c r="F23" t="str">
        <f>Koond_kulud!F906</f>
        <v>Ehitusnõunik</v>
      </c>
      <c r="G23" t="str">
        <f>Koond_kulud!G906</f>
        <v>Tudu Kooli küttesüsteemi üleviimine pelletküttele</v>
      </c>
      <c r="H23">
        <f>Koond_kulud!H906</f>
        <v>51000</v>
      </c>
      <c r="I23">
        <f>Koond_kulud!I906</f>
        <v>0</v>
      </c>
      <c r="J23">
        <f>Koond_kulud!J906</f>
        <v>1551</v>
      </c>
      <c r="K23" t="str">
        <f>Koond_kulud!K906</f>
        <v>Rajatiste ja hoonete soetamine ja renoveerimine</v>
      </c>
      <c r="L23">
        <f>Koond_kulud!L906</f>
        <v>15</v>
      </c>
      <c r="M23" t="str">
        <f>Koond_kulud!M906</f>
        <v>15</v>
      </c>
      <c r="N23" t="str">
        <f>Koond_kulud!N906</f>
        <v>Põhivara soetus (-)</v>
      </c>
      <c r="O23" t="str">
        <f>Koond_kulud!O906</f>
        <v>Põhivara soetus (-)</v>
      </c>
      <c r="P23" t="str">
        <f>Koond_kulud!P906</f>
        <v>Investeerimistegevus</v>
      </c>
      <c r="Q23">
        <f>Koond_kulud!Q906</f>
        <v>0</v>
      </c>
    </row>
    <row r="24" spans="1:17" x14ac:dyDescent="0.25">
      <c r="A24" t="str">
        <f>Koond_kulud!A1000</f>
        <v>09</v>
      </c>
      <c r="B24" t="str">
        <f>Koond_kulud!B1000</f>
        <v xml:space="preserve">0921205         </v>
      </c>
      <c r="C24" t="str">
        <f>Koond_kulud!C1000</f>
        <v xml:space="preserve"> Vinni-Pajusti Gümnaasium</v>
      </c>
      <c r="D24" t="str">
        <f>Koond_kulud!D1000</f>
        <v>Põhihariduse otsekulud</v>
      </c>
      <c r="E24" t="str">
        <f>Koond_kulud!E1000</f>
        <v>Haridus</v>
      </c>
      <c r="F24" t="str">
        <f>Koond_kulud!F1000</f>
        <v>Vinni-Pajusti Gümnaasium</v>
      </c>
      <c r="G24" t="str">
        <f>Koond_kulud!G1000</f>
        <v>Vinni-Pajusti Gümnaasiumi küttesüsteemi rekonstrueerimine</v>
      </c>
      <c r="H24">
        <f>Koond_kulud!H1000</f>
        <v>60000</v>
      </c>
      <c r="I24">
        <f>Koond_kulud!I1000</f>
        <v>0</v>
      </c>
      <c r="J24">
        <f>Koond_kulud!J1000</f>
        <v>1551</v>
      </c>
      <c r="K24" t="str">
        <f>Koond_kulud!K1000</f>
        <v>Rajatiste ja hoonete soetamine ja renoveerimine</v>
      </c>
      <c r="L24">
        <f>Koond_kulud!L1000</f>
        <v>15</v>
      </c>
      <c r="M24" t="str">
        <f>Koond_kulud!M1000</f>
        <v>15</v>
      </c>
      <c r="N24" t="str">
        <f>Koond_kulud!N1000</f>
        <v>Põhivara soetus (-)</v>
      </c>
      <c r="O24" t="str">
        <f>Koond_kulud!O1000</f>
        <v>Põhivara soetus (-)</v>
      </c>
      <c r="P24" t="str">
        <f>Koond_kulud!P1000</f>
        <v>Investeerimistegevus</v>
      </c>
      <c r="Q24">
        <f>Koond_kulud!Q1000</f>
        <v>0</v>
      </c>
    </row>
    <row r="25" spans="1:17" x14ac:dyDescent="0.25">
      <c r="A25" t="str">
        <f>Koond_kulud!A1048</f>
        <v>09</v>
      </c>
      <c r="B25" t="str">
        <f>Koond_kulud!B1048</f>
        <v xml:space="preserve">09510           </v>
      </c>
      <c r="C25" t="str">
        <f>Koond_kulud!C1048</f>
        <v xml:space="preserve"> Noorte huviharidus ja huvitegevus</v>
      </c>
      <c r="D25" t="str">
        <f>Koond_kulud!D1048</f>
        <v>Noorte huviharidus ja huvitegevus</v>
      </c>
      <c r="E25" t="str">
        <f>Koond_kulud!E1048</f>
        <v>Haridus</v>
      </c>
      <c r="F25" t="str">
        <f>Koond_kulud!F1048</f>
        <v>Vallavalitsus</v>
      </c>
      <c r="G25" t="str">
        <f>Koond_kulud!G1048</f>
        <v>Lasteaedade ja koolide õues õppetingimuste loomine</v>
      </c>
      <c r="H25">
        <f>Koond_kulud!H1048</f>
        <v>10000</v>
      </c>
      <c r="I25">
        <f>Koond_kulud!I1048</f>
        <v>0</v>
      </c>
      <c r="J25">
        <f>Koond_kulud!J1048</f>
        <v>1551</v>
      </c>
      <c r="K25" t="str">
        <f>Koond_kulud!K1048</f>
        <v>Rajatiste ja hoonete soetamine ja renoveerimine</v>
      </c>
      <c r="L25">
        <f>Koond_kulud!L1048</f>
        <v>15</v>
      </c>
      <c r="M25" t="str">
        <f>Koond_kulud!M1048</f>
        <v>15</v>
      </c>
      <c r="N25" t="str">
        <f>Koond_kulud!N1048</f>
        <v>Põhivara soetus (-)</v>
      </c>
      <c r="O25" t="str">
        <f>Koond_kulud!O1048</f>
        <v>Põhivara soetus (-)</v>
      </c>
      <c r="P25" t="str">
        <f>Koond_kulud!P1048</f>
        <v>Investeerimistegevus</v>
      </c>
      <c r="Q25">
        <f>Koond_kulud!Q1048</f>
        <v>0</v>
      </c>
    </row>
    <row r="26" spans="1:17" x14ac:dyDescent="0.25">
      <c r="A26" t="str">
        <f>Koond_kulud!A1146</f>
        <v>10</v>
      </c>
      <c r="B26" t="str">
        <f>Koond_kulud!B1146</f>
        <v xml:space="preserve">1020002         </v>
      </c>
      <c r="C26" t="str">
        <f>Koond_kulud!C1146</f>
        <v xml:space="preserve"> Ulvi Kodu</v>
      </c>
      <c r="D26" t="str">
        <f>Koond_kulud!D1146</f>
        <v>Eakate sotsiaalhoolekande asutused</v>
      </c>
      <c r="E26" t="str">
        <f>Koond_kulud!E1146</f>
        <v>Sotsiaalne kaitse</v>
      </c>
      <c r="F26" t="str">
        <f>Koond_kulud!F1146</f>
        <v>Arendusnõunik</v>
      </c>
      <c r="G26" t="str">
        <f>Koond_kulud!G1146</f>
        <v>Ulvi Kodu rekonstrueerimine</v>
      </c>
      <c r="H26">
        <f>Koond_kulud!H1146</f>
        <v>400000</v>
      </c>
      <c r="I26">
        <f>Koond_kulud!I1146</f>
        <v>0</v>
      </c>
      <c r="J26">
        <f>Koond_kulud!J1146</f>
        <v>1551</v>
      </c>
      <c r="K26" t="str">
        <f>Koond_kulud!K1146</f>
        <v>Rajatiste ja hoonete soetamine ja renoveerimine</v>
      </c>
      <c r="L26">
        <f>Koond_kulud!L1146</f>
        <v>15</v>
      </c>
      <c r="M26" t="str">
        <f>Koond_kulud!M1146</f>
        <v>15</v>
      </c>
      <c r="N26" t="str">
        <f>Koond_kulud!N1146</f>
        <v>Põhivara soetus (-)</v>
      </c>
      <c r="O26" t="str">
        <f>Koond_kulud!O1146</f>
        <v>Põhivara soetus (-)</v>
      </c>
      <c r="P26" t="str">
        <f>Koond_kulud!P1146</f>
        <v>Investeerimistegevus</v>
      </c>
      <c r="Q26">
        <f>Koond_kulud!Q1146</f>
        <v>0</v>
      </c>
    </row>
    <row r="27" spans="1:17" x14ac:dyDescent="0.25">
      <c r="A27" t="str">
        <f>Koond_kulud!A1271</f>
        <v>10</v>
      </c>
      <c r="B27" t="str">
        <f>Koond_kulud!B1271</f>
        <v xml:space="preserve">10702           </v>
      </c>
      <c r="C27" t="str">
        <f>Koond_kulud!C1271</f>
        <v xml:space="preserve"> Muu sotsiaalsete riskirühmade kaitse</v>
      </c>
      <c r="D27" t="str">
        <f>Koond_kulud!D1271</f>
        <v>Muu sotsiaalsete riskirühmade kaitse</v>
      </c>
      <c r="E27" t="str">
        <f>Koond_kulud!E1271</f>
        <v>Sotsiaalne kaitse</v>
      </c>
      <c r="F27" t="str">
        <f>Koond_kulud!F1271</f>
        <v>Arendusnõunik</v>
      </c>
      <c r="G27" t="str">
        <f>Koond_kulud!G1271</f>
        <v>Ulvi teeninduskeskuse / arstipunkti soojustamine</v>
      </c>
      <c r="H27">
        <f>Koond_kulud!H1271</f>
        <v>5000</v>
      </c>
      <c r="I27">
        <f>Koond_kulud!I1271</f>
        <v>0</v>
      </c>
      <c r="J27">
        <f>Koond_kulud!J1271</f>
        <v>1551</v>
      </c>
      <c r="K27" t="str">
        <f>Koond_kulud!K1271</f>
        <v>Rajatiste ja hoonete soetamine ja renoveerimine</v>
      </c>
      <c r="L27">
        <f>Koond_kulud!L1271</f>
        <v>15</v>
      </c>
      <c r="M27" t="str">
        <f>Koond_kulud!M1271</f>
        <v>15</v>
      </c>
      <c r="N27" t="str">
        <f>Koond_kulud!N1271</f>
        <v>Põhivara soetus (-)</v>
      </c>
      <c r="O27" t="str">
        <f>Koond_kulud!O1271</f>
        <v>Põhivara soetus (-)</v>
      </c>
      <c r="P27" t="str">
        <f>Koond_kulud!P1271</f>
        <v>Investeerimistegevus</v>
      </c>
      <c r="Q27">
        <f>Koond_kulud!Q1271</f>
        <v>0</v>
      </c>
    </row>
    <row r="28" spans="1:17" x14ac:dyDescent="0.25">
      <c r="A28" t="str">
        <f>Koond_kulud!A1283</f>
        <v>09</v>
      </c>
      <c r="B28" t="str">
        <f>Koond_kulud!B1283</f>
        <v xml:space="preserve">0911003         </v>
      </c>
      <c r="C28" t="str">
        <f>Koond_kulud!C1283</f>
        <v xml:space="preserve"> Kulina Lasteaed</v>
      </c>
      <c r="D28" t="str">
        <f>Koond_kulud!D1283</f>
        <v>Alusharidus</v>
      </c>
      <c r="E28" t="str">
        <f>Koond_kulud!E1283</f>
        <v>Haridus</v>
      </c>
      <c r="F28" t="str">
        <f>Koond_kulud!F1283</f>
        <v>Kulina lasteaed</v>
      </c>
      <c r="G28" t="str">
        <f>Koond_kulud!G1283</f>
        <v>2019.a investeering lasteaia reovesi</v>
      </c>
      <c r="H28">
        <f>Koond_kulud!H1283</f>
        <v>1958.4</v>
      </c>
      <c r="I28" t="str">
        <f>Koond_kulud!I1283</f>
        <v>järelvalve</v>
      </c>
      <c r="J28">
        <f>Koond_kulud!J1283</f>
        <v>1551</v>
      </c>
      <c r="K28" t="str">
        <f>Koond_kulud!K1283</f>
        <v>Rajatiste ja hoonete soetamine ja renoveerimine</v>
      </c>
      <c r="L28">
        <f>Koond_kulud!L1283</f>
        <v>15</v>
      </c>
      <c r="M28" t="str">
        <f>Koond_kulud!M1283</f>
        <v>15</v>
      </c>
      <c r="N28" t="str">
        <f>Koond_kulud!N1283</f>
        <v>Põhivara soetus (-)</v>
      </c>
      <c r="O28" t="str">
        <f>Koond_kulud!O1283</f>
        <v>Põhivara soetus (-)</v>
      </c>
      <c r="P28" t="str">
        <f>Koond_kulud!P1283</f>
        <v>Investeerimistegevus</v>
      </c>
      <c r="Q28">
        <f>Koond_kulud!Q1283</f>
        <v>0</v>
      </c>
    </row>
    <row r="29" spans="1:17" x14ac:dyDescent="0.25">
      <c r="A29" t="str">
        <f>Koond_kulud!A1284</f>
        <v>09</v>
      </c>
      <c r="B29" t="str">
        <f>Koond_kulud!B1284</f>
        <v xml:space="preserve">0911003         </v>
      </c>
      <c r="C29" t="str">
        <f>Koond_kulud!C1284</f>
        <v xml:space="preserve"> Kulina Lasteaed</v>
      </c>
      <c r="D29" t="str">
        <f>Koond_kulud!D1284</f>
        <v>Alusharidus</v>
      </c>
      <c r="E29" t="str">
        <f>Koond_kulud!E1284</f>
        <v>Haridus</v>
      </c>
      <c r="F29" t="str">
        <f>Koond_kulud!F1284</f>
        <v>Kulina lasteaed</v>
      </c>
      <c r="G29" t="str">
        <f>Koond_kulud!G1284</f>
        <v>2019.a investeering lasteaia reovesi</v>
      </c>
      <c r="H29">
        <f>Koond_kulud!H1284</f>
        <v>13248</v>
      </c>
      <c r="I29" t="str">
        <f>Koond_kulud!I1284</f>
        <v>investeering</v>
      </c>
      <c r="J29">
        <f>Koond_kulud!J1284</f>
        <v>1551</v>
      </c>
      <c r="K29" t="str">
        <f>Koond_kulud!K1284</f>
        <v>Rajatiste ja hoonete soetamine ja renoveerimine</v>
      </c>
      <c r="L29">
        <f>Koond_kulud!L1284</f>
        <v>15</v>
      </c>
      <c r="M29" t="str">
        <f>Koond_kulud!M1284</f>
        <v>15</v>
      </c>
      <c r="N29" t="str">
        <f>Koond_kulud!N1284</f>
        <v>Põhivara soetus (-)</v>
      </c>
      <c r="O29" t="str">
        <f>Koond_kulud!O1284</f>
        <v>Põhivara soetus (-)</v>
      </c>
      <c r="P29" t="str">
        <f>Koond_kulud!P1284</f>
        <v>Investeerimistegevus</v>
      </c>
      <c r="Q29">
        <f>Koond_kulud!Q1284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zoomScale="85" zoomScaleNormal="85" workbookViewId="0">
      <selection activeCell="B13" sqref="B13"/>
    </sheetView>
  </sheetViews>
  <sheetFormatPr defaultRowHeight="15" x14ac:dyDescent="0.25"/>
  <cols>
    <col min="1" max="1" width="11.5703125" customWidth="1"/>
    <col min="2" max="2" width="13" customWidth="1"/>
    <col min="3" max="3" width="21.7109375" customWidth="1"/>
    <col min="4" max="4" width="23.85546875" bestFit="1" customWidth="1"/>
    <col min="5" max="5" width="26.28515625" customWidth="1"/>
    <col min="6" max="6" width="35.42578125" customWidth="1"/>
    <col min="7" max="7" width="75.140625" customWidth="1"/>
    <col min="8" max="8" width="10.85546875" customWidth="1"/>
    <col min="9" max="9" width="65.140625" bestFit="1" customWidth="1"/>
    <col min="11" max="11" width="16.140625" customWidth="1"/>
    <col min="12" max="12" width="15.85546875" customWidth="1"/>
    <col min="13" max="13" width="14" customWidth="1"/>
    <col min="14" max="14" width="25.85546875" customWidth="1"/>
    <col min="15" max="15" width="21" customWidth="1"/>
  </cols>
  <sheetData>
    <row r="1" spans="1:15" x14ac:dyDescent="0.25">
      <c r="A1" s="11" t="s">
        <v>7</v>
      </c>
      <c r="B1" s="12" t="s">
        <v>1</v>
      </c>
      <c r="C1" s="12" t="s">
        <v>246</v>
      </c>
      <c r="D1" t="s">
        <v>472</v>
      </c>
      <c r="E1" s="12" t="s">
        <v>67</v>
      </c>
      <c r="F1" s="12" t="s">
        <v>5</v>
      </c>
      <c r="G1" s="12" t="s">
        <v>6</v>
      </c>
      <c r="H1" s="13" t="s">
        <v>380</v>
      </c>
      <c r="I1" s="13" t="s">
        <v>165</v>
      </c>
      <c r="J1" s="12" t="s">
        <v>2</v>
      </c>
      <c r="K1" s="12" t="s">
        <v>91</v>
      </c>
      <c r="L1" s="12" t="s">
        <v>77</v>
      </c>
      <c r="M1" s="12" t="s">
        <v>9</v>
      </c>
      <c r="N1" s="12" t="s">
        <v>10</v>
      </c>
      <c r="O1" s="28" t="s">
        <v>135</v>
      </c>
    </row>
    <row r="2" spans="1:15" ht="15" customHeight="1" x14ac:dyDescent="0.25">
      <c r="A2" t="str">
        <f>LEFT(Table3[[#This Row],[Tegevusala]],2)</f>
        <v>09</v>
      </c>
      <c r="B2" t="s">
        <v>247</v>
      </c>
      <c r="C2" t="str">
        <f>VLOOKUP(Table3[[#This Row],[Tegevusala]],Table4[],2,FALSE)</f>
        <v xml:space="preserve"> Roela kool</v>
      </c>
      <c r="D2" s="1" t="str">
        <f>VLOOKUP(Table3[[#This Row],[Tegevusala]],Table4[[Tegevusala kood]:[Tegevusala alanimetus]],4,FALSE)</f>
        <v>Põhihariduse otsekulud</v>
      </c>
      <c r="E2" t="str">
        <f>VLOOKUP(Table3[[#This Row],[Tegevusala nimetus2]],Table4[[Tegevusala nimetus]:[Tegevusala koondnimetus]],2,FALSE)</f>
        <v>Haridus</v>
      </c>
      <c r="F2" t="s">
        <v>596</v>
      </c>
      <c r="G2" t="s">
        <v>587</v>
      </c>
      <c r="H2" s="40">
        <v>10520.4</v>
      </c>
      <c r="I2" t="s">
        <v>597</v>
      </c>
      <c r="J2">
        <v>1551</v>
      </c>
    </row>
    <row r="3" spans="1:15" ht="15" customHeight="1" x14ac:dyDescent="0.25">
      <c r="A3" t="str">
        <f>LEFT(Table3[[#This Row],[Tegevusala]],2)</f>
        <v>09</v>
      </c>
      <c r="B3" t="s">
        <v>247</v>
      </c>
      <c r="C3" t="str">
        <f>VLOOKUP(Table3[[#This Row],[Tegevusala]],Table4[],2,FALSE)</f>
        <v xml:space="preserve"> Roela kool</v>
      </c>
      <c r="D3" t="str">
        <f>VLOOKUP(Table3[[#This Row],[Tegevusala]],Table4[[Tegevusala kood]:[Tegevusala alanimetus]],4,FALSE)</f>
        <v>Põhihariduse otsekulud</v>
      </c>
      <c r="E3" t="str">
        <f>VLOOKUP(Table3[[#This Row],[Tegevusala nimetus2]],Table4[[Tegevusala nimetus]:[Tegevusala koondnimetus]],2,FALSE)</f>
        <v>Haridus</v>
      </c>
      <c r="F3" t="s">
        <v>596</v>
      </c>
      <c r="G3" t="s">
        <v>588</v>
      </c>
      <c r="H3" s="40">
        <v>100491.6</v>
      </c>
      <c r="I3" t="s">
        <v>598</v>
      </c>
      <c r="J3">
        <v>1551</v>
      </c>
    </row>
    <row r="4" spans="1:15" ht="15" customHeight="1" x14ac:dyDescent="0.25">
      <c r="A4" s="8" t="str">
        <f>LEFT(Table3[[#This Row],[Tegevusala]],2)</f>
        <v>09</v>
      </c>
      <c r="B4" s="8" t="s">
        <v>247</v>
      </c>
      <c r="C4" s="8" t="str">
        <f>VLOOKUP(Table3[[#This Row],[Tegevusala]],Table4[],2,FALSE)</f>
        <v xml:space="preserve"> Roela kool</v>
      </c>
      <c r="D4" s="8" t="str">
        <f>VLOOKUP(Table3[[#This Row],[Tegevusala]],Table4[[Tegevusala kood]:[Tegevusala alanimetus]],4,FALSE)</f>
        <v>Põhihariduse otsekulud</v>
      </c>
      <c r="E4" s="8" t="str">
        <f>VLOOKUP(Table3[[#This Row],[Tegevusala nimetus2]],Table4[[Tegevusala nimetus]:[Tegevusala koondnimetus]],2,FALSE)</f>
        <v>Haridus</v>
      </c>
      <c r="F4" s="8" t="s">
        <v>596</v>
      </c>
      <c r="G4" s="8" t="s">
        <v>589</v>
      </c>
      <c r="H4" s="43">
        <v>27135.599999999999</v>
      </c>
      <c r="I4" s="8" t="s">
        <v>599</v>
      </c>
      <c r="J4" s="8">
        <v>1551</v>
      </c>
      <c r="K4" s="8"/>
      <c r="L4" s="8"/>
      <c r="M4" s="8"/>
      <c r="N4" s="8"/>
      <c r="O4" s="8"/>
    </row>
    <row r="5" spans="1:15" ht="15" customHeight="1" x14ac:dyDescent="0.25">
      <c r="A5" s="8" t="str">
        <f>LEFT(Table3[[#This Row],[Tegevusala]],2)</f>
        <v>09</v>
      </c>
      <c r="B5" s="8" t="s">
        <v>247</v>
      </c>
      <c r="C5" s="8" t="str">
        <f>VLOOKUP(Table3[[#This Row],[Tegevusala]],Table4[],2,FALSE)</f>
        <v xml:space="preserve"> Roela kool</v>
      </c>
      <c r="D5" s="8" t="str">
        <f>VLOOKUP(Table3[[#This Row],[Tegevusala]],Table4[[Tegevusala kood]:[Tegevusala alanimetus]],4,FALSE)</f>
        <v>Põhihariduse otsekulud</v>
      </c>
      <c r="E5" s="8" t="str">
        <f>VLOOKUP(Table3[[#This Row],[Tegevusala nimetus2]],Table4[[Tegevusala nimetus]:[Tegevusala koondnimetus]],2,FALSE)</f>
        <v>Haridus</v>
      </c>
      <c r="F5" s="8" t="s">
        <v>596</v>
      </c>
      <c r="G5" s="8" t="s">
        <v>590</v>
      </c>
      <c r="H5" s="43">
        <v>3259.2</v>
      </c>
      <c r="I5" s="8" t="s">
        <v>600</v>
      </c>
      <c r="J5" s="8">
        <v>1551</v>
      </c>
      <c r="K5" s="8"/>
      <c r="L5" s="8"/>
      <c r="M5" s="8"/>
      <c r="N5" s="8"/>
      <c r="O5" s="8"/>
    </row>
    <row r="6" spans="1:15" ht="15" customHeight="1" x14ac:dyDescent="0.25">
      <c r="A6" s="77" t="str">
        <f>LEFT(Table3[[#This Row],[Tegevusala]],2)</f>
        <v>09</v>
      </c>
      <c r="B6" s="77" t="s">
        <v>247</v>
      </c>
      <c r="C6" s="77" t="str">
        <f>VLOOKUP(Table3[[#This Row],[Tegevusala]],Table4[],2,FALSE)</f>
        <v xml:space="preserve"> Roela kool</v>
      </c>
      <c r="D6" s="77" t="str">
        <f>VLOOKUP(Table3[[#This Row],[Tegevusala]],Table4[[Tegevusala kood]:[Tegevusala alanimetus]],4,FALSE)</f>
        <v>Põhihariduse otsekulud</v>
      </c>
      <c r="E6" s="77" t="str">
        <f>VLOOKUP(Table3[[#This Row],[Tegevusala nimetus2]],Table4[[Tegevusala nimetus]:[Tegevusala koondnimetus]],2,FALSE)</f>
        <v>Haridus</v>
      </c>
      <c r="F6" s="77" t="s">
        <v>596</v>
      </c>
      <c r="G6" s="77" t="s">
        <v>591</v>
      </c>
      <c r="H6" s="78">
        <v>785.4</v>
      </c>
      <c r="I6" s="77" t="s">
        <v>601</v>
      </c>
      <c r="J6" s="77">
        <v>5511</v>
      </c>
      <c r="K6" s="77"/>
      <c r="L6" s="77"/>
      <c r="M6" s="77"/>
      <c r="N6" s="77"/>
      <c r="O6" s="77"/>
    </row>
    <row r="7" spans="1:15" ht="15" customHeight="1" x14ac:dyDescent="0.25">
      <c r="A7" t="str">
        <f>LEFT(Table3[[#This Row],[Tegevusala]],2)</f>
        <v>09</v>
      </c>
      <c r="B7" t="s">
        <v>247</v>
      </c>
      <c r="C7" t="str">
        <f>VLOOKUP(Table3[[#This Row],[Tegevusala]],Table4[],2,FALSE)</f>
        <v xml:space="preserve"> Roela kool</v>
      </c>
      <c r="D7" t="str">
        <f>VLOOKUP(Table3[[#This Row],[Tegevusala]],Table4[[Tegevusala kood]:[Tegevusala alanimetus]],4,FALSE)</f>
        <v>Põhihariduse otsekulud</v>
      </c>
      <c r="E7" t="str">
        <f>VLOOKUP(Table3[[#This Row],[Tegevusala nimetus2]],Table4[[Tegevusala nimetus]:[Tegevusala koondnimetus]],2,FALSE)</f>
        <v>Haridus</v>
      </c>
      <c r="F7" t="s">
        <v>596</v>
      </c>
      <c r="G7" t="s">
        <v>592</v>
      </c>
      <c r="H7" s="40">
        <v>5416</v>
      </c>
      <c r="I7" t="s">
        <v>602</v>
      </c>
      <c r="J7">
        <v>5511</v>
      </c>
    </row>
    <row r="8" spans="1:15" ht="15" customHeight="1" x14ac:dyDescent="0.25">
      <c r="A8" s="8" t="str">
        <f>LEFT(Table3[[#This Row],[Tegevusala]],2)</f>
        <v>09</v>
      </c>
      <c r="B8" s="8" t="s">
        <v>247</v>
      </c>
      <c r="C8" s="8" t="str">
        <f>VLOOKUP(Table3[[#This Row],[Tegevusala]],Table4[],2,FALSE)</f>
        <v xml:space="preserve"> Roela kool</v>
      </c>
      <c r="D8" s="8" t="str">
        <f>VLOOKUP(Table3[[#This Row],[Tegevusala]],Table4[[Tegevusala kood]:[Tegevusala alanimetus]],4,FALSE)</f>
        <v>Põhihariduse otsekulud</v>
      </c>
      <c r="E8" s="8" t="str">
        <f>VLOOKUP(Table3[[#This Row],[Tegevusala nimetus2]],Table4[[Tegevusala nimetus]:[Tegevusala koondnimetus]],2,FALSE)</f>
        <v>Haridus</v>
      </c>
      <c r="F8" s="8" t="s">
        <v>596</v>
      </c>
      <c r="G8" s="8" t="s">
        <v>593</v>
      </c>
      <c r="H8" s="43">
        <v>10000</v>
      </c>
      <c r="I8" s="8" t="s">
        <v>603</v>
      </c>
      <c r="J8" s="8">
        <v>5525</v>
      </c>
      <c r="K8" s="8"/>
      <c r="L8" s="8"/>
      <c r="M8" s="8"/>
      <c r="N8" s="8"/>
      <c r="O8" s="8"/>
    </row>
    <row r="9" spans="1:15" ht="15" customHeight="1" x14ac:dyDescent="0.25">
      <c r="A9" s="77" t="str">
        <f>LEFT(Table3[[#This Row],[Tegevusala]],2)</f>
        <v>09</v>
      </c>
      <c r="B9" s="77" t="s">
        <v>247</v>
      </c>
      <c r="C9" s="77" t="str">
        <f>VLOOKUP(Table3[[#This Row],[Tegevusala]],Table4[],2,FALSE)</f>
        <v xml:space="preserve"> Roela kool</v>
      </c>
      <c r="D9" s="77" t="str">
        <f>VLOOKUP(Table3[[#This Row],[Tegevusala]],Table4[[Tegevusala kood]:[Tegevusala alanimetus]],4,FALSE)</f>
        <v>Põhihariduse otsekulud</v>
      </c>
      <c r="E9" s="77" t="str">
        <f>VLOOKUP(Table3[[#This Row],[Tegevusala nimetus2]],Table4[[Tegevusala nimetus]:[Tegevusala koondnimetus]],2,FALSE)</f>
        <v>Haridus</v>
      </c>
      <c r="F9" s="77" t="s">
        <v>596</v>
      </c>
      <c r="G9" s="77" t="s">
        <v>594</v>
      </c>
      <c r="H9" s="78">
        <v>4580</v>
      </c>
      <c r="I9" s="77" t="s">
        <v>604</v>
      </c>
      <c r="J9" s="77">
        <v>5512</v>
      </c>
      <c r="K9" s="77"/>
      <c r="L9" s="77"/>
      <c r="M9" s="77"/>
      <c r="N9" s="77"/>
      <c r="O9" s="77"/>
    </row>
    <row r="10" spans="1:15" ht="15" customHeight="1" x14ac:dyDescent="0.25">
      <c r="A10" s="77" t="str">
        <f>LEFT(Table3[[#This Row],[Tegevusala]],2)</f>
        <v>09</v>
      </c>
      <c r="B10" s="77" t="s">
        <v>247</v>
      </c>
      <c r="C10" s="77" t="str">
        <f>VLOOKUP(Table3[[#This Row],[Tegevusala]],Table4[],2,FALSE)</f>
        <v xml:space="preserve"> Roela kool</v>
      </c>
      <c r="D10" s="77" t="str">
        <f>VLOOKUP(Table3[[#This Row],[Tegevusala]],Table4[[Tegevusala kood]:[Tegevusala alanimetus]],4,FALSE)</f>
        <v>Põhihariduse otsekulud</v>
      </c>
      <c r="E10" s="77" t="str">
        <f>VLOOKUP(Table3[[#This Row],[Tegevusala nimetus2]],Table4[[Tegevusala nimetus]:[Tegevusala koondnimetus]],2,FALSE)</f>
        <v>Haridus</v>
      </c>
      <c r="F10" s="77" t="s">
        <v>596</v>
      </c>
      <c r="G10" s="77" t="s">
        <v>595</v>
      </c>
      <c r="H10" s="78">
        <v>760</v>
      </c>
      <c r="I10" s="77" t="s">
        <v>605</v>
      </c>
      <c r="J10" s="77">
        <v>5540</v>
      </c>
      <c r="K10" s="77"/>
      <c r="L10" s="77"/>
      <c r="M10" s="77"/>
      <c r="N10" s="77"/>
      <c r="O10" s="77"/>
    </row>
    <row r="11" spans="1:15" ht="15" customHeight="1" x14ac:dyDescent="0.25">
      <c r="A11" s="77" t="str">
        <f>LEFT(Table3[[#This Row],[Tegevusala]],2)</f>
        <v>04</v>
      </c>
      <c r="B11" s="77" t="s">
        <v>31</v>
      </c>
      <c r="C11" s="77" t="str">
        <f>VLOOKUP(Table3[[#This Row],[Tegevusala]],Table4[],2,FALSE)</f>
        <v>Maanteetransport</v>
      </c>
      <c r="D11" s="77" t="str">
        <f>VLOOKUP(Table3[[#This Row],[Tegevusala]],Table4[[Tegevusala kood]:[Tegevusala alanimetus]],4,FALSE)</f>
        <v>Maanteetransport</v>
      </c>
      <c r="E11" s="77" t="str">
        <f>VLOOKUP(Table3[[#This Row],[Tegevusala nimetus2]],Table4[[Tegevusala nimetus]:[Tegevusala koondnimetus]],2,FALSE)</f>
        <v>Majandus</v>
      </c>
      <c r="F11" s="77" t="s">
        <v>786</v>
      </c>
      <c r="G11" s="77" t="s">
        <v>787</v>
      </c>
      <c r="H11" s="78">
        <v>100000</v>
      </c>
      <c r="I11" s="77" t="s">
        <v>788</v>
      </c>
      <c r="J11" s="77">
        <v>5512</v>
      </c>
      <c r="K11" s="77"/>
      <c r="L11" s="77"/>
      <c r="M11" s="77"/>
      <c r="N11" s="77"/>
      <c r="O11" s="77"/>
    </row>
    <row r="12" spans="1:15" ht="15" customHeight="1" x14ac:dyDescent="0.25">
      <c r="A12" t="str">
        <f>LEFT(Table3[[#This Row],[Tegevusala]],2)</f>
        <v>06</v>
      </c>
      <c r="B12" t="s">
        <v>254</v>
      </c>
      <c r="C12" t="str">
        <f>VLOOKUP(Table3[[#This Row],[Tegevusala]],Table4[],2,FALSE)</f>
        <v>Laekvere teeninduspiirkond</v>
      </c>
      <c r="D12" t="str">
        <f>VLOOKUP(Table3[[#This Row],[Tegevusala]],Table4[[Tegevusala kood]:[Tegevusala alanimetus]],4,FALSE)</f>
        <v>Muu elamu- ja kommunaalmajanduse tegevus</v>
      </c>
      <c r="E12" t="str">
        <f>VLOOKUP(Table3[[#This Row],[Tegevusala nimetus2]],Table4[[Tegevusala nimetus]:[Tegevusala koondnimetus]],2,FALSE)</f>
        <v>Elamu- ja kommunaalmajandus</v>
      </c>
      <c r="F12" s="30" t="s">
        <v>831</v>
      </c>
      <c r="G12" s="30" t="s">
        <v>843</v>
      </c>
      <c r="H12" s="40">
        <v>3400</v>
      </c>
      <c r="I12" t="s">
        <v>844</v>
      </c>
      <c r="J12">
        <v>500</v>
      </c>
    </row>
    <row r="13" spans="1:15" ht="15" customHeight="1" x14ac:dyDescent="0.25">
      <c r="A13" t="str">
        <f>LEFT(Table3[[#This Row],[Tegevusala]],2)</f>
        <v>06</v>
      </c>
      <c r="B13" t="s">
        <v>255</v>
      </c>
      <c r="C13" t="str">
        <f>VLOOKUP(Table3[[#This Row],[Tegevusala]],Table4[],2,FALSE)</f>
        <v>Rägavere halduspiirkond</v>
      </c>
      <c r="D13" t="str">
        <f>VLOOKUP(Table3[[#This Row],[Tegevusala]],Table4[[Tegevusala kood]:[Tegevusala alanimetus]],4,FALSE)</f>
        <v>Muu elamu- ja kommunaalmajanduse tegevus</v>
      </c>
      <c r="E13" t="str">
        <f>VLOOKUP(Table3[[#This Row],[Tegevusala nimetus2]],Table4[[Tegevusala nimetus]:[Tegevusala koondnimetus]],2,FALSE)</f>
        <v>Elamu- ja kommunaalmajandus</v>
      </c>
      <c r="F13" s="30" t="s">
        <v>915</v>
      </c>
      <c r="G13" s="30" t="s">
        <v>843</v>
      </c>
      <c r="H13" s="40">
        <v>3400</v>
      </c>
      <c r="J13">
        <v>500</v>
      </c>
    </row>
    <row r="14" spans="1:15" ht="15" customHeight="1" x14ac:dyDescent="0.25">
      <c r="A14" s="3" t="str">
        <f>LEFT(Table3[[#This Row],[Tegevusala]],2)</f>
        <v>10</v>
      </c>
      <c r="B14" t="s">
        <v>362</v>
      </c>
      <c r="C14" s="3" t="str">
        <f>VLOOKUP(Table3[[#This Row],[Tegevusala]],Table4[],2,FALSE)</f>
        <v xml:space="preserve"> Hooldajad</v>
      </c>
      <c r="D14" s="3" t="str">
        <f>VLOOKUP(Table3[[#This Row],[Tegevusala]],Table4[[Tegevusala kood]:[Tegevusala alanimetus]],4,FALSE)</f>
        <v>Muu eakate sotsiaalne kaitse</v>
      </c>
      <c r="E14" s="3" t="str">
        <f>VLOOKUP(Table3[[#This Row],[Tegevusala nimetus2]],Table4[[Tegevusala nimetus]:[Tegevusala koondnimetus]],2,FALSE)</f>
        <v>Sotsiaalne kaitse</v>
      </c>
      <c r="F14" s="30" t="s">
        <v>444</v>
      </c>
      <c r="G14" s="30" t="s">
        <v>725</v>
      </c>
      <c r="H14" s="40">
        <v>1200</v>
      </c>
      <c r="I14" t="s">
        <v>932</v>
      </c>
      <c r="J14">
        <v>500</v>
      </c>
    </row>
    <row r="15" spans="1:15" ht="15" customHeight="1" x14ac:dyDescent="0.25">
      <c r="A15" s="3" t="str">
        <f>LEFT(Table3[[#This Row],[Tegevusala]],2)</f>
        <v>10</v>
      </c>
      <c r="B15" t="s">
        <v>362</v>
      </c>
      <c r="C15" s="3" t="str">
        <f>VLOOKUP(Table3[[#This Row],[Tegevusala]],Table4[],2,FALSE)</f>
        <v xml:space="preserve"> Hooldajad</v>
      </c>
      <c r="D15" s="3" t="str">
        <f>VLOOKUP(Table3[[#This Row],[Tegevusala]],Table4[[Tegevusala kood]:[Tegevusala alanimetus]],4,FALSE)</f>
        <v>Muu eakate sotsiaalne kaitse</v>
      </c>
      <c r="E15" s="3" t="str">
        <f>VLOOKUP(Table3[[#This Row],[Tegevusala nimetus2]],Table4[[Tegevusala nimetus]:[Tegevusala koondnimetus]],2,FALSE)</f>
        <v>Sotsiaalne kaitse</v>
      </c>
      <c r="F15" s="30" t="s">
        <v>444</v>
      </c>
      <c r="G15" s="30" t="s">
        <v>933</v>
      </c>
      <c r="H15" s="40">
        <v>405.6</v>
      </c>
      <c r="I15" t="s">
        <v>932</v>
      </c>
      <c r="J15">
        <v>506</v>
      </c>
    </row>
    <row r="16" spans="1:15" ht="15" customHeight="1" x14ac:dyDescent="0.25">
      <c r="A16" s="79" t="str">
        <f>LEFT(Table3[[#This Row],[Tegevusala]],2)</f>
        <v>06</v>
      </c>
      <c r="B16" s="77" t="s">
        <v>258</v>
      </c>
      <c r="C16" s="79" t="str">
        <f>VLOOKUP(Table3[[#This Row],[Tegevusala]],Table4[],2,FALSE)</f>
        <v>Viru-Jaagupi halduspiirkond</v>
      </c>
      <c r="D16" s="79" t="str">
        <f>VLOOKUP(Table3[[#This Row],[Tegevusala]],Table4[[Tegevusala kood]:[Tegevusala alanimetus]],4,FALSE)</f>
        <v>Muu elamu- ja kommunaalmajanduse tegevus</v>
      </c>
      <c r="E16" s="79" t="str">
        <f>VLOOKUP(Table3[[#This Row],[Tegevusala nimetus2]],Table4[[Tegevusala nimetus]:[Tegevusala koondnimetus]],2,FALSE)</f>
        <v>Elamu- ja kommunaalmajandus</v>
      </c>
      <c r="F16" s="81" t="s">
        <v>972</v>
      </c>
      <c r="G16" s="77" t="s">
        <v>1000</v>
      </c>
      <c r="H16" s="78">
        <v>7000</v>
      </c>
      <c r="I16" s="77" t="s">
        <v>974</v>
      </c>
      <c r="J16" s="77">
        <v>5511</v>
      </c>
      <c r="K16" s="77"/>
      <c r="L16" s="77"/>
      <c r="M16" s="77"/>
      <c r="N16" s="77"/>
      <c r="O16" s="77"/>
    </row>
    <row r="17" spans="1:15" ht="15" customHeight="1" x14ac:dyDescent="0.25">
      <c r="A17" s="79" t="str">
        <f>LEFT(Table3[[#This Row],[Tegevusala]],2)</f>
        <v>06</v>
      </c>
      <c r="B17" s="77" t="s">
        <v>262</v>
      </c>
      <c r="C17" s="79" t="str">
        <f>VLOOKUP(Table3[[#This Row],[Tegevusala]],Table4[],2,FALSE)</f>
        <v xml:space="preserve"> Kalmistud</v>
      </c>
      <c r="D17" s="79" t="str">
        <f>VLOOKUP(Table3[[#This Row],[Tegevusala]],Table4[[Tegevusala kood]:[Tegevusala alanimetus]],4,FALSE)</f>
        <v>Muu elamu- ja kommunaalmajanduse tegevus</v>
      </c>
      <c r="E17" s="79" t="str">
        <f>VLOOKUP(Table3[[#This Row],[Tegevusala nimetus2]],Table4[[Tegevusala nimetus]:[Tegevusala koondnimetus]],2,FALSE)</f>
        <v>Elamu- ja kommunaalmajandus</v>
      </c>
      <c r="F17" s="81" t="s">
        <v>1003</v>
      </c>
      <c r="G17" s="77" t="s">
        <v>1004</v>
      </c>
      <c r="H17" s="78">
        <v>2000</v>
      </c>
      <c r="I17" s="77"/>
      <c r="J17" s="77">
        <v>5511</v>
      </c>
      <c r="K17" s="77"/>
      <c r="L17" s="77"/>
      <c r="M17" s="77"/>
      <c r="N17" s="77"/>
      <c r="O17" s="77"/>
    </row>
    <row r="18" spans="1:15" ht="15" customHeight="1" x14ac:dyDescent="0.25">
      <c r="A18" s="79" t="str">
        <f>LEFT(Table3[[#This Row],[Tegevusala]],2)</f>
        <v>06</v>
      </c>
      <c r="B18" s="77" t="s">
        <v>262</v>
      </c>
      <c r="C18" s="79" t="str">
        <f>VLOOKUP(Table3[[#This Row],[Tegevusala]],Table4[],2,FALSE)</f>
        <v xml:space="preserve"> Kalmistud</v>
      </c>
      <c r="D18" s="79" t="str">
        <f>VLOOKUP(Table3[[#This Row],[Tegevusala]],Table4[[Tegevusala kood]:[Tegevusala alanimetus]],4,FALSE)</f>
        <v>Muu elamu- ja kommunaalmajanduse tegevus</v>
      </c>
      <c r="E18" s="79" t="str">
        <f>VLOOKUP(Table3[[#This Row],[Tegevusala nimetus2]],Table4[[Tegevusala nimetus]:[Tegevusala koondnimetus]],2,FALSE)</f>
        <v>Elamu- ja kommunaalmajandus</v>
      </c>
      <c r="F18" s="81" t="s">
        <v>1003</v>
      </c>
      <c r="G18" s="77" t="s">
        <v>1005</v>
      </c>
      <c r="H18" s="78">
        <v>10000</v>
      </c>
      <c r="I18" s="77"/>
      <c r="J18" s="77">
        <v>5512</v>
      </c>
      <c r="K18" s="77"/>
      <c r="L18" s="77"/>
      <c r="M18" s="77"/>
      <c r="N18" s="77"/>
      <c r="O18" s="77"/>
    </row>
    <row r="19" spans="1:15" ht="15" customHeight="1" x14ac:dyDescent="0.25">
      <c r="A19" s="32" t="str">
        <f>LEFT(Table3[[#This Row],[Tegevusala]],2)</f>
        <v>08</v>
      </c>
      <c r="B19" s="8" t="s">
        <v>291</v>
      </c>
      <c r="C19" s="32" t="str">
        <f>VLOOKUP(Table3[[#This Row],[Tegevusala]],Table4[],2,FALSE)</f>
        <v>Vinni-Pajusti Rahvaraamatukogu</v>
      </c>
      <c r="D19" s="32" t="str">
        <f>VLOOKUP(Table3[[#This Row],[Tegevusala]],Table4[[Tegevusala kood]:[Tegevusala alanimetus]],4,FALSE)</f>
        <v>Raamatukogud</v>
      </c>
      <c r="E19" s="32" t="str">
        <f>VLOOKUP(Table3[[#This Row],[Tegevusala nimetus2]],Table4[[Tegevusala nimetus]:[Tegevusala koondnimetus]],2,FALSE)</f>
        <v>Vabaaeg, kultuur ja religioon</v>
      </c>
      <c r="F19" s="8" t="s">
        <v>1035</v>
      </c>
      <c r="G19" s="8" t="s">
        <v>1055</v>
      </c>
      <c r="H19" s="43"/>
      <c r="I19" s="8"/>
      <c r="J19" s="8"/>
      <c r="K19" s="8"/>
      <c r="L19" s="8"/>
      <c r="M19" s="8"/>
      <c r="N19" s="8"/>
      <c r="O19" s="8"/>
    </row>
    <row r="20" spans="1:15" ht="15" customHeight="1" x14ac:dyDescent="0.25">
      <c r="A20" s="32" t="str">
        <f>LEFT(Table3[[#This Row],[Tegevusala]],2)</f>
        <v>08</v>
      </c>
      <c r="B20" s="8" t="s">
        <v>291</v>
      </c>
      <c r="C20" s="32" t="str">
        <f>VLOOKUP(Table3[[#This Row],[Tegevusala]],Table4[],2,FALSE)</f>
        <v>Vinni-Pajusti Rahvaraamatukogu</v>
      </c>
      <c r="D20" s="32" t="str">
        <f>VLOOKUP(Table3[[#This Row],[Tegevusala]],Table4[[Tegevusala kood]:[Tegevusala alanimetus]],4,FALSE)</f>
        <v>Raamatukogud</v>
      </c>
      <c r="E20" s="32" t="str">
        <f>VLOOKUP(Table3[[#This Row],[Tegevusala nimetus2]],Table4[[Tegevusala nimetus]:[Tegevusala koondnimetus]],2,FALSE)</f>
        <v>Vabaaeg, kultuur ja religioon</v>
      </c>
      <c r="F20" s="8" t="s">
        <v>1035</v>
      </c>
      <c r="G20" s="8" t="s">
        <v>1056</v>
      </c>
      <c r="H20" s="43"/>
      <c r="I20" s="8"/>
      <c r="J20" s="8"/>
      <c r="K20" s="8"/>
      <c r="L20" s="8"/>
      <c r="M20" s="8"/>
      <c r="N20" s="8"/>
      <c r="O20" s="8"/>
    </row>
    <row r="21" spans="1:15" ht="15" customHeight="1" x14ac:dyDescent="0.25">
      <c r="A21" s="32" t="str">
        <f>LEFT(Table3[[#This Row],[Tegevusala]],2)</f>
        <v>08</v>
      </c>
      <c r="B21" s="8" t="s">
        <v>291</v>
      </c>
      <c r="C21" s="32" t="str">
        <f>VLOOKUP(Table3[[#This Row],[Tegevusala]],Table4[],2,FALSE)</f>
        <v>Vinni-Pajusti Rahvaraamatukogu</v>
      </c>
      <c r="D21" s="32" t="str">
        <f>VLOOKUP(Table3[[#This Row],[Tegevusala]],Table4[[Tegevusala kood]:[Tegevusala alanimetus]],4,FALSE)</f>
        <v>Raamatukogud</v>
      </c>
      <c r="E21" s="32" t="str">
        <f>VLOOKUP(Table3[[#This Row],[Tegevusala nimetus2]],Table4[[Tegevusala nimetus]:[Tegevusala koondnimetus]],2,FALSE)</f>
        <v>Vabaaeg, kultuur ja religioon</v>
      </c>
      <c r="F21" s="8" t="s">
        <v>1035</v>
      </c>
      <c r="G21" s="8" t="s">
        <v>1057</v>
      </c>
      <c r="H21" s="43"/>
      <c r="I21" s="8"/>
      <c r="J21" s="8"/>
      <c r="K21" s="8"/>
      <c r="L21" s="8"/>
      <c r="M21" s="8"/>
      <c r="N21" s="8"/>
      <c r="O21" s="8"/>
    </row>
    <row r="22" spans="1:15" ht="15" customHeight="1" x14ac:dyDescent="0.25">
      <c r="A22" s="32" t="str">
        <f>LEFT(Table3[[#This Row],[Tegevusala]],2)</f>
        <v>08</v>
      </c>
      <c r="B22" s="8" t="s">
        <v>291</v>
      </c>
      <c r="C22" s="32" t="str">
        <f>VLOOKUP(Table3[[#This Row],[Tegevusala]],Table4[],2,FALSE)</f>
        <v>Vinni-Pajusti Rahvaraamatukogu</v>
      </c>
      <c r="D22" s="32" t="str">
        <f>VLOOKUP(Table3[[#This Row],[Tegevusala]],Table4[[Tegevusala kood]:[Tegevusala alanimetus]],4,FALSE)</f>
        <v>Raamatukogud</v>
      </c>
      <c r="E22" s="32" t="str">
        <f>VLOOKUP(Table3[[#This Row],[Tegevusala nimetus2]],Table4[[Tegevusala nimetus]:[Tegevusala koondnimetus]],2,FALSE)</f>
        <v>Vabaaeg, kultuur ja religioon</v>
      </c>
      <c r="F22" s="8" t="s">
        <v>1035</v>
      </c>
      <c r="G22" s="8" t="s">
        <v>1058</v>
      </c>
      <c r="H22" s="43"/>
      <c r="I22" s="8"/>
      <c r="J22" s="8"/>
      <c r="K22" s="8"/>
      <c r="L22" s="8"/>
      <c r="M22" s="8"/>
      <c r="N22" s="8"/>
      <c r="O22" s="8"/>
    </row>
    <row r="23" spans="1:15" ht="15" customHeight="1" x14ac:dyDescent="0.25">
      <c r="A23" s="32" t="str">
        <f>LEFT(Table3[[#This Row],[Tegevusala]],2)</f>
        <v>08</v>
      </c>
      <c r="B23" s="8" t="s">
        <v>291</v>
      </c>
      <c r="C23" s="32" t="str">
        <f>VLOOKUP(Table3[[#This Row],[Tegevusala]],Table4[],2,FALSE)</f>
        <v>Vinni-Pajusti Rahvaraamatukogu</v>
      </c>
      <c r="D23" s="32" t="str">
        <f>VLOOKUP(Table3[[#This Row],[Tegevusala]],Table4[[Tegevusala kood]:[Tegevusala alanimetus]],4,FALSE)</f>
        <v>Raamatukogud</v>
      </c>
      <c r="E23" s="32" t="str">
        <f>VLOOKUP(Table3[[#This Row],[Tegevusala nimetus2]],Table4[[Tegevusala nimetus]:[Tegevusala koondnimetus]],2,FALSE)</f>
        <v>Vabaaeg, kultuur ja religioon</v>
      </c>
      <c r="F23" s="8" t="s">
        <v>1035</v>
      </c>
      <c r="G23" s="8" t="s">
        <v>1059</v>
      </c>
      <c r="H23" s="43"/>
      <c r="I23" s="8"/>
      <c r="J23" s="8"/>
      <c r="K23" s="8"/>
      <c r="L23" s="8"/>
      <c r="M23" s="8"/>
      <c r="N23" s="8"/>
      <c r="O23" s="8"/>
    </row>
    <row r="24" spans="1:15" ht="15" customHeight="1" x14ac:dyDescent="0.25">
      <c r="A24" s="32" t="str">
        <f>LEFT(Table3[[#This Row],[Tegevusala]],2)</f>
        <v>08</v>
      </c>
      <c r="B24" s="8" t="s">
        <v>291</v>
      </c>
      <c r="C24" s="32" t="str">
        <f>VLOOKUP(Table3[[#This Row],[Tegevusala]],Table4[],2,FALSE)</f>
        <v>Vinni-Pajusti Rahvaraamatukogu</v>
      </c>
      <c r="D24" s="32" t="str">
        <f>VLOOKUP(Table3[[#This Row],[Tegevusala]],Table4[[Tegevusala kood]:[Tegevusala alanimetus]],4,FALSE)</f>
        <v>Raamatukogud</v>
      </c>
      <c r="E24" s="32" t="str">
        <f>VLOOKUP(Table3[[#This Row],[Tegevusala nimetus2]],Table4[[Tegevusala nimetus]:[Tegevusala koondnimetus]],2,FALSE)</f>
        <v>Vabaaeg, kultuur ja religioon</v>
      </c>
      <c r="F24" s="8" t="s">
        <v>1035</v>
      </c>
      <c r="G24" s="8" t="s">
        <v>1060</v>
      </c>
      <c r="H24" s="43"/>
      <c r="I24" s="8"/>
      <c r="J24" s="8"/>
      <c r="K24" s="8"/>
      <c r="L24" s="8"/>
      <c r="M24" s="8"/>
      <c r="N24" s="8"/>
      <c r="O24" s="8"/>
    </row>
    <row r="25" spans="1:15" ht="15" customHeight="1" x14ac:dyDescent="0.25">
      <c r="A25" s="79" t="str">
        <f>LEFT(Table3[[#This Row],[Tegevusala]],2)</f>
        <v>08</v>
      </c>
      <c r="B25" s="77" t="s">
        <v>291</v>
      </c>
      <c r="C25" s="79" t="str">
        <f>VLOOKUP(Table3[[#This Row],[Tegevusala]],Table4[],2,FALSE)</f>
        <v>Vinni-Pajusti Rahvaraamatukogu</v>
      </c>
      <c r="D25" s="79" t="str">
        <f>VLOOKUP(Table3[[#This Row],[Tegevusala]],Table4[[Tegevusala kood]:[Tegevusala alanimetus]],4,FALSE)</f>
        <v>Raamatukogud</v>
      </c>
      <c r="E25" s="79" t="str">
        <f>VLOOKUP(Table3[[#This Row],[Tegevusala nimetus2]],Table4[[Tegevusala nimetus]:[Tegevusala koondnimetus]],2,FALSE)</f>
        <v>Vabaaeg, kultuur ja religioon</v>
      </c>
      <c r="F25" s="77" t="s">
        <v>1035</v>
      </c>
      <c r="G25" s="77" t="s">
        <v>2157</v>
      </c>
      <c r="H25" s="78">
        <v>5000</v>
      </c>
      <c r="I25" s="77" t="s">
        <v>2154</v>
      </c>
      <c r="J25" s="77">
        <v>5511</v>
      </c>
      <c r="K25" s="77"/>
      <c r="L25" s="77"/>
      <c r="M25" s="77"/>
      <c r="N25" s="77"/>
      <c r="O25" s="77"/>
    </row>
    <row r="26" spans="1:15" ht="15" customHeight="1" x14ac:dyDescent="0.25">
      <c r="A26" s="79" t="str">
        <f>LEFT(Table3[[#This Row],[Tegevusala]],2)</f>
        <v>08</v>
      </c>
      <c r="B26" s="77" t="s">
        <v>291</v>
      </c>
      <c r="C26" s="79" t="str">
        <f>VLOOKUP(Table3[[#This Row],[Tegevusala]],Table4[],2,FALSE)</f>
        <v>Vinni-Pajusti Rahvaraamatukogu</v>
      </c>
      <c r="D26" s="79" t="str">
        <f>VLOOKUP(Table3[[#This Row],[Tegevusala]],Table4[[Tegevusala kood]:[Tegevusala alanimetus]],4,FALSE)</f>
        <v>Raamatukogud</v>
      </c>
      <c r="E26" s="79" t="str">
        <f>VLOOKUP(Table3[[#This Row],[Tegevusala nimetus2]],Table4[[Tegevusala nimetus]:[Tegevusala koondnimetus]],2,FALSE)</f>
        <v>Vabaaeg, kultuur ja religioon</v>
      </c>
      <c r="F26" s="77" t="s">
        <v>1035</v>
      </c>
      <c r="G26" s="77" t="s">
        <v>1061</v>
      </c>
      <c r="H26" s="78">
        <v>300</v>
      </c>
      <c r="I26" s="77"/>
      <c r="J26" s="77">
        <v>5515</v>
      </c>
      <c r="K26" s="77"/>
      <c r="L26" s="77"/>
      <c r="M26" s="77"/>
      <c r="N26" s="77"/>
      <c r="O26" s="77"/>
    </row>
    <row r="27" spans="1:15" ht="15" customHeight="1" x14ac:dyDescent="0.25">
      <c r="A27" s="79" t="str">
        <f>LEFT(Table3[[#This Row],[Tegevusala]],2)</f>
        <v>08</v>
      </c>
      <c r="B27" s="77" t="s">
        <v>292</v>
      </c>
      <c r="C27" s="79" t="str">
        <f>VLOOKUP(Table3[[#This Row],[Tegevusala]],Table4[],2,FALSE)</f>
        <v>Viru-Jaagupi Rahvaraamatukogu</v>
      </c>
      <c r="D27" s="79" t="str">
        <f>VLOOKUP(Table3[[#This Row],[Tegevusala]],Table4[[Tegevusala kood]:[Tegevusala alanimetus]],4,FALSE)</f>
        <v>Raamatukogud</v>
      </c>
      <c r="E27" s="79" t="str">
        <f>VLOOKUP(Table3[[#This Row],[Tegevusala nimetus2]],Table4[[Tegevusala nimetus]:[Tegevusala koondnimetus]],2,FALSE)</f>
        <v>Vabaaeg, kultuur ja religioon</v>
      </c>
      <c r="F27" s="81" t="s">
        <v>1063</v>
      </c>
      <c r="G27" s="77" t="s">
        <v>1065</v>
      </c>
      <c r="H27" s="78">
        <v>400</v>
      </c>
      <c r="I27" s="77" t="s">
        <v>1066</v>
      </c>
      <c r="J27" s="77">
        <v>5514</v>
      </c>
      <c r="K27" s="77"/>
      <c r="L27" s="77"/>
      <c r="M27" s="77"/>
      <c r="N27" s="77"/>
      <c r="O27" s="77"/>
    </row>
    <row r="28" spans="1:15" ht="15" customHeight="1" x14ac:dyDescent="0.25">
      <c r="A28" s="3" t="str">
        <f>LEFT(Table3[[#This Row],[Tegevusala]],2)</f>
        <v>08</v>
      </c>
      <c r="B28" t="s">
        <v>306</v>
      </c>
      <c r="C28" s="3" t="str">
        <f>VLOOKUP(Table3[[#This Row],[Tegevusala]],Table4[],2,FALSE)</f>
        <v>Laekvere Rahvamaja</v>
      </c>
      <c r="D28" s="3" t="str">
        <f>VLOOKUP(Table3[[#This Row],[Tegevusala]],Table4[[Tegevusala kood]:[Tegevusala alanimetus]],4,FALSE)</f>
        <v>Rahvakultuur</v>
      </c>
      <c r="E28" s="3" t="str">
        <f>VLOOKUP(Table3[[#This Row],[Tegevusala nimetus2]],Table4[[Tegevusala nimetus]:[Tegevusala koondnimetus]],2,FALSE)</f>
        <v>Vabaaeg, kultuur ja religioon</v>
      </c>
      <c r="F28" s="30" t="s">
        <v>1090</v>
      </c>
      <c r="G28" s="30" t="s">
        <v>1092</v>
      </c>
      <c r="H28" s="40">
        <v>1969</v>
      </c>
      <c r="I28" t="s">
        <v>1093</v>
      </c>
      <c r="J28">
        <v>500</v>
      </c>
    </row>
    <row r="29" spans="1:15" ht="15" customHeight="1" x14ac:dyDescent="0.25">
      <c r="A29" s="3" t="str">
        <f>LEFT(Table3[[#This Row],[Tegevusala]],2)</f>
        <v>08</v>
      </c>
      <c r="B29" t="s">
        <v>306</v>
      </c>
      <c r="C29" s="3" t="str">
        <f>VLOOKUP(Table3[[#This Row],[Tegevusala]],Table4[],2,FALSE)</f>
        <v>Laekvere Rahvamaja</v>
      </c>
      <c r="D29" s="3" t="str">
        <f>VLOOKUP(Table3[[#This Row],[Tegevusala]],Table4[[Tegevusala kood]:[Tegevusala alanimetus]],4,FALSE)</f>
        <v>Rahvakultuur</v>
      </c>
      <c r="E29" s="3" t="str">
        <f>VLOOKUP(Table3[[#This Row],[Tegevusala nimetus2]],Table4[[Tegevusala nimetus]:[Tegevusala koondnimetus]],2,FALSE)</f>
        <v>Vabaaeg, kultuur ja religioon</v>
      </c>
      <c r="F29" t="s">
        <v>1090</v>
      </c>
      <c r="G29" t="s">
        <v>1094</v>
      </c>
      <c r="H29" s="40">
        <v>2000</v>
      </c>
      <c r="I29" t="s">
        <v>1095</v>
      </c>
      <c r="J29">
        <v>5511</v>
      </c>
    </row>
    <row r="30" spans="1:15" ht="15" customHeight="1" x14ac:dyDescent="0.25">
      <c r="A30" s="3" t="str">
        <f>LEFT(Table3[[#This Row],[Tegevusala]],2)</f>
        <v>08</v>
      </c>
      <c r="B30" t="s">
        <v>306</v>
      </c>
      <c r="C30" s="3" t="str">
        <f>VLOOKUP(Table3[[#This Row],[Tegevusala]],Table4[],2,FALSE)</f>
        <v>Laekvere Rahvamaja</v>
      </c>
      <c r="D30" s="3" t="str">
        <f>VLOOKUP(Table3[[#This Row],[Tegevusala]],Table4[[Tegevusala kood]:[Tegevusala alanimetus]],4,FALSE)</f>
        <v>Rahvakultuur</v>
      </c>
      <c r="E30" s="3" t="str">
        <f>VLOOKUP(Table3[[#This Row],[Tegevusala nimetus2]],Table4[[Tegevusala nimetus]:[Tegevusala koondnimetus]],2,FALSE)</f>
        <v>Vabaaeg, kultuur ja religioon</v>
      </c>
      <c r="F30" t="s">
        <v>1090</v>
      </c>
      <c r="G30" t="s">
        <v>102</v>
      </c>
      <c r="H30" s="40">
        <v>300</v>
      </c>
      <c r="I30" t="s">
        <v>1096</v>
      </c>
      <c r="J30">
        <v>5504</v>
      </c>
    </row>
    <row r="31" spans="1:15" ht="15" customHeight="1" x14ac:dyDescent="0.25">
      <c r="A31" s="32" t="str">
        <f>LEFT(Table3[[#This Row],[Tegevusala]],2)</f>
        <v>08</v>
      </c>
      <c r="B31" s="8" t="s">
        <v>306</v>
      </c>
      <c r="C31" s="32" t="str">
        <f>VLOOKUP(Table3[[#This Row],[Tegevusala]],Table4[],2,FALSE)</f>
        <v>Laekvere Rahvamaja</v>
      </c>
      <c r="D31" s="32" t="str">
        <f>VLOOKUP(Table3[[#This Row],[Tegevusala]],Table4[[Tegevusala kood]:[Tegevusala alanimetus]],4,FALSE)</f>
        <v>Rahvakultuur</v>
      </c>
      <c r="E31" s="32" t="str">
        <f>VLOOKUP(Table3[[#This Row],[Tegevusala nimetus2]],Table4[[Tegevusala nimetus]:[Tegevusala koondnimetus]],2,FALSE)</f>
        <v>Vabaaeg, kultuur ja religioon</v>
      </c>
      <c r="F31" s="8" t="s">
        <v>1090</v>
      </c>
      <c r="G31" s="8" t="s">
        <v>1097</v>
      </c>
      <c r="H31" s="43">
        <v>1200</v>
      </c>
      <c r="I31" s="8" t="s">
        <v>1098</v>
      </c>
      <c r="J31" s="8">
        <v>5525</v>
      </c>
      <c r="K31" s="8"/>
      <c r="L31" s="8"/>
      <c r="M31" s="8"/>
      <c r="N31" s="8"/>
      <c r="O31" s="8"/>
    </row>
    <row r="32" spans="1:15" ht="15" customHeight="1" x14ac:dyDescent="0.25">
      <c r="A32" s="3" t="str">
        <f>LEFT(Table3[[#This Row],[Tegevusala]],2)</f>
        <v>08</v>
      </c>
      <c r="B32" t="s">
        <v>306</v>
      </c>
      <c r="C32" s="3" t="str">
        <f>VLOOKUP(Table3[[#This Row],[Tegevusala]],Table4[],2,FALSE)</f>
        <v>Laekvere Rahvamaja</v>
      </c>
      <c r="D32" s="3" t="str">
        <f>VLOOKUP(Table3[[#This Row],[Tegevusala]],Table4[[Tegevusala kood]:[Tegevusala alanimetus]],4,FALSE)</f>
        <v>Rahvakultuur</v>
      </c>
      <c r="E32" s="3" t="str">
        <f>VLOOKUP(Table3[[#This Row],[Tegevusala nimetus2]],Table4[[Tegevusala nimetus]:[Tegevusala koondnimetus]],2,FALSE)</f>
        <v>Vabaaeg, kultuur ja religioon</v>
      </c>
      <c r="F32" t="s">
        <v>1090</v>
      </c>
      <c r="G32" t="s">
        <v>1049</v>
      </c>
      <c r="H32" s="40">
        <v>1000</v>
      </c>
      <c r="I32" t="s">
        <v>1115</v>
      </c>
      <c r="J32">
        <v>5514</v>
      </c>
    </row>
    <row r="33" spans="1:15" ht="15" customHeight="1" x14ac:dyDescent="0.25">
      <c r="A33" s="3" t="str">
        <f>LEFT(Table3[[#This Row],[Tegevusala]],2)</f>
        <v>08</v>
      </c>
      <c r="B33" t="s">
        <v>306</v>
      </c>
      <c r="C33" s="3" t="str">
        <f>VLOOKUP(Table3[[#This Row],[Tegevusala]],Table4[],2,FALSE)</f>
        <v>Laekvere Rahvamaja</v>
      </c>
      <c r="D33" s="3" t="str">
        <f>VLOOKUP(Table3[[#This Row],[Tegevusala]],Table4[[Tegevusala kood]:[Tegevusala alanimetus]],4,FALSE)</f>
        <v>Rahvakultuur</v>
      </c>
      <c r="E33" s="3" t="str">
        <f>VLOOKUP(Table3[[#This Row],[Tegevusala nimetus2]],Table4[[Tegevusala nimetus]:[Tegevusala koondnimetus]],2,FALSE)</f>
        <v>Vabaaeg, kultuur ja religioon</v>
      </c>
      <c r="F33" t="s">
        <v>1090</v>
      </c>
      <c r="G33" t="s">
        <v>1113</v>
      </c>
      <c r="H33" s="40">
        <v>3000</v>
      </c>
      <c r="I33" t="s">
        <v>1114</v>
      </c>
      <c r="J33">
        <v>5515</v>
      </c>
    </row>
    <row r="34" spans="1:15" ht="15" customHeight="1" x14ac:dyDescent="0.25">
      <c r="A34" s="3" t="str">
        <f>LEFT(Table3[[#This Row],[Tegevusala]],2)</f>
        <v>09</v>
      </c>
      <c r="B34" t="s">
        <v>309</v>
      </c>
      <c r="C34" s="3" t="str">
        <f>VLOOKUP(Table3[[#This Row],[Tegevusala]],Table4[],2,FALSE)</f>
        <v xml:space="preserve"> Vinni Lasteaed</v>
      </c>
      <c r="D34" s="3" t="str">
        <f>VLOOKUP(Table3[[#This Row],[Tegevusala]],Table4[[Tegevusala kood]:[Tegevusala alanimetus]],4,FALSE)</f>
        <v>Alusharidus</v>
      </c>
      <c r="E34" s="3" t="str">
        <f>VLOOKUP(Table3[[#This Row],[Tegevusala nimetus2]],Table4[[Tegevusala nimetus]:[Tegevusala koondnimetus]],2,FALSE)</f>
        <v>Haridus</v>
      </c>
      <c r="F34" t="s">
        <v>1183</v>
      </c>
      <c r="G34" t="s">
        <v>1177</v>
      </c>
      <c r="H34" s="40">
        <v>14000</v>
      </c>
      <c r="I34" t="s">
        <v>1178</v>
      </c>
      <c r="J34">
        <v>5512</v>
      </c>
    </row>
    <row r="35" spans="1:15" ht="15" customHeight="1" x14ac:dyDescent="0.25">
      <c r="A35" s="3" t="str">
        <f>LEFT(Table3[[#This Row],[Tegevusala]],2)</f>
        <v>09</v>
      </c>
      <c r="B35" t="s">
        <v>309</v>
      </c>
      <c r="C35" s="3" t="str">
        <f>VLOOKUP(Table3[[#This Row],[Tegevusala]],Table4[],2,FALSE)</f>
        <v xml:space="preserve"> Vinni Lasteaed</v>
      </c>
      <c r="D35" s="3" t="str">
        <f>VLOOKUP(Table3[[#This Row],[Tegevusala]],Table4[[Tegevusala kood]:[Tegevusala alanimetus]],4,FALSE)</f>
        <v>Alusharidus</v>
      </c>
      <c r="E35" s="3" t="str">
        <f>VLOOKUP(Table3[[#This Row],[Tegevusala nimetus2]],Table4[[Tegevusala nimetus]:[Tegevusala koondnimetus]],2,FALSE)</f>
        <v>Haridus</v>
      </c>
      <c r="F35" t="s">
        <v>1183</v>
      </c>
      <c r="G35" t="s">
        <v>1179</v>
      </c>
      <c r="H35" s="40">
        <v>20000</v>
      </c>
      <c r="I35" t="s">
        <v>1180</v>
      </c>
      <c r="J35">
        <v>1551</v>
      </c>
    </row>
    <row r="36" spans="1:15" ht="15" customHeight="1" x14ac:dyDescent="0.25">
      <c r="A36" s="79" t="str">
        <f>LEFT(Table3[[#This Row],[Tegevusala]],2)</f>
        <v>09</v>
      </c>
      <c r="B36" s="77" t="s">
        <v>309</v>
      </c>
      <c r="C36" s="79" t="str">
        <f>VLOOKUP(Table3[[#This Row],[Tegevusala]],Table4[],2,FALSE)</f>
        <v xml:space="preserve"> Vinni Lasteaed</v>
      </c>
      <c r="D36" s="79" t="str">
        <f>VLOOKUP(Table3[[#This Row],[Tegevusala]],Table4[[Tegevusala kood]:[Tegevusala alanimetus]],4,FALSE)</f>
        <v>Alusharidus</v>
      </c>
      <c r="E36" s="79" t="str">
        <f>VLOOKUP(Table3[[#This Row],[Tegevusala nimetus2]],Table4[[Tegevusala nimetus]:[Tegevusala koondnimetus]],2,FALSE)</f>
        <v>Haridus</v>
      </c>
      <c r="F36" s="77" t="s">
        <v>1183</v>
      </c>
      <c r="G36" s="77" t="s">
        <v>1179</v>
      </c>
      <c r="H36" s="78">
        <v>5000</v>
      </c>
      <c r="I36" s="77" t="s">
        <v>2159</v>
      </c>
      <c r="J36" s="77">
        <v>5511</v>
      </c>
      <c r="K36" s="77"/>
      <c r="L36" s="77"/>
      <c r="M36" s="77"/>
      <c r="N36" s="77"/>
      <c r="O36" s="77"/>
    </row>
    <row r="37" spans="1:15" ht="15" customHeight="1" x14ac:dyDescent="0.25">
      <c r="A37" s="79" t="str">
        <f>LEFT(Table3[[#This Row],[Tegevusala]],2)</f>
        <v>09</v>
      </c>
      <c r="B37" s="77" t="s">
        <v>309</v>
      </c>
      <c r="C37" s="79" t="str">
        <f>VLOOKUP(Table3[[#This Row],[Tegevusala]],Table4[],2,FALSE)</f>
        <v xml:space="preserve"> Vinni Lasteaed</v>
      </c>
      <c r="D37" s="79" t="str">
        <f>VLOOKUP(Table3[[#This Row],[Tegevusala]],Table4[[Tegevusala kood]:[Tegevusala alanimetus]],4,FALSE)</f>
        <v>Alusharidus</v>
      </c>
      <c r="E37" s="79" t="str">
        <f>VLOOKUP(Table3[[#This Row],[Tegevusala nimetus2]],Table4[[Tegevusala nimetus]:[Tegevusala koondnimetus]],2,FALSE)</f>
        <v>Haridus</v>
      </c>
      <c r="F37" s="77" t="s">
        <v>1183</v>
      </c>
      <c r="G37" s="77" t="s">
        <v>2158</v>
      </c>
      <c r="H37" s="78"/>
      <c r="I37" s="77"/>
      <c r="J37" s="77">
        <v>5511</v>
      </c>
      <c r="K37" s="77"/>
      <c r="L37" s="77"/>
      <c r="M37" s="77"/>
      <c r="N37" s="77"/>
      <c r="O37" s="77"/>
    </row>
    <row r="38" spans="1:15" ht="15" customHeight="1" x14ac:dyDescent="0.25">
      <c r="A38" s="3" t="str">
        <f>LEFT(Table3[[#This Row],[Tegevusala]],2)</f>
        <v>09</v>
      </c>
      <c r="B38" t="s">
        <v>309</v>
      </c>
      <c r="C38" s="3" t="str">
        <f>VLOOKUP(Table3[[#This Row],[Tegevusala]],Table4[],2,FALSE)</f>
        <v xml:space="preserve"> Vinni Lasteaed</v>
      </c>
      <c r="D38" s="3" t="str">
        <f>VLOOKUP(Table3[[#This Row],[Tegevusala]],Table4[[Tegevusala kood]:[Tegevusala alanimetus]],4,FALSE)</f>
        <v>Alusharidus</v>
      </c>
      <c r="E38" s="3" t="str">
        <f>VLOOKUP(Table3[[#This Row],[Tegevusala nimetus2]],Table4[[Tegevusala nimetus]:[Tegevusala koondnimetus]],2,FALSE)</f>
        <v>Haridus</v>
      </c>
      <c r="F38" t="s">
        <v>1183</v>
      </c>
      <c r="G38" t="s">
        <v>1181</v>
      </c>
      <c r="H38" s="40">
        <v>8000</v>
      </c>
      <c r="I38" t="s">
        <v>1182</v>
      </c>
      <c r="J38">
        <v>5511</v>
      </c>
    </row>
    <row r="39" spans="1:15" ht="15" customHeight="1" x14ac:dyDescent="0.25">
      <c r="A39" s="3" t="str">
        <f>LEFT(Table3[[#This Row],[Tegevusala]],2)</f>
        <v>09</v>
      </c>
      <c r="B39" t="s">
        <v>311</v>
      </c>
      <c r="C39" s="3" t="str">
        <f>VLOOKUP(Table3[[#This Row],[Tegevusala]],Table4[],2,FALSE)</f>
        <v xml:space="preserve"> Pajusti Lasteaed</v>
      </c>
      <c r="D39" s="3" t="str">
        <f>VLOOKUP(Table3[[#This Row],[Tegevusala]],Table4[[Tegevusala kood]:[Tegevusala alanimetus]],4,FALSE)</f>
        <v>Alusharidus</v>
      </c>
      <c r="E39" s="3" t="str">
        <f>VLOOKUP(Table3[[#This Row],[Tegevusala nimetus2]],Table4[[Tegevusala nimetus]:[Tegevusala koondnimetus]],2,FALSE)</f>
        <v>Haridus</v>
      </c>
      <c r="F39" t="s">
        <v>1252</v>
      </c>
      <c r="G39" t="s">
        <v>1257</v>
      </c>
      <c r="H39" s="40">
        <v>2775</v>
      </c>
      <c r="I39" t="s">
        <v>1254</v>
      </c>
      <c r="J39">
        <v>5515</v>
      </c>
    </row>
    <row r="40" spans="1:15" ht="15" customHeight="1" x14ac:dyDescent="0.25">
      <c r="A40" s="3" t="str">
        <f>LEFT(Table3[[#This Row],[Tegevusala]],2)</f>
        <v>09</v>
      </c>
      <c r="B40" t="s">
        <v>311</v>
      </c>
      <c r="C40" s="3" t="str">
        <f>VLOOKUP(Table3[[#This Row],[Tegevusala]],Table4[],2,FALSE)</f>
        <v xml:space="preserve"> Pajusti Lasteaed</v>
      </c>
      <c r="D40" s="3" t="str">
        <f>VLOOKUP(Table3[[#This Row],[Tegevusala]],Table4[[Tegevusala kood]:[Tegevusala alanimetus]],4,FALSE)</f>
        <v>Alusharidus</v>
      </c>
      <c r="E40" s="3" t="str">
        <f>VLOOKUP(Table3[[#This Row],[Tegevusala nimetus2]],Table4[[Tegevusala nimetus]:[Tegevusala koondnimetus]],2,FALSE)</f>
        <v>Haridus</v>
      </c>
      <c r="F40" t="s">
        <v>1252</v>
      </c>
      <c r="G40" t="s">
        <v>1258</v>
      </c>
      <c r="H40" s="40">
        <v>17602</v>
      </c>
      <c r="I40" t="s">
        <v>1259</v>
      </c>
      <c r="J40">
        <v>1551</v>
      </c>
    </row>
    <row r="41" spans="1:15" ht="15" customHeight="1" x14ac:dyDescent="0.25">
      <c r="A41" s="79" t="str">
        <f>LEFT(Table3[[#This Row],[Tegevusala]],2)</f>
        <v>09</v>
      </c>
      <c r="B41" s="77" t="s">
        <v>311</v>
      </c>
      <c r="C41" s="79" t="str">
        <f>VLOOKUP(Table3[[#This Row],[Tegevusala]],Table4[],2,FALSE)</f>
        <v xml:space="preserve"> Pajusti Lasteaed</v>
      </c>
      <c r="D41" s="79" t="str">
        <f>VLOOKUP(Table3[[#This Row],[Tegevusala]],Table4[[Tegevusala kood]:[Tegevusala alanimetus]],4,FALSE)</f>
        <v>Alusharidus</v>
      </c>
      <c r="E41" s="79" t="str">
        <f>VLOOKUP(Table3[[#This Row],[Tegevusala nimetus2]],Table4[[Tegevusala nimetus]:[Tegevusala koondnimetus]],2,FALSE)</f>
        <v>Haridus</v>
      </c>
      <c r="F41" s="77" t="s">
        <v>1252</v>
      </c>
      <c r="G41" s="77" t="s">
        <v>2160</v>
      </c>
      <c r="H41" s="78">
        <v>5500</v>
      </c>
      <c r="I41" s="77"/>
      <c r="J41" s="77">
        <v>5511</v>
      </c>
      <c r="K41" s="77"/>
      <c r="L41" s="77"/>
      <c r="M41" s="77"/>
      <c r="N41" s="77"/>
      <c r="O41" s="77"/>
    </row>
    <row r="42" spans="1:15" ht="15" customHeight="1" x14ac:dyDescent="0.25">
      <c r="A42" s="3" t="str">
        <f>LEFT(Table3[[#This Row],[Tegevusala]],2)</f>
        <v>09</v>
      </c>
      <c r="B42" t="s">
        <v>311</v>
      </c>
      <c r="C42" s="3" t="str">
        <f>VLOOKUP(Table3[[#This Row],[Tegevusala]],Table4[],2,FALSE)</f>
        <v xml:space="preserve"> Pajusti Lasteaed</v>
      </c>
      <c r="D42" s="3" t="str">
        <f>VLOOKUP(Table3[[#This Row],[Tegevusala]],Table4[[Tegevusala kood]:[Tegevusala alanimetus]],4,FALSE)</f>
        <v>Alusharidus</v>
      </c>
      <c r="E42" s="3" t="str">
        <f>VLOOKUP(Table3[[#This Row],[Tegevusala nimetus2]],Table4[[Tegevusala nimetus]:[Tegevusala koondnimetus]],2,FALSE)</f>
        <v>Haridus</v>
      </c>
      <c r="F42" t="s">
        <v>1252</v>
      </c>
      <c r="G42" t="s">
        <v>1255</v>
      </c>
      <c r="H42" s="40">
        <v>130000</v>
      </c>
      <c r="I42" t="s">
        <v>1256</v>
      </c>
      <c r="J42">
        <v>1551</v>
      </c>
    </row>
    <row r="43" spans="1:15" x14ac:dyDescent="0.25">
      <c r="A43" s="79" t="str">
        <f>LEFT(Table3[[#This Row],[Tegevusala]],2)</f>
        <v>09</v>
      </c>
      <c r="B43" s="77" t="s">
        <v>329</v>
      </c>
      <c r="C43" s="79" t="str">
        <f>VLOOKUP(Table3[[#This Row],[Tegevusala]],Table4[],2,FALSE)</f>
        <v xml:space="preserve"> Vinni-Pajusti Gümnaasium</v>
      </c>
      <c r="D43" s="79" t="str">
        <f>VLOOKUP(Table3[[#This Row],[Tegevusala]],Table4[[Tegevusala kood]:[Tegevusala alanimetus]],4,FALSE)</f>
        <v>Põhihariduse otsekulud</v>
      </c>
      <c r="E43" s="79" t="str">
        <f>VLOOKUP(Table3[[#This Row],[Tegevusala nimetus2]],Table4[[Tegevusala nimetus]:[Tegevusala koondnimetus]],2,FALSE)</f>
        <v>Haridus</v>
      </c>
      <c r="F43" s="77" t="s">
        <v>1428</v>
      </c>
      <c r="G43" s="77" t="s">
        <v>1429</v>
      </c>
      <c r="H43" s="78">
        <v>10000</v>
      </c>
      <c r="I43" s="77" t="s">
        <v>1430</v>
      </c>
      <c r="J43" s="77">
        <v>5515</v>
      </c>
      <c r="K43" s="77"/>
      <c r="L43" s="77"/>
      <c r="M43" s="77"/>
      <c r="N43" s="77"/>
      <c r="O43" s="77"/>
    </row>
    <row r="44" spans="1:15" x14ac:dyDescent="0.25">
      <c r="A44" s="79" t="str">
        <f>LEFT(Table3[[#This Row],[Tegevusala]],2)</f>
        <v>09</v>
      </c>
      <c r="B44" s="77" t="s">
        <v>329</v>
      </c>
      <c r="C44" s="79" t="str">
        <f>VLOOKUP(Table3[[#This Row],[Tegevusala]],Table4[],2,FALSE)</f>
        <v xml:space="preserve"> Vinni-Pajusti Gümnaasium</v>
      </c>
      <c r="D44" s="79" t="str">
        <f>VLOOKUP(Table3[[#This Row],[Tegevusala]],Table4[[Tegevusala kood]:[Tegevusala alanimetus]],4,FALSE)</f>
        <v>Põhihariduse otsekulud</v>
      </c>
      <c r="E44" s="79" t="str">
        <f>VLOOKUP(Table3[[#This Row],[Tegevusala nimetus2]],Table4[[Tegevusala nimetus]:[Tegevusala koondnimetus]],2,FALSE)</f>
        <v>Haridus</v>
      </c>
      <c r="F44" s="77" t="s">
        <v>1428</v>
      </c>
      <c r="G44" s="77" t="s">
        <v>1431</v>
      </c>
      <c r="H44" s="78">
        <v>2500</v>
      </c>
      <c r="I44" s="77" t="s">
        <v>1432</v>
      </c>
      <c r="J44" s="77">
        <v>5515</v>
      </c>
      <c r="K44" s="77"/>
      <c r="L44" s="77"/>
      <c r="M44" s="77"/>
      <c r="N44" s="77"/>
      <c r="O44" s="77"/>
    </row>
    <row r="45" spans="1:15" x14ac:dyDescent="0.25">
      <c r="A45" s="79" t="str">
        <f>LEFT(Table3[[#This Row],[Tegevusala]],2)</f>
        <v>09</v>
      </c>
      <c r="B45" s="77" t="s">
        <v>329</v>
      </c>
      <c r="C45" s="79" t="str">
        <f>VLOOKUP(Table3[[#This Row],[Tegevusala]],Table4[],2,FALSE)</f>
        <v xml:space="preserve"> Vinni-Pajusti Gümnaasium</v>
      </c>
      <c r="D45" s="79" t="str">
        <f>VLOOKUP(Table3[[#This Row],[Tegevusala]],Table4[[Tegevusala kood]:[Tegevusala alanimetus]],4,FALSE)</f>
        <v>Põhihariduse otsekulud</v>
      </c>
      <c r="E45" s="79" t="str">
        <f>VLOOKUP(Table3[[#This Row],[Tegevusala nimetus2]],Table4[[Tegevusala nimetus]:[Tegevusala koondnimetus]],2,FALSE)</f>
        <v>Haridus</v>
      </c>
      <c r="F45" s="77" t="s">
        <v>1428</v>
      </c>
      <c r="G45" s="77" t="s">
        <v>1433</v>
      </c>
      <c r="H45" s="78">
        <v>1000</v>
      </c>
      <c r="I45" s="77" t="s">
        <v>1434</v>
      </c>
      <c r="J45" s="77">
        <v>5514</v>
      </c>
      <c r="K45" s="77"/>
      <c r="L45" s="77"/>
      <c r="M45" s="77"/>
      <c r="N45" s="77"/>
      <c r="O45" s="77"/>
    </row>
    <row r="46" spans="1:15" x14ac:dyDescent="0.25">
      <c r="A46" s="79" t="str">
        <f>LEFT(Table3[[#This Row],[Tegevusala]],2)</f>
        <v>09</v>
      </c>
      <c r="B46" s="77" t="s">
        <v>329</v>
      </c>
      <c r="C46" s="79" t="str">
        <f>VLOOKUP(Table3[[#This Row],[Tegevusala]],Table4[],2,FALSE)</f>
        <v xml:space="preserve"> Vinni-Pajusti Gümnaasium</v>
      </c>
      <c r="D46" s="79" t="str">
        <f>VLOOKUP(Table3[[#This Row],[Tegevusala]],Table4[[Tegevusala kood]:[Tegevusala alanimetus]],4,FALSE)</f>
        <v>Põhihariduse otsekulud</v>
      </c>
      <c r="E46" s="79" t="str">
        <f>VLOOKUP(Table3[[#This Row],[Tegevusala nimetus2]],Table4[[Tegevusala nimetus]:[Tegevusala koondnimetus]],2,FALSE)</f>
        <v>Haridus</v>
      </c>
      <c r="F46" s="77" t="s">
        <v>1428</v>
      </c>
      <c r="G46" s="77" t="s">
        <v>1435</v>
      </c>
      <c r="H46" s="78">
        <v>8500</v>
      </c>
      <c r="I46" s="77" t="s">
        <v>1436</v>
      </c>
      <c r="J46" s="77">
        <v>5515</v>
      </c>
      <c r="K46" s="77"/>
      <c r="L46" s="77"/>
      <c r="M46" s="77"/>
      <c r="N46" s="77"/>
      <c r="O46" s="77"/>
    </row>
    <row r="47" spans="1:15" x14ac:dyDescent="0.25">
      <c r="A47" s="79" t="str">
        <f>LEFT(Table3[[#This Row],[Tegevusala]],2)</f>
        <v>09</v>
      </c>
      <c r="B47" s="77" t="s">
        <v>329</v>
      </c>
      <c r="C47" s="79" t="str">
        <f>VLOOKUP(Table3[[#This Row],[Tegevusala]],Table4[],2,FALSE)</f>
        <v xml:space="preserve"> Vinni-Pajusti Gümnaasium</v>
      </c>
      <c r="D47" s="79" t="str">
        <f>VLOOKUP(Table3[[#This Row],[Tegevusala]],Table4[[Tegevusala kood]:[Tegevusala alanimetus]],4,FALSE)</f>
        <v>Põhihariduse otsekulud</v>
      </c>
      <c r="E47" s="79" t="str">
        <f>VLOOKUP(Table3[[#This Row],[Tegevusala nimetus2]],Table4[[Tegevusala nimetus]:[Tegevusala koondnimetus]],2,FALSE)</f>
        <v>Haridus</v>
      </c>
      <c r="F47" s="77" t="s">
        <v>1428</v>
      </c>
      <c r="G47" s="77" t="s">
        <v>1437</v>
      </c>
      <c r="H47" s="78">
        <v>2500</v>
      </c>
      <c r="I47" s="77" t="s">
        <v>1438</v>
      </c>
      <c r="J47" s="77">
        <v>5514</v>
      </c>
      <c r="K47" s="77"/>
      <c r="L47" s="77"/>
      <c r="M47" s="77"/>
      <c r="N47" s="77"/>
      <c r="O47" s="77"/>
    </row>
    <row r="48" spans="1:15" x14ac:dyDescent="0.25">
      <c r="A48" s="79" t="str">
        <f>LEFT(Table3[[#This Row],[Tegevusala]],2)</f>
        <v>09</v>
      </c>
      <c r="B48" s="77" t="s">
        <v>329</v>
      </c>
      <c r="C48" s="79" t="str">
        <f>VLOOKUP(Table3[[#This Row],[Tegevusala]],Table4[],2,FALSE)</f>
        <v xml:space="preserve"> Vinni-Pajusti Gümnaasium</v>
      </c>
      <c r="D48" s="79" t="str">
        <f>VLOOKUP(Table3[[#This Row],[Tegevusala]],Table4[[Tegevusala kood]:[Tegevusala alanimetus]],4,FALSE)</f>
        <v>Põhihariduse otsekulud</v>
      </c>
      <c r="E48" s="79" t="str">
        <f>VLOOKUP(Table3[[#This Row],[Tegevusala nimetus2]],Table4[[Tegevusala nimetus]:[Tegevusala koondnimetus]],2,FALSE)</f>
        <v>Haridus</v>
      </c>
      <c r="F48" s="77" t="s">
        <v>1428</v>
      </c>
      <c r="G48" s="77" t="s">
        <v>1439</v>
      </c>
      <c r="H48" s="78">
        <v>1000</v>
      </c>
      <c r="I48" s="77" t="s">
        <v>1440</v>
      </c>
      <c r="J48" s="77">
        <v>5511</v>
      </c>
      <c r="K48" s="77"/>
      <c r="L48" s="77"/>
      <c r="M48" s="77"/>
      <c r="N48" s="77"/>
      <c r="O48" s="77"/>
    </row>
    <row r="49" spans="1:15" x14ac:dyDescent="0.25">
      <c r="A49" s="79" t="str">
        <f>LEFT(Table3[[#This Row],[Tegevusala]],2)</f>
        <v>09</v>
      </c>
      <c r="B49" s="77" t="s">
        <v>329</v>
      </c>
      <c r="C49" s="79" t="str">
        <f>VLOOKUP(Table3[[#This Row],[Tegevusala]],Table4[],2,FALSE)</f>
        <v xml:space="preserve"> Vinni-Pajusti Gümnaasium</v>
      </c>
      <c r="D49" s="79" t="str">
        <f>VLOOKUP(Table3[[#This Row],[Tegevusala]],Table4[[Tegevusala kood]:[Tegevusala alanimetus]],4,FALSE)</f>
        <v>Põhihariduse otsekulud</v>
      </c>
      <c r="E49" s="79" t="str">
        <f>VLOOKUP(Table3[[#This Row],[Tegevusala nimetus2]],Table4[[Tegevusala nimetus]:[Tegevusala koondnimetus]],2,FALSE)</f>
        <v>Haridus</v>
      </c>
      <c r="F49" s="77" t="s">
        <v>1428</v>
      </c>
      <c r="G49" s="77" t="s">
        <v>1441</v>
      </c>
      <c r="H49" s="78">
        <v>8000</v>
      </c>
      <c r="I49" s="77" t="s">
        <v>1442</v>
      </c>
      <c r="J49" s="77">
        <v>5515</v>
      </c>
      <c r="K49" s="77"/>
      <c r="L49" s="77"/>
      <c r="M49" s="77"/>
      <c r="N49" s="77"/>
      <c r="O49" s="77"/>
    </row>
    <row r="50" spans="1:15" ht="15" customHeight="1" x14ac:dyDescent="0.25">
      <c r="A50" s="3" t="str">
        <f>LEFT(Table3[[#This Row],[Tegevusala]],2)</f>
        <v>10</v>
      </c>
      <c r="B50" t="s">
        <v>356</v>
      </c>
      <c r="C50" s="3" t="str">
        <f>VLOOKUP(Table3[[#This Row],[Tegevusala]],Table4[],2,FALSE)</f>
        <v xml:space="preserve"> Tammiku Kodu</v>
      </c>
      <c r="D50" s="3" t="str">
        <f>VLOOKUP(Table3[[#This Row],[Tegevusala]],Table4[[Tegevusala kood]:[Tegevusala alanimetus]],4,FALSE)</f>
        <v>Eakate sotsiaalhoolekande asutused</v>
      </c>
      <c r="E50" s="3" t="str">
        <f>VLOOKUP(Table3[[#This Row],[Tegevusala nimetus2]],Table4[[Tegevusala nimetus]:[Tegevusala koondnimetus]],2,FALSE)</f>
        <v>Sotsiaalne kaitse</v>
      </c>
      <c r="F50" t="s">
        <v>1572</v>
      </c>
      <c r="G50" t="s">
        <v>1573</v>
      </c>
      <c r="H50" s="40">
        <v>5000</v>
      </c>
      <c r="I50" t="s">
        <v>1574</v>
      </c>
      <c r="J50">
        <v>5511</v>
      </c>
    </row>
    <row r="51" spans="1:15" ht="15" customHeight="1" x14ac:dyDescent="0.25">
      <c r="A51" s="3" t="str">
        <f>LEFT(Table3[[#This Row],[Tegevusala]],2)</f>
        <v>08</v>
      </c>
      <c r="B51" t="s">
        <v>294</v>
      </c>
      <c r="C51" s="3" t="str">
        <f>VLOOKUP(Table3[[#This Row],[Tegevusala]],Table4[],2,FALSE)</f>
        <v>Tudu Rahvaraamatukogu</v>
      </c>
      <c r="D51" s="3" t="str">
        <f>VLOOKUP(Table3[[#This Row],[Tegevusala]],Table4[[Tegevusala kood]:[Tegevusala alanimetus]],4,FALSE)</f>
        <v>Raamatukogud</v>
      </c>
      <c r="E51" s="3" t="str">
        <f>VLOOKUP(Table3[[#This Row],[Tegevusala nimetus2]],Table4[[Tegevusala nimetus]:[Tegevusala koondnimetus]],2,FALSE)</f>
        <v>Vabaaeg, kultuur ja religioon</v>
      </c>
      <c r="F51" t="s">
        <v>1650</v>
      </c>
      <c r="G51" t="s">
        <v>1651</v>
      </c>
      <c r="H51" s="40">
        <v>200</v>
      </c>
      <c r="J51">
        <v>5515</v>
      </c>
    </row>
    <row r="52" spans="1:15" ht="15" customHeight="1" x14ac:dyDescent="0.25">
      <c r="A52" s="3" t="str">
        <f>LEFT(Table3[[#This Row],[Tegevusala]],2)</f>
        <v>09</v>
      </c>
      <c r="B52" t="s">
        <v>327</v>
      </c>
      <c r="C52" s="3" t="str">
        <f>VLOOKUP(Table3[[#This Row],[Tegevusala]],Table4[],2,FALSE)</f>
        <v xml:space="preserve"> Tudu kool</v>
      </c>
      <c r="D52" s="3" t="str">
        <f>VLOOKUP(Table3[[#This Row],[Tegevusala]],Table4[[Tegevusala kood]:[Tegevusala alanimetus]],4,FALSE)</f>
        <v>Põhihariduse otsekulud</v>
      </c>
      <c r="E52" s="3" t="str">
        <f>VLOOKUP(Table3[[#This Row],[Tegevusala nimetus2]],Table4[[Tegevusala nimetus]:[Tegevusala koondnimetus]],2,FALSE)</f>
        <v>Haridus</v>
      </c>
      <c r="F52" s="14" t="s">
        <v>1704</v>
      </c>
      <c r="G52" t="s">
        <v>1705</v>
      </c>
      <c r="H52" s="40">
        <v>1600</v>
      </c>
      <c r="I52" t="s">
        <v>1706</v>
      </c>
      <c r="J52">
        <v>5511</v>
      </c>
    </row>
    <row r="53" spans="1:15" ht="15" customHeight="1" x14ac:dyDescent="0.25">
      <c r="A53" s="3" t="str">
        <f>LEFT(Table3[[#This Row],[Tegevusala]],2)</f>
        <v>09</v>
      </c>
      <c r="B53" t="s">
        <v>327</v>
      </c>
      <c r="C53" s="3" t="str">
        <f>VLOOKUP(Table3[[#This Row],[Tegevusala]],Table4[],2,FALSE)</f>
        <v xml:space="preserve"> Tudu kool</v>
      </c>
      <c r="D53" s="3" t="str">
        <f>VLOOKUP(Table3[[#This Row],[Tegevusala]],Table4[[Tegevusala kood]:[Tegevusala alanimetus]],4,FALSE)</f>
        <v>Põhihariduse otsekulud</v>
      </c>
      <c r="E53" s="3" t="str">
        <f>VLOOKUP(Table3[[#This Row],[Tegevusala nimetus2]],Table4[[Tegevusala nimetus]:[Tegevusala koondnimetus]],2,FALSE)</f>
        <v>Haridus</v>
      </c>
      <c r="F53" s="14" t="s">
        <v>1704</v>
      </c>
      <c r="G53" t="s">
        <v>1707</v>
      </c>
      <c r="H53" s="40">
        <v>2500</v>
      </c>
      <c r="I53" t="s">
        <v>1708</v>
      </c>
      <c r="J53">
        <v>5511</v>
      </c>
    </row>
    <row r="54" spans="1:15" ht="15" customHeight="1" x14ac:dyDescent="0.25">
      <c r="A54" s="3" t="str">
        <f>LEFT(Table3[[#This Row],[Tegevusala]],2)</f>
        <v>08</v>
      </c>
      <c r="B54" t="s">
        <v>303</v>
      </c>
      <c r="C54" s="3" t="str">
        <f>VLOOKUP(Table3[[#This Row],[Tegevusala]],Table4[],2,FALSE)</f>
        <v xml:space="preserve"> Roela Rahvamaja</v>
      </c>
      <c r="D54" s="3" t="str">
        <f>VLOOKUP(Table3[[#This Row],[Tegevusala]],Table4[[Tegevusala kood]:[Tegevusala alanimetus]],4,FALSE)</f>
        <v>Rahvakultuur</v>
      </c>
      <c r="E54" s="3" t="str">
        <f>VLOOKUP(Table3[[#This Row],[Tegevusala nimetus2]],Table4[[Tegevusala nimetus]:[Tegevusala koondnimetus]],2,FALSE)</f>
        <v>Vabaaeg, kultuur ja religioon</v>
      </c>
      <c r="F54" s="30" t="s">
        <v>1766</v>
      </c>
      <c r="G54" s="30" t="s">
        <v>1767</v>
      </c>
      <c r="H54" s="40">
        <v>1100</v>
      </c>
      <c r="I54" t="s">
        <v>1768</v>
      </c>
      <c r="J54">
        <v>500</v>
      </c>
    </row>
    <row r="55" spans="1:15" ht="15" customHeight="1" x14ac:dyDescent="0.25">
      <c r="A55" s="3" t="str">
        <f>LEFT(Table3[[#This Row],[Tegevusala]],2)</f>
        <v>08</v>
      </c>
      <c r="B55" t="s">
        <v>303</v>
      </c>
      <c r="C55" s="3" t="str">
        <f>VLOOKUP(Table3[[#This Row],[Tegevusala]],Table4[],2,FALSE)</f>
        <v xml:space="preserve"> Roela Rahvamaja</v>
      </c>
      <c r="D55" s="3" t="str">
        <f>VLOOKUP(Table3[[#This Row],[Tegevusala]],Table4[[Tegevusala kood]:[Tegevusala alanimetus]],4,FALSE)</f>
        <v>Rahvakultuur</v>
      </c>
      <c r="E55" s="3" t="str">
        <f>VLOOKUP(Table3[[#This Row],[Tegevusala nimetus2]],Table4[[Tegevusala nimetus]:[Tegevusala koondnimetus]],2,FALSE)</f>
        <v>Vabaaeg, kultuur ja religioon</v>
      </c>
      <c r="F55" t="s">
        <v>1766</v>
      </c>
      <c r="G55" t="s">
        <v>1769</v>
      </c>
      <c r="H55" s="40">
        <v>3000</v>
      </c>
      <c r="J55">
        <v>5515</v>
      </c>
    </row>
    <row r="56" spans="1:15" ht="15" customHeight="1" x14ac:dyDescent="0.25">
      <c r="A56" s="34" t="str">
        <f>LEFT(Table3[[#This Row],[Tegevusala]],2)</f>
        <v>09</v>
      </c>
      <c r="B56" s="33" t="s">
        <v>327</v>
      </c>
      <c r="C56" s="34" t="str">
        <f>VLOOKUP(Table3[[#This Row],[Tegevusala]],Table4[],2,FALSE)</f>
        <v xml:space="preserve"> Tudu kool</v>
      </c>
      <c r="D56" s="34" t="str">
        <f>VLOOKUP(Table3[[#This Row],[Tegevusala]],Table4[[Tegevusala kood]:[Tegevusala alanimetus]],4,FALSE)</f>
        <v>Põhihariduse otsekulud</v>
      </c>
      <c r="E56" s="34" t="str">
        <f>VLOOKUP(Table3[[#This Row],[Tegevusala nimetus2]],Table4[[Tegevusala nimetus]:[Tegevusala koondnimetus]],2,FALSE)</f>
        <v>Haridus</v>
      </c>
      <c r="F56" s="33" t="s">
        <v>1704</v>
      </c>
      <c r="G56" s="33" t="s">
        <v>1809</v>
      </c>
      <c r="H56" s="47">
        <v>1500</v>
      </c>
      <c r="I56" s="33"/>
      <c r="J56" s="33">
        <v>5511</v>
      </c>
      <c r="K56" s="33"/>
      <c r="L56" s="33"/>
      <c r="M56" s="33"/>
      <c r="N56" s="33"/>
      <c r="O56" s="33"/>
    </row>
    <row r="57" spans="1:15" ht="15" customHeight="1" x14ac:dyDescent="0.25">
      <c r="A57" s="34" t="str">
        <f>LEFT(Table3[[#This Row],[Tegevusala]],2)</f>
        <v>09</v>
      </c>
      <c r="B57" s="33" t="s">
        <v>327</v>
      </c>
      <c r="C57" s="34" t="str">
        <f>VLOOKUP(Table3[[#This Row],[Tegevusala]],Table4[],2,FALSE)</f>
        <v xml:space="preserve"> Tudu kool</v>
      </c>
      <c r="D57" s="34" t="str">
        <f>VLOOKUP(Table3[[#This Row],[Tegevusala]],Table4[[Tegevusala kood]:[Tegevusala alanimetus]],4,FALSE)</f>
        <v>Põhihariduse otsekulud</v>
      </c>
      <c r="E57" s="34" t="str">
        <f>VLOOKUP(Table3[[#This Row],[Tegevusala nimetus2]],Table4[[Tegevusala nimetus]:[Tegevusala koondnimetus]],2,FALSE)</f>
        <v>Haridus</v>
      </c>
      <c r="F57" s="33" t="s">
        <v>1704</v>
      </c>
      <c r="G57" s="33" t="s">
        <v>1807</v>
      </c>
      <c r="H57" s="47">
        <v>1600</v>
      </c>
      <c r="I57" s="33" t="s">
        <v>1808</v>
      </c>
      <c r="J57" s="33">
        <v>5511</v>
      </c>
      <c r="K57" s="33"/>
      <c r="L57" s="33"/>
      <c r="M57" s="33"/>
      <c r="N57" s="33"/>
      <c r="O57" s="33"/>
    </row>
    <row r="58" spans="1:15" ht="15" customHeight="1" x14ac:dyDescent="0.25">
      <c r="A58" s="3" t="str">
        <f>LEFT(Table3[[#This Row],[Tegevusala]],2)</f>
        <v>08</v>
      </c>
      <c r="B58" t="s">
        <v>301</v>
      </c>
      <c r="C58" s="3" t="str">
        <f>VLOOKUP(Table3[[#This Row],[Tegevusala]],Table4[],2,FALSE)</f>
        <v xml:space="preserve"> Pajusti klubi</v>
      </c>
      <c r="D58" s="3" t="str">
        <f>VLOOKUP(Table3[[#This Row],[Tegevusala]],Table4[[Tegevusala kood]:[Tegevusala alanimetus]],4,FALSE)</f>
        <v>Rahvakultuur</v>
      </c>
      <c r="E58" s="3" t="str">
        <f>VLOOKUP(Table3[[#This Row],[Tegevusala nimetus2]],Table4[[Tegevusala nimetus]:[Tegevusala koondnimetus]],2,FALSE)</f>
        <v>Vabaaeg, kultuur ja religioon</v>
      </c>
      <c r="F58" t="s">
        <v>1823</v>
      </c>
      <c r="G58" t="s">
        <v>1824</v>
      </c>
      <c r="H58" s="40">
        <v>1200</v>
      </c>
      <c r="J58">
        <v>5511</v>
      </c>
    </row>
    <row r="59" spans="1:15" ht="15" customHeight="1" x14ac:dyDescent="0.25">
      <c r="A59" s="3" t="str">
        <f>LEFT(Table3[[#This Row],[Tegevusala]],2)</f>
        <v>09</v>
      </c>
      <c r="B59" t="s">
        <v>319</v>
      </c>
      <c r="C59" s="3" t="str">
        <f>VLOOKUP(Table3[[#This Row],[Tegevusala]],Table4[],2,FALSE)</f>
        <v xml:space="preserve"> Laekvere Lasteaed</v>
      </c>
      <c r="D59" s="3" t="str">
        <f>VLOOKUP(Table3[[#This Row],[Tegevusala]],Table4[[Tegevusala kood]:[Tegevusala alanimetus]],4,FALSE)</f>
        <v>Alusharidus</v>
      </c>
      <c r="E59" s="3" t="str">
        <f>VLOOKUP(Table3[[#This Row],[Tegevusala nimetus2]],Table4[[Tegevusala nimetus]:[Tegevusala koondnimetus]],2,FALSE)</f>
        <v>Haridus</v>
      </c>
      <c r="F59" t="s">
        <v>1848</v>
      </c>
      <c r="G59" t="s">
        <v>1853</v>
      </c>
      <c r="H59" s="40">
        <v>5000</v>
      </c>
      <c r="I59" t="s">
        <v>1854</v>
      </c>
      <c r="J59">
        <v>5511</v>
      </c>
    </row>
    <row r="60" spans="1:15" ht="15" customHeight="1" x14ac:dyDescent="0.25">
      <c r="A60" s="3" t="str">
        <f>LEFT(Table3[[#This Row],[Tegevusala]],2)</f>
        <v>09</v>
      </c>
      <c r="B60" t="s">
        <v>319</v>
      </c>
      <c r="C60" s="3" t="str">
        <f>VLOOKUP(Table3[[#This Row],[Tegevusala]],Table4[],2,FALSE)</f>
        <v xml:space="preserve"> Laekvere Lasteaed</v>
      </c>
      <c r="D60" s="3" t="str">
        <f>VLOOKUP(Table3[[#This Row],[Tegevusala]],Table4[[Tegevusala kood]:[Tegevusala alanimetus]],4,FALSE)</f>
        <v>Alusharidus</v>
      </c>
      <c r="E60" s="3" t="str">
        <f>VLOOKUP(Table3[[#This Row],[Tegevusala nimetus2]],Table4[[Tegevusala nimetus]:[Tegevusala koondnimetus]],2,FALSE)</f>
        <v>Haridus</v>
      </c>
      <c r="F60" t="s">
        <v>1848</v>
      </c>
      <c r="G60" t="s">
        <v>1855</v>
      </c>
      <c r="H60" s="40">
        <v>2000</v>
      </c>
      <c r="I60" t="s">
        <v>1856</v>
      </c>
      <c r="J60">
        <v>5511</v>
      </c>
    </row>
    <row r="61" spans="1:15" ht="15" customHeight="1" x14ac:dyDescent="0.25">
      <c r="A61" s="3" t="str">
        <f>LEFT(Table3[[#This Row],[Tegevusala]],2)</f>
        <v>09</v>
      </c>
      <c r="B61" t="s">
        <v>319</v>
      </c>
      <c r="C61" s="3" t="str">
        <f>VLOOKUP(Table3[[#This Row],[Tegevusala]],Table4[],2,FALSE)</f>
        <v xml:space="preserve"> Laekvere Lasteaed</v>
      </c>
      <c r="D61" s="3" t="str">
        <f>VLOOKUP(Table3[[#This Row],[Tegevusala]],Table4[[Tegevusala kood]:[Tegevusala alanimetus]],4,FALSE)</f>
        <v>Alusharidus</v>
      </c>
      <c r="E61" s="3" t="str">
        <f>VLOOKUP(Table3[[#This Row],[Tegevusala nimetus2]],Table4[[Tegevusala nimetus]:[Tegevusala koondnimetus]],2,FALSE)</f>
        <v>Haridus</v>
      </c>
      <c r="F61" t="s">
        <v>1848</v>
      </c>
      <c r="G61" t="s">
        <v>1857</v>
      </c>
      <c r="H61" s="40">
        <v>2000</v>
      </c>
      <c r="I61" t="s">
        <v>1858</v>
      </c>
      <c r="J61">
        <v>5514</v>
      </c>
    </row>
    <row r="62" spans="1:15" ht="15" customHeight="1" x14ac:dyDescent="0.25">
      <c r="A62" s="3" t="str">
        <f>LEFT(Table3[[#This Row],[Tegevusala]],2)</f>
        <v>09</v>
      </c>
      <c r="B62" t="s">
        <v>319</v>
      </c>
      <c r="C62" s="3" t="str">
        <f>VLOOKUP(Table3[[#This Row],[Tegevusala]],Table4[],2,FALSE)</f>
        <v xml:space="preserve"> Laekvere Lasteaed</v>
      </c>
      <c r="D62" s="3" t="str">
        <f>VLOOKUP(Table3[[#This Row],[Tegevusala]],Table4[[Tegevusala kood]:[Tegevusala alanimetus]],4,FALSE)</f>
        <v>Alusharidus</v>
      </c>
      <c r="E62" s="3" t="str">
        <f>VLOOKUP(Table3[[#This Row],[Tegevusala nimetus2]],Table4[[Tegevusala nimetus]:[Tegevusala koondnimetus]],2,FALSE)</f>
        <v>Haridus</v>
      </c>
      <c r="F62" t="s">
        <v>1848</v>
      </c>
      <c r="G62" t="s">
        <v>1859</v>
      </c>
      <c r="H62" s="40">
        <v>1000</v>
      </c>
      <c r="I62" t="s">
        <v>1860</v>
      </c>
      <c r="J62">
        <v>5514</v>
      </c>
    </row>
    <row r="63" spans="1:15" ht="15" customHeight="1" x14ac:dyDescent="0.25">
      <c r="A63" s="3" t="str">
        <f>LEFT(Table3[[#This Row],[Tegevusala]],2)</f>
        <v>09</v>
      </c>
      <c r="B63" t="s">
        <v>324</v>
      </c>
      <c r="C63" s="3" t="str">
        <f>VLOOKUP(Table3[[#This Row],[Tegevusala]],Table4[],2,FALSE)</f>
        <v xml:space="preserve"> Muuga-Laekvere põhikool - Laekvere õppehoone</v>
      </c>
      <c r="D63" s="3" t="str">
        <f>VLOOKUP(Table3[[#This Row],[Tegevusala]],Table4[[Tegevusala kood]:[Tegevusala alanimetus]],4,FALSE)</f>
        <v>Põhihariduse otsekulud</v>
      </c>
      <c r="E63" s="3" t="str">
        <f>VLOOKUP(Table3[[#This Row],[Tegevusala nimetus2]],Table4[[Tegevusala nimetus]:[Tegevusala koondnimetus]],2,FALSE)</f>
        <v>Haridus</v>
      </c>
      <c r="F63" t="s">
        <v>1848</v>
      </c>
      <c r="G63" t="s">
        <v>1873</v>
      </c>
      <c r="H63" s="40">
        <v>1000</v>
      </c>
      <c r="I63" t="s">
        <v>1874</v>
      </c>
      <c r="J63">
        <v>5511</v>
      </c>
    </row>
    <row r="64" spans="1:15" ht="15" customHeight="1" x14ac:dyDescent="0.25">
      <c r="A64" s="3" t="str">
        <f>LEFT(Table3[[#This Row],[Tegevusala]],2)</f>
        <v>09</v>
      </c>
      <c r="B64" t="s">
        <v>324</v>
      </c>
      <c r="C64" s="3" t="str">
        <f>VLOOKUP(Table3[[#This Row],[Tegevusala]],Table4[],2,FALSE)</f>
        <v xml:space="preserve"> Muuga-Laekvere põhikool - Laekvere õppehoone</v>
      </c>
      <c r="D64" s="3" t="str">
        <f>VLOOKUP(Table3[[#This Row],[Tegevusala]],Table4[[Tegevusala kood]:[Tegevusala alanimetus]],4,FALSE)</f>
        <v>Põhihariduse otsekulud</v>
      </c>
      <c r="E64" s="3" t="str">
        <f>VLOOKUP(Table3[[#This Row],[Tegevusala nimetus2]],Table4[[Tegevusala nimetus]:[Tegevusala koondnimetus]],2,FALSE)</f>
        <v>Haridus</v>
      </c>
      <c r="F64" t="s">
        <v>1848</v>
      </c>
      <c r="G64" t="s">
        <v>1875</v>
      </c>
      <c r="H64" s="40">
        <v>500</v>
      </c>
      <c r="I64" t="s">
        <v>1876</v>
      </c>
      <c r="J64">
        <v>5515</v>
      </c>
    </row>
    <row r="65" spans="1:15" ht="15" customHeight="1" x14ac:dyDescent="0.25">
      <c r="A65" s="3" t="str">
        <f>LEFT(Table3[[#This Row],[Tegevusala]],2)</f>
        <v>09</v>
      </c>
      <c r="B65" t="s">
        <v>324</v>
      </c>
      <c r="C65" s="3" t="str">
        <f>VLOOKUP(Table3[[#This Row],[Tegevusala]],Table4[],2,FALSE)</f>
        <v xml:space="preserve"> Muuga-Laekvere põhikool - Laekvere õppehoone</v>
      </c>
      <c r="D65" s="3" t="str">
        <f>VLOOKUP(Table3[[#This Row],[Tegevusala]],Table4[[Tegevusala kood]:[Tegevusala alanimetus]],4,FALSE)</f>
        <v>Põhihariduse otsekulud</v>
      </c>
      <c r="E65" s="3" t="str">
        <f>VLOOKUP(Table3[[#This Row],[Tegevusala nimetus2]],Table4[[Tegevusala nimetus]:[Tegevusala koondnimetus]],2,FALSE)</f>
        <v>Haridus</v>
      </c>
      <c r="F65" t="s">
        <v>1848</v>
      </c>
      <c r="G65" t="s">
        <v>1877</v>
      </c>
      <c r="H65" s="40">
        <v>1600</v>
      </c>
      <c r="I65" t="s">
        <v>1878</v>
      </c>
      <c r="J65">
        <v>5511</v>
      </c>
    </row>
    <row r="66" spans="1:15" ht="15" customHeight="1" x14ac:dyDescent="0.25">
      <c r="A66" s="3" t="str">
        <f>LEFT(Table3[[#This Row],[Tegevusala]],2)</f>
        <v>09</v>
      </c>
      <c r="B66" t="s">
        <v>324</v>
      </c>
      <c r="C66" s="3" t="str">
        <f>VLOOKUP(Table3[[#This Row],[Tegevusala]],Table4[],2,FALSE)</f>
        <v xml:space="preserve"> Muuga-Laekvere põhikool - Laekvere õppehoone</v>
      </c>
      <c r="D66" s="3" t="str">
        <f>VLOOKUP(Table3[[#This Row],[Tegevusala]],Table4[[Tegevusala kood]:[Tegevusala alanimetus]],4,FALSE)</f>
        <v>Põhihariduse otsekulud</v>
      </c>
      <c r="E66" s="3" t="str">
        <f>VLOOKUP(Table3[[#This Row],[Tegevusala nimetus2]],Table4[[Tegevusala nimetus]:[Tegevusala koondnimetus]],2,FALSE)</f>
        <v>Haridus</v>
      </c>
      <c r="F66" t="s">
        <v>1848</v>
      </c>
      <c r="G66" t="s">
        <v>1879</v>
      </c>
      <c r="H66" s="40">
        <v>2000</v>
      </c>
      <c r="I66" t="s">
        <v>1880</v>
      </c>
      <c r="J66">
        <v>5515</v>
      </c>
    </row>
    <row r="67" spans="1:15" ht="15" customHeight="1" x14ac:dyDescent="0.25">
      <c r="A67" s="3" t="str">
        <f>LEFT(Table3[[#This Row],[Tegevusala]],2)</f>
        <v>09</v>
      </c>
      <c r="B67" t="s">
        <v>324</v>
      </c>
      <c r="C67" s="3" t="str">
        <f>VLOOKUP(Table3[[#This Row],[Tegevusala]],Table4[],2,FALSE)</f>
        <v xml:space="preserve"> Muuga-Laekvere põhikool - Laekvere õppehoone</v>
      </c>
      <c r="D67" s="3" t="str">
        <f>VLOOKUP(Table3[[#This Row],[Tegevusala]],Table4[[Tegevusala kood]:[Tegevusala alanimetus]],4,FALSE)</f>
        <v>Põhihariduse otsekulud</v>
      </c>
      <c r="E67" s="3" t="str">
        <f>VLOOKUP(Table3[[#This Row],[Tegevusala nimetus2]],Table4[[Tegevusala nimetus]:[Tegevusala koondnimetus]],2,FALSE)</f>
        <v>Haridus</v>
      </c>
      <c r="F67" t="s">
        <v>1848</v>
      </c>
      <c r="G67" t="s">
        <v>1881</v>
      </c>
      <c r="H67" s="40">
        <v>2000</v>
      </c>
      <c r="I67" t="s">
        <v>1882</v>
      </c>
      <c r="J67">
        <v>5515</v>
      </c>
    </row>
    <row r="68" spans="1:15" ht="15" customHeight="1" x14ac:dyDescent="0.25">
      <c r="A68" s="3" t="str">
        <f>LEFT(Table3[[#This Row],[Tegevusala]],2)</f>
        <v>09</v>
      </c>
      <c r="B68" t="s">
        <v>324</v>
      </c>
      <c r="C68" s="3" t="str">
        <f>VLOOKUP(Table3[[#This Row],[Tegevusala]],Table4[],2,FALSE)</f>
        <v xml:space="preserve"> Muuga-Laekvere põhikool - Laekvere õppehoone</v>
      </c>
      <c r="D68" s="3" t="str">
        <f>VLOOKUP(Table3[[#This Row],[Tegevusala]],Table4[[Tegevusala kood]:[Tegevusala alanimetus]],4,FALSE)</f>
        <v>Põhihariduse otsekulud</v>
      </c>
      <c r="E68" s="3" t="str">
        <f>VLOOKUP(Table3[[#This Row],[Tegevusala nimetus2]],Table4[[Tegevusala nimetus]:[Tegevusala koondnimetus]],2,FALSE)</f>
        <v>Haridus</v>
      </c>
      <c r="F68" t="s">
        <v>1848</v>
      </c>
      <c r="G68" t="s">
        <v>1883</v>
      </c>
      <c r="H68" s="40">
        <v>1500</v>
      </c>
      <c r="I68" t="s">
        <v>1884</v>
      </c>
      <c r="J68">
        <v>5511</v>
      </c>
    </row>
    <row r="69" spans="1:15" ht="15" customHeight="1" x14ac:dyDescent="0.25">
      <c r="A69" s="3" t="str">
        <f>LEFT(Table3[[#This Row],[Tegevusala]],2)</f>
        <v>09</v>
      </c>
      <c r="B69" t="s">
        <v>325</v>
      </c>
      <c r="C69" s="3" t="str">
        <f>VLOOKUP(Table3[[#This Row],[Tegevusala]],Table4[],2,FALSE)</f>
        <v xml:space="preserve"> Muuga-Laekvere põhikool - Muuga õppehoone</v>
      </c>
      <c r="D69" s="3" t="str">
        <f>VLOOKUP(Table3[[#This Row],[Tegevusala]],Table4[[Tegevusala kood]:[Tegevusala alanimetus]],4,FALSE)</f>
        <v>Põhihariduse otsekulud</v>
      </c>
      <c r="E69" s="3" t="str">
        <f>VLOOKUP(Table3[[#This Row],[Tegevusala nimetus2]],Table4[[Tegevusala nimetus]:[Tegevusala koondnimetus]],2,FALSE)</f>
        <v>Haridus</v>
      </c>
      <c r="F69" t="s">
        <v>1848</v>
      </c>
      <c r="G69" t="s">
        <v>1886</v>
      </c>
      <c r="H69" s="40">
        <v>2100</v>
      </c>
      <c r="I69" t="s">
        <v>1874</v>
      </c>
      <c r="J69">
        <v>5511</v>
      </c>
    </row>
    <row r="70" spans="1:15" ht="15" customHeight="1" x14ac:dyDescent="0.25">
      <c r="A70" s="3" t="str">
        <f>LEFT(Table3[[#This Row],[Tegevusala]],2)</f>
        <v>09</v>
      </c>
      <c r="B70" t="s">
        <v>325</v>
      </c>
      <c r="C70" s="3" t="str">
        <f>VLOOKUP(Table3[[#This Row],[Tegevusala]],Table4[],2,FALSE)</f>
        <v xml:space="preserve"> Muuga-Laekvere põhikool - Muuga õppehoone</v>
      </c>
      <c r="D70" s="3" t="str">
        <f>VLOOKUP(Table3[[#This Row],[Tegevusala]],Table4[[Tegevusala kood]:[Tegevusala alanimetus]],4,FALSE)</f>
        <v>Põhihariduse otsekulud</v>
      </c>
      <c r="E70" s="3" t="str">
        <f>VLOOKUP(Table3[[#This Row],[Tegevusala nimetus2]],Table4[[Tegevusala nimetus]:[Tegevusala koondnimetus]],2,FALSE)</f>
        <v>Haridus</v>
      </c>
      <c r="F70" t="s">
        <v>1848</v>
      </c>
      <c r="G70" t="s">
        <v>1881</v>
      </c>
      <c r="H70" s="40">
        <v>700</v>
      </c>
      <c r="I70" t="s">
        <v>1882</v>
      </c>
      <c r="J70">
        <v>5515</v>
      </c>
    </row>
    <row r="71" spans="1:15" ht="15" customHeight="1" x14ac:dyDescent="0.25">
      <c r="A71" s="3" t="str">
        <f>LEFT(Table3[[#This Row],[Tegevusala]],2)</f>
        <v>09</v>
      </c>
      <c r="B71" t="s">
        <v>325</v>
      </c>
      <c r="C71" s="3" t="str">
        <f>VLOOKUP(Table3[[#This Row],[Tegevusala]],Table4[],2,FALSE)</f>
        <v xml:space="preserve"> Muuga-Laekvere põhikool - Muuga õppehoone</v>
      </c>
      <c r="D71" s="3" t="str">
        <f>VLOOKUP(Table3[[#This Row],[Tegevusala]],Table4[[Tegevusala kood]:[Tegevusala alanimetus]],4,FALSE)</f>
        <v>Põhihariduse otsekulud</v>
      </c>
      <c r="E71" s="3" t="str">
        <f>VLOOKUP(Table3[[#This Row],[Tegevusala nimetus2]],Table4[[Tegevusala nimetus]:[Tegevusala koondnimetus]],2,FALSE)</f>
        <v>Haridus</v>
      </c>
      <c r="F71" t="s">
        <v>1848</v>
      </c>
      <c r="G71" t="s">
        <v>1887</v>
      </c>
      <c r="H71" s="40">
        <v>1000</v>
      </c>
      <c r="I71" t="s">
        <v>1888</v>
      </c>
      <c r="J71">
        <v>5511</v>
      </c>
    </row>
    <row r="72" spans="1:15" ht="15" customHeight="1" x14ac:dyDescent="0.25">
      <c r="A72" s="34" t="str">
        <f>LEFT(Table3[[#This Row],[Tegevusala]],2)</f>
        <v>09</v>
      </c>
      <c r="B72" s="33" t="s">
        <v>311</v>
      </c>
      <c r="C72" s="34" t="str">
        <f>VLOOKUP(Table3[[#This Row],[Tegevusala]],Table4[],2,FALSE)</f>
        <v xml:space="preserve"> Pajusti Lasteaed</v>
      </c>
      <c r="D72" s="34" t="str">
        <f>VLOOKUP(Table3[[#This Row],[Tegevusala]],Table4[[Tegevusala kood]:[Tegevusala alanimetus]],4,FALSE)</f>
        <v>Alusharidus</v>
      </c>
      <c r="E72" s="34" t="str">
        <f>VLOOKUP(Table3[[#This Row],[Tegevusala nimetus2]],Table4[[Tegevusala nimetus]:[Tegevusala koondnimetus]],2,FALSE)</f>
        <v>Haridus</v>
      </c>
      <c r="F72" s="33" t="s">
        <v>1252</v>
      </c>
      <c r="G72" s="33" t="s">
        <v>1999</v>
      </c>
      <c r="H72" s="47">
        <v>1500</v>
      </c>
      <c r="I72" s="33" t="s">
        <v>2000</v>
      </c>
      <c r="J72" s="33">
        <v>5511</v>
      </c>
      <c r="K72" s="33"/>
      <c r="L72" s="33"/>
      <c r="M72" s="33"/>
      <c r="N72" s="33"/>
      <c r="O72" s="33"/>
    </row>
    <row r="73" spans="1:15" x14ac:dyDescent="0.25">
      <c r="A73" s="3" t="str">
        <f>LEFT(Table3[[#This Row],[Tegevusala]],2)</f>
        <v>10</v>
      </c>
      <c r="B73" t="s">
        <v>358</v>
      </c>
      <c r="C73" s="3" t="str">
        <f>VLOOKUP(Table3[[#This Row],[Tegevusala]],Table4[],2,FALSE)</f>
        <v xml:space="preserve"> Ulvi Kodu</v>
      </c>
      <c r="D73" s="3" t="str">
        <f>VLOOKUP(Table3[[#This Row],[Tegevusala]],Table4[[Tegevusala kood]:[Tegevusala alanimetus]],4,FALSE)</f>
        <v>Eakate sotsiaalhoolekande asutused</v>
      </c>
      <c r="E73" s="3" t="str">
        <f>VLOOKUP(Table3[[#This Row],[Tegevusala nimetus2]],Table4[[Tegevusala nimetus]:[Tegevusala koondnimetus]],2,FALSE)</f>
        <v>Sotsiaalne kaitse</v>
      </c>
      <c r="F73" t="s">
        <v>2123</v>
      </c>
      <c r="G73" t="s">
        <v>1636</v>
      </c>
      <c r="H73" s="40">
        <v>1960</v>
      </c>
      <c r="J73">
        <v>5515</v>
      </c>
    </row>
    <row r="74" spans="1:15" x14ac:dyDescent="0.25">
      <c r="A74" s="3" t="str">
        <f>LEFT(Table3[[#This Row],[Tegevusala]],2)</f>
        <v>10</v>
      </c>
      <c r="B74" t="s">
        <v>358</v>
      </c>
      <c r="C74" s="3" t="str">
        <f>VLOOKUP(Table3[[#This Row],[Tegevusala]],Table4[],2,FALSE)</f>
        <v xml:space="preserve"> Ulvi Kodu</v>
      </c>
      <c r="D74" s="3" t="str">
        <f>VLOOKUP(Table3[[#This Row],[Tegevusala]],Table4[[Tegevusala kood]:[Tegevusala alanimetus]],4,FALSE)</f>
        <v>Eakate sotsiaalhoolekande asutused</v>
      </c>
      <c r="E74" s="3" t="str">
        <f>VLOOKUP(Table3[[#This Row],[Tegevusala nimetus2]],Table4[[Tegevusala nimetus]:[Tegevusala koondnimetus]],2,FALSE)</f>
        <v>Sotsiaalne kaitse</v>
      </c>
      <c r="F74" t="s">
        <v>2123</v>
      </c>
      <c r="G74" t="s">
        <v>1638</v>
      </c>
      <c r="H74" s="40">
        <v>2590</v>
      </c>
      <c r="I74" t="s">
        <v>2124</v>
      </c>
      <c r="J74">
        <v>5515</v>
      </c>
    </row>
    <row r="75" spans="1:15" x14ac:dyDescent="0.25">
      <c r="A75" s="3" t="str">
        <f>LEFT(Table3[[#This Row],[Tegevusala]],2)</f>
        <v>10</v>
      </c>
      <c r="B75" t="s">
        <v>358</v>
      </c>
      <c r="C75" s="3" t="str">
        <f>VLOOKUP(Table3[[#This Row],[Tegevusala]],Table4[],2,FALSE)</f>
        <v xml:space="preserve"> Ulvi Kodu</v>
      </c>
      <c r="D75" s="3" t="str">
        <f>VLOOKUP(Table3[[#This Row],[Tegevusala]],Table4[[Tegevusala kood]:[Tegevusala alanimetus]],4,FALSE)</f>
        <v>Eakate sotsiaalhoolekande asutused</v>
      </c>
      <c r="E75" s="3" t="str">
        <f>VLOOKUP(Table3[[#This Row],[Tegevusala nimetus2]],Table4[[Tegevusala nimetus]:[Tegevusala koondnimetus]],2,FALSE)</f>
        <v>Sotsiaalne kaitse</v>
      </c>
      <c r="F75" t="s">
        <v>1619</v>
      </c>
      <c r="G75" t="s">
        <v>1641</v>
      </c>
      <c r="H75" s="40">
        <v>1231</v>
      </c>
      <c r="J75">
        <v>5511</v>
      </c>
    </row>
    <row r="76" spans="1:15" x14ac:dyDescent="0.25">
      <c r="A76" s="3" t="str">
        <f>LEFT(Table3[[#This Row],[Tegevusala]],2)</f>
        <v>08</v>
      </c>
      <c r="B76" t="s">
        <v>268</v>
      </c>
      <c r="C76" s="3" t="str">
        <f>VLOOKUP(Table3[[#This Row],[Tegevusala]],Table4[],2,FALSE)</f>
        <v xml:space="preserve"> Muuga Spordihoone</v>
      </c>
      <c r="D76" s="3" t="str">
        <f>VLOOKUP(Table3[[#This Row],[Tegevusala]],Table4[[Tegevusala kood]:[Tegevusala alanimetus]],4,FALSE)</f>
        <v>Sport</v>
      </c>
      <c r="E76" s="3" t="str">
        <f>VLOOKUP(Table3[[#This Row],[Tegevusala nimetus2]],Table4[[Tegevusala nimetus]:[Tegevusala koondnimetus]],2,FALSE)</f>
        <v>Vabaaeg, kultuur ja religioon</v>
      </c>
      <c r="F76" t="s">
        <v>2155</v>
      </c>
      <c r="G76" t="s">
        <v>2156</v>
      </c>
      <c r="H76" s="40">
        <v>3000</v>
      </c>
      <c r="J76">
        <v>5511</v>
      </c>
    </row>
    <row r="77" spans="1:15" x14ac:dyDescent="0.25">
      <c r="A77" s="3" t="str">
        <f>LEFT(Table3[[#This Row],[Tegevusala]],2)</f>
        <v>08</v>
      </c>
      <c r="B77" t="s">
        <v>306</v>
      </c>
      <c r="C77" s="3" t="str">
        <f>VLOOKUP(Table3[[#This Row],[Tegevusala]],Table4[],2,FALSE)</f>
        <v>Laekvere Rahvamaja</v>
      </c>
      <c r="D77" s="3" t="str">
        <f>VLOOKUP(Table3[[#This Row],[Tegevusala]],Table4[[Tegevusala kood]:[Tegevusala alanimetus]],4,FALSE)</f>
        <v>Rahvakultuur</v>
      </c>
      <c r="E77" s="3" t="str">
        <f>VLOOKUP(Table3[[#This Row],[Tegevusala nimetus2]],Table4[[Tegevusala nimetus]:[Tegevusala koondnimetus]],2,FALSE)</f>
        <v>Vabaaeg, kultuur ja religioon</v>
      </c>
      <c r="F77" t="s">
        <v>1090</v>
      </c>
      <c r="G77" t="s">
        <v>1119</v>
      </c>
      <c r="H77" s="40">
        <v>10</v>
      </c>
      <c r="J77">
        <v>500</v>
      </c>
    </row>
    <row r="78" spans="1:15" x14ac:dyDescent="0.25">
      <c r="A78" s="3" t="str">
        <f>LEFT(Table3[[#This Row],[Tegevusala]],2)</f>
        <v>08</v>
      </c>
      <c r="B78" t="s">
        <v>306</v>
      </c>
      <c r="C78" s="3" t="str">
        <f>VLOOKUP(Table3[[#This Row],[Tegevusala]],Table4[],2,FALSE)</f>
        <v>Laekvere Rahvamaja</v>
      </c>
      <c r="D78" s="3" t="str">
        <f>VLOOKUP(Table3[[#This Row],[Tegevusala]],Table4[[Tegevusala kood]:[Tegevusala alanimetus]],4,FALSE)</f>
        <v>Rahvakultuur</v>
      </c>
      <c r="E78" s="3" t="str">
        <f>VLOOKUP(Table3[[#This Row],[Tegevusala nimetus2]],Table4[[Tegevusala nimetus]:[Tegevusala koondnimetus]],2,FALSE)</f>
        <v>Vabaaeg, kultuur ja religioon</v>
      </c>
      <c r="F78" t="s">
        <v>1090</v>
      </c>
      <c r="G78" t="s">
        <v>1120</v>
      </c>
      <c r="H78" s="40">
        <v>10</v>
      </c>
      <c r="J78">
        <v>500</v>
      </c>
    </row>
    <row r="79" spans="1:15" x14ac:dyDescent="0.25">
      <c r="A79" s="3" t="str">
        <f>LEFT(Table3[[#This Row],[Tegevusala]],2)</f>
        <v>08</v>
      </c>
      <c r="B79" t="s">
        <v>306</v>
      </c>
      <c r="C79" s="3" t="str">
        <f>VLOOKUP(Table3[[#This Row],[Tegevusala]],Table4[],2,FALSE)</f>
        <v>Laekvere Rahvamaja</v>
      </c>
      <c r="D79" s="3" t="str">
        <f>VLOOKUP(Table3[[#This Row],[Tegevusala]],Table4[[Tegevusala kood]:[Tegevusala alanimetus]],4,FALSE)</f>
        <v>Rahvakultuur</v>
      </c>
      <c r="E79" s="3" t="str">
        <f>VLOOKUP(Table3[[#This Row],[Tegevusala nimetus2]],Table4[[Tegevusala nimetus]:[Tegevusala koondnimetus]],2,FALSE)</f>
        <v>Vabaaeg, kultuur ja religioon</v>
      </c>
      <c r="F79" t="s">
        <v>1090</v>
      </c>
      <c r="G79" t="s">
        <v>1119</v>
      </c>
      <c r="H79" s="40">
        <v>3.38</v>
      </c>
      <c r="I79" t="s">
        <v>2178</v>
      </c>
      <c r="J79">
        <v>506</v>
      </c>
    </row>
    <row r="80" spans="1:15" x14ac:dyDescent="0.25">
      <c r="A80" s="3" t="str">
        <f>LEFT(Table3[[#This Row],[Tegevusala]],2)</f>
        <v>08</v>
      </c>
      <c r="B80" t="s">
        <v>306</v>
      </c>
      <c r="C80" s="3" t="str">
        <f>VLOOKUP(Table3[[#This Row],[Tegevusala]],Table4[],2,FALSE)</f>
        <v>Laekvere Rahvamaja</v>
      </c>
      <c r="D80" s="3" t="str">
        <f>VLOOKUP(Table3[[#This Row],[Tegevusala]],Table4[[Tegevusala kood]:[Tegevusala alanimetus]],4,FALSE)</f>
        <v>Rahvakultuur</v>
      </c>
      <c r="E80" s="3" t="str">
        <f>VLOOKUP(Table3[[#This Row],[Tegevusala nimetus2]],Table4[[Tegevusala nimetus]:[Tegevusala koondnimetus]],2,FALSE)</f>
        <v>Vabaaeg, kultuur ja religioon</v>
      </c>
      <c r="F80" t="s">
        <v>1090</v>
      </c>
      <c r="G80" t="s">
        <v>1120</v>
      </c>
      <c r="H80" s="40">
        <v>3.38</v>
      </c>
      <c r="I80" t="s">
        <v>2178</v>
      </c>
      <c r="J80">
        <v>506</v>
      </c>
    </row>
    <row r="81" spans="1:10" x14ac:dyDescent="0.25">
      <c r="A81" s="3" t="str">
        <f>LEFT(Table3[[#This Row],[Tegevusala]],2)</f>
        <v>10</v>
      </c>
      <c r="B81" t="s">
        <v>362</v>
      </c>
      <c r="C81" s="3" t="str">
        <f>VLOOKUP(Table3[[#This Row],[Tegevusala]],Table4[],2,FALSE)</f>
        <v xml:space="preserve"> Hooldajad</v>
      </c>
      <c r="D81" s="3" t="str">
        <f>VLOOKUP(Table3[[#This Row],[Tegevusala]],Table4[[Tegevusala kood]:[Tegevusala alanimetus]],4,FALSE)</f>
        <v>Muu eakate sotsiaalne kaitse</v>
      </c>
      <c r="E81" s="3" t="str">
        <f>VLOOKUP(Table3[[#This Row],[Tegevusala nimetus2]],Table4[[Tegevusala nimetus]:[Tegevusala koondnimetus]],2,FALSE)</f>
        <v>Sotsiaalne kaitse</v>
      </c>
      <c r="F81" t="s">
        <v>444</v>
      </c>
      <c r="G81" t="s">
        <v>725</v>
      </c>
      <c r="H81" s="40">
        <v>100</v>
      </c>
      <c r="J81">
        <v>500</v>
      </c>
    </row>
    <row r="82" spans="1:10" x14ac:dyDescent="0.25">
      <c r="A82" s="3" t="str">
        <f>LEFT(Table3[[#This Row],[Tegevusala]],2)</f>
        <v>10</v>
      </c>
      <c r="B82" t="s">
        <v>362</v>
      </c>
      <c r="C82" s="3" t="str">
        <f>VLOOKUP(Table3[[#This Row],[Tegevusala]],Table4[],2,FALSE)</f>
        <v xml:space="preserve"> Hooldajad</v>
      </c>
      <c r="D82" s="3" t="str">
        <f>VLOOKUP(Table3[[#This Row],[Tegevusala]],Table4[[Tegevusala kood]:[Tegevusala alanimetus]],4,FALSE)</f>
        <v>Muu eakate sotsiaalne kaitse</v>
      </c>
      <c r="E82" s="3" t="str">
        <f>VLOOKUP(Table3[[#This Row],[Tegevusala nimetus2]],Table4[[Tegevusala nimetus]:[Tegevusala koondnimetus]],2,FALSE)</f>
        <v>Sotsiaalne kaitse</v>
      </c>
      <c r="F82" t="s">
        <v>444</v>
      </c>
      <c r="G82" t="s">
        <v>725</v>
      </c>
      <c r="H82" s="40">
        <v>33.799999999999997</v>
      </c>
      <c r="I82" t="s">
        <v>2178</v>
      </c>
      <c r="J82">
        <v>506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85" zoomScaleNormal="85" workbookViewId="0">
      <selection activeCell="B38" sqref="B38"/>
    </sheetView>
  </sheetViews>
  <sheetFormatPr defaultRowHeight="15" x14ac:dyDescent="0.25"/>
  <cols>
    <col min="1" max="1" width="49.42578125" customWidth="1"/>
    <col min="2" max="2" width="15.42578125" bestFit="1" customWidth="1"/>
    <col min="3" max="3" width="14.7109375" bestFit="1" customWidth="1"/>
    <col min="4" max="4" width="11.7109375" bestFit="1" customWidth="1"/>
    <col min="5" max="5" width="11.7109375" style="40" bestFit="1" customWidth="1"/>
    <col min="6" max="6" width="12.42578125" bestFit="1" customWidth="1"/>
  </cols>
  <sheetData>
    <row r="1" spans="1:6" x14ac:dyDescent="0.25">
      <c r="A1" s="4" t="s">
        <v>67</v>
      </c>
      <c r="B1" t="s">
        <v>443</v>
      </c>
    </row>
    <row r="2" spans="1:6" x14ac:dyDescent="0.25">
      <c r="A2" s="4" t="s">
        <v>1</v>
      </c>
      <c r="B2" t="s">
        <v>443</v>
      </c>
    </row>
    <row r="4" spans="1:6" x14ac:dyDescent="0.25">
      <c r="A4" s="4" t="s">
        <v>378</v>
      </c>
      <c r="B4" t="s">
        <v>381</v>
      </c>
      <c r="C4" t="s">
        <v>1374</v>
      </c>
      <c r="E4" s="106">
        <v>2019</v>
      </c>
    </row>
    <row r="5" spans="1:6" x14ac:dyDescent="0.25">
      <c r="A5" s="5" t="s">
        <v>779</v>
      </c>
      <c r="B5" s="2">
        <v>267895</v>
      </c>
      <c r="C5" s="2">
        <v>90548.510000000009</v>
      </c>
    </row>
    <row r="6" spans="1:6" x14ac:dyDescent="0.25">
      <c r="A6" s="6" t="s">
        <v>544</v>
      </c>
      <c r="B6" s="2">
        <v>255</v>
      </c>
      <c r="C6" s="2">
        <v>86.190000000000012</v>
      </c>
      <c r="D6" s="2">
        <f>B6+C6</f>
        <v>341.19</v>
      </c>
      <c r="E6" s="40">
        <v>39391</v>
      </c>
      <c r="F6" s="2">
        <f>D6-E6</f>
        <v>-39049.81</v>
      </c>
    </row>
    <row r="7" spans="1:6" x14ac:dyDescent="0.25">
      <c r="A7" s="6" t="s">
        <v>542</v>
      </c>
      <c r="B7" s="2">
        <v>240560</v>
      </c>
      <c r="C7" s="2">
        <v>81309.279999999999</v>
      </c>
      <c r="D7" s="2">
        <f t="shared" ref="D7:D22" si="0">B7+C7</f>
        <v>321869.28000000003</v>
      </c>
      <c r="E7" s="40">
        <v>315421</v>
      </c>
      <c r="F7" s="2">
        <f>D7-E7</f>
        <v>6448.2800000000279</v>
      </c>
    </row>
    <row r="8" spans="1:6" x14ac:dyDescent="0.25">
      <c r="A8" s="6" t="s">
        <v>541</v>
      </c>
      <c r="B8" s="2">
        <v>27080</v>
      </c>
      <c r="C8" s="2">
        <v>9153.0400000000009</v>
      </c>
      <c r="D8" s="2">
        <f t="shared" si="0"/>
        <v>36233.040000000001</v>
      </c>
      <c r="E8" s="40">
        <v>35403</v>
      </c>
      <c r="F8" s="2">
        <f t="shared" ref="F8:F22" si="1">D8-E8</f>
        <v>830.04000000000087</v>
      </c>
    </row>
    <row r="9" spans="1:6" x14ac:dyDescent="0.25">
      <c r="A9" s="5" t="s">
        <v>1082</v>
      </c>
      <c r="B9" s="2">
        <v>1706.9639999999999</v>
      </c>
      <c r="C9" s="2">
        <v>576.95383200000003</v>
      </c>
      <c r="D9" s="2"/>
      <c r="F9" s="2"/>
    </row>
    <row r="10" spans="1:6" x14ac:dyDescent="0.25">
      <c r="A10" s="6" t="s">
        <v>547</v>
      </c>
      <c r="B10" s="2">
        <v>1706.9639999999999</v>
      </c>
      <c r="C10" s="2">
        <v>576.95383200000003</v>
      </c>
      <c r="D10" s="2">
        <f t="shared" si="0"/>
        <v>2283.9178320000001</v>
      </c>
      <c r="E10" s="40">
        <v>3820</v>
      </c>
      <c r="F10" s="2">
        <f t="shared" si="1"/>
        <v>-1536.0821679999999</v>
      </c>
    </row>
    <row r="11" spans="1:6" x14ac:dyDescent="0.25">
      <c r="A11" s="5" t="s">
        <v>805</v>
      </c>
      <c r="B11" s="2">
        <v>112110</v>
      </c>
      <c r="C11" s="2">
        <v>37893.18</v>
      </c>
      <c r="D11" s="2"/>
      <c r="F11" s="2"/>
    </row>
    <row r="12" spans="1:6" x14ac:dyDescent="0.25">
      <c r="A12" s="6" t="s">
        <v>1088</v>
      </c>
      <c r="B12" s="2">
        <v>93390</v>
      </c>
      <c r="C12" s="2">
        <v>31565.82</v>
      </c>
      <c r="D12" s="2">
        <f t="shared" si="0"/>
        <v>124955.82</v>
      </c>
      <c r="E12" s="40">
        <v>134603</v>
      </c>
      <c r="F12" s="2">
        <f t="shared" si="1"/>
        <v>-9647.179999999993</v>
      </c>
    </row>
    <row r="13" spans="1:6" x14ac:dyDescent="0.25">
      <c r="A13" s="6" t="s">
        <v>549</v>
      </c>
      <c r="B13" s="2">
        <v>18720</v>
      </c>
      <c r="C13" s="2">
        <v>6327.3600000000006</v>
      </c>
      <c r="D13" s="2">
        <f t="shared" si="0"/>
        <v>25047.360000000001</v>
      </c>
      <c r="E13" s="40">
        <v>25716</v>
      </c>
      <c r="F13" s="2">
        <f t="shared" si="1"/>
        <v>-668.63999999999942</v>
      </c>
    </row>
    <row r="14" spans="1:6" x14ac:dyDescent="0.25">
      <c r="A14" s="5" t="s">
        <v>1083</v>
      </c>
      <c r="B14" s="2">
        <v>215821.8</v>
      </c>
      <c r="C14" s="2">
        <v>68908.568399999989</v>
      </c>
      <c r="D14" s="2"/>
      <c r="F14" s="2"/>
    </row>
    <row r="15" spans="1:6" x14ac:dyDescent="0.25">
      <c r="A15" s="6" t="s">
        <v>555</v>
      </c>
      <c r="B15" s="2">
        <v>215821.8</v>
      </c>
      <c r="C15" s="2">
        <v>68908.568399999989</v>
      </c>
      <c r="D15" s="2">
        <f t="shared" si="0"/>
        <v>284730.36839999998</v>
      </c>
      <c r="E15" s="40">
        <v>305587</v>
      </c>
      <c r="F15" s="2">
        <f t="shared" si="1"/>
        <v>-20856.631600000022</v>
      </c>
    </row>
    <row r="16" spans="1:6" x14ac:dyDescent="0.25">
      <c r="A16" s="5" t="s">
        <v>780</v>
      </c>
      <c r="B16" s="2">
        <v>321818.61200000002</v>
      </c>
      <c r="C16" s="2">
        <v>108774.69085600002</v>
      </c>
      <c r="D16" s="2"/>
      <c r="F16" s="2"/>
    </row>
    <row r="17" spans="1:7" x14ac:dyDescent="0.25">
      <c r="A17" s="6" t="s">
        <v>559</v>
      </c>
      <c r="B17" s="2">
        <v>29407.59</v>
      </c>
      <c r="C17" s="2">
        <v>9939.7654200000015</v>
      </c>
      <c r="D17" s="2">
        <f t="shared" si="0"/>
        <v>39347.35542</v>
      </c>
      <c r="E17" s="40">
        <v>64999</v>
      </c>
      <c r="F17" s="2">
        <f t="shared" si="1"/>
        <v>-25651.64458</v>
      </c>
    </row>
    <row r="18" spans="1:7" x14ac:dyDescent="0.25">
      <c r="A18" s="6" t="s">
        <v>442</v>
      </c>
      <c r="B18" s="2">
        <v>90768</v>
      </c>
      <c r="C18" s="2">
        <v>30679.584000000003</v>
      </c>
      <c r="D18" s="2">
        <f t="shared" si="0"/>
        <v>121447.584</v>
      </c>
      <c r="E18" s="40">
        <v>117680</v>
      </c>
      <c r="F18" s="2">
        <f t="shared" si="1"/>
        <v>3767.5840000000026</v>
      </c>
    </row>
    <row r="19" spans="1:7" x14ac:dyDescent="0.25">
      <c r="A19" s="6" t="s">
        <v>560</v>
      </c>
      <c r="B19" s="2">
        <v>128430.11</v>
      </c>
      <c r="C19" s="2">
        <v>43409.377180000003</v>
      </c>
      <c r="D19" s="2">
        <f t="shared" si="0"/>
        <v>171839.48718</v>
      </c>
      <c r="E19" s="40">
        <v>162195</v>
      </c>
      <c r="F19" s="2">
        <f t="shared" si="1"/>
        <v>9644.4871799999964</v>
      </c>
    </row>
    <row r="20" spans="1:7" x14ac:dyDescent="0.25">
      <c r="A20" s="6" t="s">
        <v>751</v>
      </c>
      <c r="B20" s="2">
        <v>21023</v>
      </c>
      <c r="C20" s="2">
        <v>7105.7740000000013</v>
      </c>
      <c r="D20" s="2">
        <f t="shared" si="0"/>
        <v>28128.774000000001</v>
      </c>
      <c r="F20" s="2">
        <f t="shared" si="1"/>
        <v>28128.774000000001</v>
      </c>
      <c r="G20" t="s">
        <v>2165</v>
      </c>
    </row>
    <row r="21" spans="1:7" x14ac:dyDescent="0.25">
      <c r="A21" s="6" t="s">
        <v>625</v>
      </c>
      <c r="B21" s="2">
        <v>18720</v>
      </c>
      <c r="C21" s="2">
        <v>6327.3600000000006</v>
      </c>
      <c r="D21" s="2">
        <f t="shared" si="0"/>
        <v>25047.360000000001</v>
      </c>
      <c r="E21" s="40">
        <v>25716</v>
      </c>
      <c r="F21" s="2">
        <f t="shared" si="1"/>
        <v>-668.63999999999942</v>
      </c>
    </row>
    <row r="22" spans="1:7" x14ac:dyDescent="0.25">
      <c r="A22" s="6" t="s">
        <v>2052</v>
      </c>
      <c r="B22" s="2">
        <v>32172.912</v>
      </c>
      <c r="C22" s="2">
        <v>10874.444256000001</v>
      </c>
      <c r="D22" s="2">
        <f t="shared" si="0"/>
        <v>43047.356255999999</v>
      </c>
      <c r="E22" s="40">
        <v>0</v>
      </c>
      <c r="F22" s="2">
        <f t="shared" si="1"/>
        <v>43047.356255999999</v>
      </c>
    </row>
    <row r="23" spans="1:7" x14ac:dyDescent="0.25">
      <c r="A23" s="6" t="s">
        <v>771</v>
      </c>
      <c r="B23" s="2">
        <v>1297</v>
      </c>
      <c r="C23" s="2">
        <v>438.38600000000002</v>
      </c>
      <c r="D23" s="2"/>
      <c r="F23" s="2"/>
    </row>
    <row r="24" spans="1:7" x14ac:dyDescent="0.25">
      <c r="A24" s="5" t="s">
        <v>781</v>
      </c>
      <c r="B24" s="2">
        <v>3124884.6329080006</v>
      </c>
      <c r="C24" s="2">
        <v>1056211.005922904</v>
      </c>
    </row>
    <row r="25" spans="1:7" x14ac:dyDescent="0.25">
      <c r="A25" s="6" t="s">
        <v>563</v>
      </c>
      <c r="B25" s="2">
        <v>945451.99514400004</v>
      </c>
      <c r="C25" s="2">
        <v>319562.77435867186</v>
      </c>
      <c r="D25" s="2">
        <f t="shared" ref="D25:D31" si="2">B24+C24</f>
        <v>4181095.6388309048</v>
      </c>
      <c r="E25" s="40">
        <v>1089901</v>
      </c>
      <c r="F25" s="2">
        <f t="shared" ref="F25:F31" si="3">D25-E25</f>
        <v>3091194.6388309048</v>
      </c>
    </row>
    <row r="26" spans="1:7" x14ac:dyDescent="0.25">
      <c r="A26" s="6" t="s">
        <v>567</v>
      </c>
      <c r="B26" s="2">
        <v>13800</v>
      </c>
      <c r="C26" s="2">
        <v>4664.4000000000005</v>
      </c>
      <c r="D26" s="2">
        <f t="shared" si="2"/>
        <v>1265014.7695026719</v>
      </c>
      <c r="E26" s="40">
        <v>15842</v>
      </c>
      <c r="F26" s="2">
        <f t="shared" si="3"/>
        <v>1249172.7695026719</v>
      </c>
    </row>
    <row r="27" spans="1:7" x14ac:dyDescent="0.25">
      <c r="A27" s="6" t="s">
        <v>564</v>
      </c>
      <c r="B27" s="2">
        <v>1836996.1667640002</v>
      </c>
      <c r="C27" s="2">
        <v>620904.70436623215</v>
      </c>
      <c r="D27" s="2">
        <f t="shared" si="2"/>
        <v>18464.400000000001</v>
      </c>
      <c r="E27" s="40">
        <f>2607454-33640</f>
        <v>2573814</v>
      </c>
      <c r="F27" s="2">
        <f t="shared" si="3"/>
        <v>-2555349.6</v>
      </c>
    </row>
    <row r="28" spans="1:7" x14ac:dyDescent="0.25">
      <c r="A28" s="6" t="s">
        <v>565</v>
      </c>
      <c r="B28" s="2">
        <v>82511.210999999996</v>
      </c>
      <c r="C28" s="2">
        <v>27888.789317999999</v>
      </c>
      <c r="D28" s="2">
        <f t="shared" si="2"/>
        <v>2457900.8711302322</v>
      </c>
      <c r="F28" s="2">
        <f t="shared" si="3"/>
        <v>2457900.8711302322</v>
      </c>
    </row>
    <row r="29" spans="1:7" x14ac:dyDescent="0.25">
      <c r="A29" s="6" t="s">
        <v>1522</v>
      </c>
      <c r="B29" s="2">
        <v>112074.56</v>
      </c>
      <c r="C29" s="2">
        <v>37881.201280000001</v>
      </c>
      <c r="D29" s="2">
        <f t="shared" si="2"/>
        <v>110400.00031799999</v>
      </c>
      <c r="E29" s="40">
        <v>25716</v>
      </c>
      <c r="F29" s="2">
        <f t="shared" si="3"/>
        <v>84684.000317999991</v>
      </c>
    </row>
    <row r="30" spans="1:7" x14ac:dyDescent="0.25">
      <c r="A30" s="6" t="s">
        <v>568</v>
      </c>
      <c r="B30" s="2">
        <v>22800</v>
      </c>
      <c r="C30" s="2">
        <v>7706.4000000000005</v>
      </c>
      <c r="D30" s="2">
        <f t="shared" si="2"/>
        <v>149955.76128000001</v>
      </c>
      <c r="E30" s="40">
        <v>33640</v>
      </c>
      <c r="F30" s="2">
        <f t="shared" si="3"/>
        <v>116315.76128000001</v>
      </c>
    </row>
    <row r="31" spans="1:7" x14ac:dyDescent="0.25">
      <c r="A31" s="6" t="s">
        <v>566</v>
      </c>
      <c r="B31" s="2">
        <v>111250.7</v>
      </c>
      <c r="C31" s="2">
        <v>37602.736600000004</v>
      </c>
      <c r="D31" s="2">
        <f t="shared" si="2"/>
        <v>30506.400000000001</v>
      </c>
      <c r="E31" s="40">
        <v>89801</v>
      </c>
      <c r="F31" s="2">
        <f t="shared" si="3"/>
        <v>-59294.6</v>
      </c>
    </row>
    <row r="32" spans="1:7" x14ac:dyDescent="0.25">
      <c r="A32" s="5" t="s">
        <v>782</v>
      </c>
      <c r="B32" s="2">
        <v>719562.24120000005</v>
      </c>
      <c r="C32" s="2">
        <v>243212.03752560003</v>
      </c>
    </row>
    <row r="33" spans="1:6" x14ac:dyDescent="0.25">
      <c r="A33" s="6" t="s">
        <v>572</v>
      </c>
      <c r="B33" s="2">
        <v>24271</v>
      </c>
      <c r="C33" s="2">
        <v>8203.5980000000018</v>
      </c>
      <c r="D33" s="2">
        <f>B32+C32</f>
        <v>962774.2787256001</v>
      </c>
      <c r="E33" s="40">
        <v>72809</v>
      </c>
      <c r="F33" s="2">
        <f>D33-E33</f>
        <v>889965.2787256001</v>
      </c>
    </row>
    <row r="34" spans="1:6" x14ac:dyDescent="0.25">
      <c r="A34" s="6" t="s">
        <v>668</v>
      </c>
      <c r="B34" s="2">
        <v>90240</v>
      </c>
      <c r="C34" s="2">
        <v>30501.120000000003</v>
      </c>
      <c r="D34" s="2">
        <f>B33+C33</f>
        <v>32474.598000000002</v>
      </c>
      <c r="E34" s="40">
        <v>132301</v>
      </c>
      <c r="F34" s="2">
        <f>D34-E34</f>
        <v>-99826.402000000002</v>
      </c>
    </row>
    <row r="35" spans="1:6" x14ac:dyDescent="0.25">
      <c r="A35" s="6" t="s">
        <v>571</v>
      </c>
      <c r="B35" s="2">
        <v>237358.0012</v>
      </c>
      <c r="C35" s="2">
        <v>80227.004405600004</v>
      </c>
      <c r="D35" s="2">
        <f>B34+C34</f>
        <v>120741.12</v>
      </c>
      <c r="E35" s="40">
        <v>294334</v>
      </c>
      <c r="F35" s="2">
        <f>D35-E35</f>
        <v>-173592.88</v>
      </c>
    </row>
    <row r="36" spans="1:6" x14ac:dyDescent="0.25">
      <c r="A36" s="6" t="s">
        <v>573</v>
      </c>
      <c r="B36" s="2">
        <v>352880</v>
      </c>
      <c r="C36" s="2">
        <v>119273.44</v>
      </c>
      <c r="D36" s="2">
        <f>B35+C35</f>
        <v>317585.00560560002</v>
      </c>
      <c r="E36" s="40">
        <v>408896</v>
      </c>
      <c r="F36" s="2">
        <f>D36-E36</f>
        <v>-91310.994394399982</v>
      </c>
    </row>
    <row r="37" spans="1:6" x14ac:dyDescent="0.25">
      <c r="A37" s="6" t="s">
        <v>715</v>
      </c>
      <c r="B37" s="2">
        <v>6267.56</v>
      </c>
      <c r="C37" s="2">
        <v>2118.4352800000001</v>
      </c>
      <c r="D37" s="2">
        <f>B36+C36</f>
        <v>472153.44</v>
      </c>
      <c r="E37" s="40">
        <f>SUM(E6:E36)</f>
        <v>5967585</v>
      </c>
      <c r="F37" s="2">
        <f>D37-E37</f>
        <v>-5495431.5599999996</v>
      </c>
    </row>
    <row r="38" spans="1:6" x14ac:dyDescent="0.25">
      <c r="A38" s="6" t="s">
        <v>570</v>
      </c>
      <c r="B38" s="2">
        <v>5433.48</v>
      </c>
      <c r="C38" s="2">
        <v>1836.5162400000002</v>
      </c>
    </row>
    <row r="39" spans="1:6" x14ac:dyDescent="0.25">
      <c r="A39" s="6" t="s">
        <v>574</v>
      </c>
      <c r="B39" s="2">
        <v>3112.2</v>
      </c>
      <c r="C39" s="2">
        <v>1051.9236000000001</v>
      </c>
    </row>
    <row r="40" spans="1:6" x14ac:dyDescent="0.25">
      <c r="A40" s="5" t="s">
        <v>530</v>
      </c>
      <c r="B40" s="2">
        <v>4763799.2501080008</v>
      </c>
      <c r="C40" s="2">
        <v>1606124.946536504</v>
      </c>
    </row>
  </sheetData>
  <pageMargins left="0.7" right="0.7" top="0.75" bottom="0.75" header="0.3" footer="0.3"/>
  <pageSetup scale="67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6"/>
  <sheetViews>
    <sheetView topLeftCell="A367" zoomScale="85" zoomScaleNormal="85" workbookViewId="0">
      <selection activeCell="B407" sqref="B407"/>
    </sheetView>
  </sheetViews>
  <sheetFormatPr defaultRowHeight="15" x14ac:dyDescent="0.25"/>
  <cols>
    <col min="1" max="1" width="11.5703125" customWidth="1"/>
    <col min="2" max="2" width="12.85546875" customWidth="1"/>
    <col min="3" max="3" width="32.28515625" customWidth="1"/>
    <col min="4" max="4" width="21.7109375" customWidth="1"/>
    <col min="5" max="5" width="26.28515625" customWidth="1"/>
    <col min="6" max="6" width="21.28515625" customWidth="1"/>
    <col min="7" max="7" width="41.5703125" customWidth="1"/>
    <col min="8" max="8" width="29.42578125" customWidth="1"/>
    <col min="9" max="11" width="17.85546875" customWidth="1"/>
    <col min="12" max="12" width="21.85546875" customWidth="1"/>
    <col min="13" max="13" width="12.42578125" customWidth="1"/>
    <col min="14" max="14" width="12.140625" customWidth="1"/>
    <col min="15" max="15" width="12" customWidth="1"/>
  </cols>
  <sheetData>
    <row r="1" spans="1:16" x14ac:dyDescent="0.25">
      <c r="A1" s="11" t="s">
        <v>7</v>
      </c>
      <c r="B1" s="12" t="s">
        <v>1</v>
      </c>
      <c r="C1" s="12" t="s">
        <v>246</v>
      </c>
      <c r="D1" t="s">
        <v>472</v>
      </c>
      <c r="E1" s="12" t="s">
        <v>67</v>
      </c>
      <c r="F1" s="12" t="s">
        <v>5</v>
      </c>
      <c r="G1" s="12" t="s">
        <v>446</v>
      </c>
      <c r="H1" s="12" t="s">
        <v>941</v>
      </c>
      <c r="I1" s="12" t="s">
        <v>609</v>
      </c>
      <c r="J1" s="12" t="s">
        <v>448</v>
      </c>
      <c r="K1" s="12" t="s">
        <v>449</v>
      </c>
      <c r="L1" s="12" t="s">
        <v>2004</v>
      </c>
      <c r="M1" s="12" t="s">
        <v>447</v>
      </c>
      <c r="N1" s="13" t="s">
        <v>380</v>
      </c>
      <c r="O1" s="13" t="s">
        <v>470</v>
      </c>
      <c r="P1" s="13" t="s">
        <v>165</v>
      </c>
    </row>
    <row r="2" spans="1:16" hidden="1" x14ac:dyDescent="0.25">
      <c r="A2" t="str">
        <f>LEFT(B2,2)</f>
        <v>08</v>
      </c>
      <c r="B2" s="10" t="s">
        <v>293</v>
      </c>
      <c r="C2" t="str">
        <f>VLOOKUP(B2,Table4[],2,FALSE)</f>
        <v>Roela Rahvaraamatukogu</v>
      </c>
      <c r="D2" s="1" t="str">
        <f>VLOOKUP(Table1[[#This Row],[Tegevusala]],Table4[[Tegevusala kood]:[Tegevusala alanimetus]],4,FALSE)</f>
        <v>Raamatukogud</v>
      </c>
      <c r="E2" t="str">
        <f>VLOOKUP(C2,Table4[[Tegevusala nimetus]:[Tegevusala koondnimetus]],2,FALSE)</f>
        <v>Vabaaeg, kultuur ja religioon</v>
      </c>
      <c r="F2" t="s">
        <v>432</v>
      </c>
      <c r="G2" t="s">
        <v>471</v>
      </c>
      <c r="H2">
        <v>1</v>
      </c>
      <c r="I2" t="s">
        <v>2005</v>
      </c>
      <c r="J2">
        <v>762</v>
      </c>
      <c r="K2">
        <f t="shared" ref="K2:K64" si="0">H2*J2</f>
        <v>762</v>
      </c>
      <c r="L2">
        <v>12</v>
      </c>
      <c r="N2" s="40">
        <f>(K2*Table1[[#This Row],[Ühik2]])+M2</f>
        <v>9144</v>
      </c>
      <c r="O2" s="40">
        <f>Table1[[#This Row],[2020. EA ]]*0.338</f>
        <v>3090.672</v>
      </c>
    </row>
    <row r="3" spans="1:16" x14ac:dyDescent="0.25">
      <c r="A3" s="14" t="str">
        <f t="shared" ref="A3:A24" si="1">LEFT(B3,2)</f>
        <v>09</v>
      </c>
      <c r="B3" t="s">
        <v>247</v>
      </c>
      <c r="C3" s="14" t="str">
        <f>VLOOKUP(B3,Table4[],2,FALSE)</f>
        <v xml:space="preserve"> Roela kool</v>
      </c>
      <c r="D3" s="14" t="str">
        <f>VLOOKUP(Table1[[#This Row],[Tegevusala]],Table4[[Tegevusala kood]:[Tegevusala alanimetus]],4,FALSE)</f>
        <v>Põhihariduse otsekulud</v>
      </c>
      <c r="E3" s="14" t="str">
        <f>VLOOKUP(C3,Table4[[Tegevusala nimetus]:[Tegevusala koondnimetus]],2,FALSE)</f>
        <v>Haridus</v>
      </c>
      <c r="F3" s="14" t="s">
        <v>326</v>
      </c>
      <c r="G3" s="38" t="s">
        <v>450</v>
      </c>
      <c r="H3" s="14">
        <v>0.5</v>
      </c>
      <c r="I3" s="14"/>
      <c r="J3" s="14">
        <v>1250</v>
      </c>
      <c r="K3">
        <f t="shared" si="0"/>
        <v>625</v>
      </c>
      <c r="L3" s="14">
        <v>5</v>
      </c>
      <c r="M3" s="14"/>
      <c r="N3" s="44">
        <f>(K3*Table1[[#This Row],[Ühik2]])+M3</f>
        <v>3125</v>
      </c>
      <c r="O3" s="44">
        <f>Table1[[#This Row],[2020. EA ]]*0.338</f>
        <v>1056.25</v>
      </c>
      <c r="P3" s="14"/>
    </row>
    <row r="4" spans="1:16" x14ac:dyDescent="0.25">
      <c r="A4" s="14" t="str">
        <f t="shared" si="1"/>
        <v>09</v>
      </c>
      <c r="B4" t="s">
        <v>247</v>
      </c>
      <c r="C4" s="14" t="str">
        <f>VLOOKUP(B4,Table4[],2,FALSE)</f>
        <v xml:space="preserve"> Roela kool</v>
      </c>
      <c r="D4" s="14" t="str">
        <f>VLOOKUP(Table1[[#This Row],[Tegevusala]],Table4[[Tegevusala kood]:[Tegevusala alanimetus]],4,FALSE)</f>
        <v>Põhihariduse otsekulud</v>
      </c>
      <c r="E4" s="14" t="str">
        <f>VLOOKUP(C4,Table4[[Tegevusala nimetus]:[Tegevusala koondnimetus]],2,FALSE)</f>
        <v>Haridus</v>
      </c>
      <c r="F4" s="14" t="s">
        <v>326</v>
      </c>
      <c r="G4" s="38" t="s">
        <v>451</v>
      </c>
      <c r="H4" s="14">
        <v>0.32</v>
      </c>
      <c r="I4" s="14"/>
      <c r="J4" s="14">
        <v>1250</v>
      </c>
      <c r="K4">
        <f t="shared" si="0"/>
        <v>400</v>
      </c>
      <c r="L4" s="14">
        <v>12</v>
      </c>
      <c r="M4" s="14"/>
      <c r="N4" s="44">
        <f>(K4*Table1[[#This Row],[Ühik2]])+M4</f>
        <v>4800</v>
      </c>
      <c r="O4" s="44">
        <f>Table1[[#This Row],[2020. EA ]]*0.338</f>
        <v>1622.4</v>
      </c>
      <c r="P4" s="14"/>
    </row>
    <row r="5" spans="1:16" x14ac:dyDescent="0.25">
      <c r="A5" s="14" t="str">
        <f t="shared" si="1"/>
        <v>09</v>
      </c>
      <c r="B5" t="s">
        <v>247</v>
      </c>
      <c r="C5" s="14" t="str">
        <f>VLOOKUP(B5,Table4[],2,FALSE)</f>
        <v xml:space="preserve"> Roela kool</v>
      </c>
      <c r="D5" s="14" t="str">
        <f>VLOOKUP(Table1[[#This Row],[Tegevusala]],Table4[[Tegevusala kood]:[Tegevusala alanimetus]],4,FALSE)</f>
        <v>Põhihariduse otsekulud</v>
      </c>
      <c r="E5" s="14" t="str">
        <f>VLOOKUP(C5,Table4[[Tegevusala nimetus]:[Tegevusala koondnimetus]],2,FALSE)</f>
        <v>Haridus</v>
      </c>
      <c r="F5" s="14" t="s">
        <v>326</v>
      </c>
      <c r="G5" s="38" t="s">
        <v>452</v>
      </c>
      <c r="H5" s="14">
        <v>0.5</v>
      </c>
      <c r="I5" s="14"/>
      <c r="J5" s="14">
        <v>998</v>
      </c>
      <c r="K5">
        <f t="shared" si="0"/>
        <v>499</v>
      </c>
      <c r="L5" s="14">
        <v>12</v>
      </c>
      <c r="M5" s="14"/>
      <c r="N5" s="44">
        <f>(K5*Table1[[#This Row],[Ühik2]])+M5</f>
        <v>5988</v>
      </c>
      <c r="O5" s="44">
        <f>Table1[[#This Row],[2020. EA ]]*0.338</f>
        <v>2023.9440000000002</v>
      </c>
      <c r="P5" s="14"/>
    </row>
    <row r="6" spans="1:16" x14ac:dyDescent="0.25">
      <c r="A6" s="14" t="str">
        <f t="shared" si="1"/>
        <v>09</v>
      </c>
      <c r="B6" t="s">
        <v>247</v>
      </c>
      <c r="C6" s="14" t="str">
        <f>VLOOKUP(B6,Table4[],2,FALSE)</f>
        <v xml:space="preserve"> Roela kool</v>
      </c>
      <c r="D6" s="14" t="str">
        <f>VLOOKUP(Table1[[#This Row],[Tegevusala]],Table4[[Tegevusala kood]:[Tegevusala alanimetus]],4,FALSE)</f>
        <v>Põhihariduse otsekulud</v>
      </c>
      <c r="E6" s="14" t="str">
        <f>VLOOKUP(C6,Table4[[Tegevusala nimetus]:[Tegevusala koondnimetus]],2,FALSE)</f>
        <v>Haridus</v>
      </c>
      <c r="F6" s="14" t="s">
        <v>326</v>
      </c>
      <c r="G6" s="38" t="s">
        <v>2144</v>
      </c>
      <c r="H6" s="14">
        <v>1</v>
      </c>
      <c r="I6" s="14"/>
      <c r="J6" s="14">
        <v>951</v>
      </c>
      <c r="K6">
        <f t="shared" si="0"/>
        <v>951</v>
      </c>
      <c r="L6" s="14">
        <v>12</v>
      </c>
      <c r="M6" s="14"/>
      <c r="N6" s="44">
        <f>(K6*Table1[[#This Row],[Ühik2]])+M6</f>
        <v>11412</v>
      </c>
      <c r="O6" s="44">
        <f>Table1[[#This Row],[2020. EA ]]*0.338</f>
        <v>3857.2560000000003</v>
      </c>
      <c r="P6" s="14"/>
    </row>
    <row r="7" spans="1:16" x14ac:dyDescent="0.25">
      <c r="A7" s="14" t="str">
        <f t="shared" si="1"/>
        <v>09</v>
      </c>
      <c r="B7" t="s">
        <v>247</v>
      </c>
      <c r="C7" s="14" t="str">
        <f>VLOOKUP(B7,Table4[],2,FALSE)</f>
        <v xml:space="preserve"> Roela kool</v>
      </c>
      <c r="D7" s="14" t="str">
        <f>VLOOKUP(Table1[[#This Row],[Tegevusala]],Table4[[Tegevusala kood]:[Tegevusala alanimetus]],4,FALSE)</f>
        <v>Põhihariduse otsekulud</v>
      </c>
      <c r="E7" s="14" t="str">
        <f>VLOOKUP(C7,Table4[[Tegevusala nimetus]:[Tegevusala koondnimetus]],2,FALSE)</f>
        <v>Haridus</v>
      </c>
      <c r="F7" s="14" t="s">
        <v>326</v>
      </c>
      <c r="G7" s="38" t="s">
        <v>454</v>
      </c>
      <c r="H7" s="14">
        <v>1.2</v>
      </c>
      <c r="I7" s="14"/>
      <c r="J7" s="14">
        <v>704</v>
      </c>
      <c r="K7">
        <f t="shared" si="0"/>
        <v>844.8</v>
      </c>
      <c r="L7" s="37">
        <v>10</v>
      </c>
      <c r="M7" s="14"/>
      <c r="N7" s="44">
        <f>(K7*Table1[[#This Row],[Ühik2]])+M7</f>
        <v>8448</v>
      </c>
      <c r="O7" s="44">
        <f>Table1[[#This Row],[2020. EA ]]*0.338</f>
        <v>2855.424</v>
      </c>
      <c r="P7" s="14"/>
    </row>
    <row r="8" spans="1:16" x14ac:dyDescent="0.25">
      <c r="A8" s="14" t="str">
        <f t="shared" si="1"/>
        <v>09</v>
      </c>
      <c r="B8" t="s">
        <v>247</v>
      </c>
      <c r="C8" s="14" t="str">
        <f>VLOOKUP(B8,Table4[],2,FALSE)</f>
        <v xml:space="preserve"> Roela kool</v>
      </c>
      <c r="D8" s="14" t="str">
        <f>VLOOKUP(Table1[[#This Row],[Tegevusala]],Table4[[Tegevusala kood]:[Tegevusala alanimetus]],4,FALSE)</f>
        <v>Põhihariduse otsekulud</v>
      </c>
      <c r="E8" s="14" t="str">
        <f>VLOOKUP(C8,Table4[[Tegevusala nimetus]:[Tegevusala koondnimetus]],2,FALSE)</f>
        <v>Haridus</v>
      </c>
      <c r="F8" s="14" t="s">
        <v>326</v>
      </c>
      <c r="G8" s="38" t="s">
        <v>2147</v>
      </c>
      <c r="H8" s="14">
        <v>0.45</v>
      </c>
      <c r="I8" s="14"/>
      <c r="J8" s="14">
        <v>704</v>
      </c>
      <c r="K8">
        <f t="shared" si="0"/>
        <v>316.8</v>
      </c>
      <c r="L8" s="37">
        <v>10</v>
      </c>
      <c r="M8" s="14"/>
      <c r="N8" s="44">
        <f>(K8*Table1[[#This Row],[Ühik2]])+M8</f>
        <v>3168</v>
      </c>
      <c r="O8" s="44">
        <f>Table1[[#This Row],[2020. EA ]]*0.338</f>
        <v>1070.7840000000001</v>
      </c>
      <c r="P8" s="14"/>
    </row>
    <row r="9" spans="1:16" x14ac:dyDescent="0.25">
      <c r="A9" s="14" t="str">
        <f t="shared" ref="A9:A15" si="2">LEFT(B9,2)</f>
        <v>09</v>
      </c>
      <c r="B9" t="s">
        <v>245</v>
      </c>
      <c r="C9" s="14" t="str">
        <f>VLOOKUP(B9,Table4[],2,FALSE)</f>
        <v xml:space="preserve"> Roela Lasteaed</v>
      </c>
      <c r="D9" s="14" t="str">
        <f>VLOOKUP(Table1[[#This Row],[Tegevusala]],Table4[[Tegevusala kood]:[Tegevusala alanimetus]],4,FALSE)</f>
        <v>Alusharidus</v>
      </c>
      <c r="E9" s="14" t="str">
        <f>VLOOKUP(C9,Table4[[Tegevusala nimetus]:[Tegevusala koondnimetus]],2,FALSE)</f>
        <v>Haridus</v>
      </c>
      <c r="F9" s="14" t="s">
        <v>326</v>
      </c>
      <c r="G9" s="38" t="s">
        <v>455</v>
      </c>
      <c r="H9" s="14">
        <v>1</v>
      </c>
      <c r="I9" s="14"/>
      <c r="J9" s="14">
        <v>660</v>
      </c>
      <c r="K9">
        <f t="shared" ref="K9:K15" si="3">H9*J9</f>
        <v>660</v>
      </c>
      <c r="L9" s="14">
        <v>12</v>
      </c>
      <c r="M9" s="14"/>
      <c r="N9" s="44">
        <f>(K9*Table1[[#This Row],[Ühik2]])+M9</f>
        <v>7920</v>
      </c>
      <c r="O9" s="44">
        <f>Table1[[#This Row],[2020. EA ]]*0.338</f>
        <v>2676.96</v>
      </c>
      <c r="P9" s="14"/>
    </row>
    <row r="10" spans="1:16" x14ac:dyDescent="0.25">
      <c r="A10" s="14" t="str">
        <f t="shared" si="2"/>
        <v>09</v>
      </c>
      <c r="B10" t="s">
        <v>245</v>
      </c>
      <c r="C10" s="14" t="str">
        <f>VLOOKUP(B10,Table4[],2,FALSE)</f>
        <v xml:space="preserve"> Roela Lasteaed</v>
      </c>
      <c r="D10" s="14" t="str">
        <f>VLOOKUP(Table1[[#This Row],[Tegevusala]],Table4[[Tegevusala kood]:[Tegevusala alanimetus]],4,FALSE)</f>
        <v>Alusharidus</v>
      </c>
      <c r="E10" s="14" t="str">
        <f>VLOOKUP(C10,Table4[[Tegevusala nimetus]:[Tegevusala koondnimetus]],2,FALSE)</f>
        <v>Haridus</v>
      </c>
      <c r="F10" s="14" t="s">
        <v>326</v>
      </c>
      <c r="G10" s="38" t="s">
        <v>455</v>
      </c>
      <c r="H10" s="14">
        <v>1</v>
      </c>
      <c r="I10" s="14"/>
      <c r="J10" s="14">
        <v>758</v>
      </c>
      <c r="K10">
        <f t="shared" si="3"/>
        <v>758</v>
      </c>
      <c r="L10" s="14">
        <v>12</v>
      </c>
      <c r="M10" s="14"/>
      <c r="N10" s="44">
        <f>(K10*Table1[[#This Row],[Ühik2]])+M10</f>
        <v>9096</v>
      </c>
      <c r="O10" s="44">
        <f>Table1[[#This Row],[2020. EA ]]*0.338</f>
        <v>3074.4480000000003</v>
      </c>
      <c r="P10" s="14"/>
    </row>
    <row r="11" spans="1:16" x14ac:dyDescent="0.25">
      <c r="A11" s="14" t="str">
        <f t="shared" si="2"/>
        <v>09</v>
      </c>
      <c r="B11" t="s">
        <v>245</v>
      </c>
      <c r="C11" s="14" t="str">
        <f>VLOOKUP(B11,Table4[],2,FALSE)</f>
        <v xml:space="preserve"> Roela Lasteaed</v>
      </c>
      <c r="D11" s="14" t="str">
        <f>VLOOKUP(Table1[[#This Row],[Tegevusala]],Table4[[Tegevusala kood]:[Tegevusala alanimetus]],4,FALSE)</f>
        <v>Alusharidus</v>
      </c>
      <c r="E11" s="14" t="str">
        <f>VLOOKUP(C11,Table4[[Tegevusala nimetus]:[Tegevusala koondnimetus]],2,FALSE)</f>
        <v>Haridus</v>
      </c>
      <c r="F11" s="14" t="s">
        <v>326</v>
      </c>
      <c r="G11" s="38" t="s">
        <v>456</v>
      </c>
      <c r="H11" s="14">
        <v>3.39</v>
      </c>
      <c r="I11" s="14"/>
      <c r="J11" s="14">
        <v>1315</v>
      </c>
      <c r="K11">
        <f t="shared" si="3"/>
        <v>4457.8500000000004</v>
      </c>
      <c r="L11" s="14">
        <v>12</v>
      </c>
      <c r="M11" s="14"/>
      <c r="N11" s="44">
        <f>(K11*Table1[[#This Row],[Ühik2]])+M11</f>
        <v>53494.200000000004</v>
      </c>
      <c r="O11" s="44">
        <f>Table1[[#This Row],[2020. EA ]]*0.338</f>
        <v>18081.039600000004</v>
      </c>
      <c r="P11" s="14"/>
    </row>
    <row r="12" spans="1:16" x14ac:dyDescent="0.25">
      <c r="A12" s="14" t="str">
        <f t="shared" si="2"/>
        <v>09</v>
      </c>
      <c r="B12" t="s">
        <v>245</v>
      </c>
      <c r="C12" s="14" t="str">
        <f>VLOOKUP(B12,Table4[],2,FALSE)</f>
        <v xml:space="preserve"> Roela Lasteaed</v>
      </c>
      <c r="D12" s="14" t="str">
        <f>VLOOKUP(Table1[[#This Row],[Tegevusala]],Table4[[Tegevusala kood]:[Tegevusala alanimetus]],4,FALSE)</f>
        <v>Alusharidus</v>
      </c>
      <c r="E12" s="14" t="str">
        <f>VLOOKUP(C12,Table4[[Tegevusala nimetus]:[Tegevusala koondnimetus]],2,FALSE)</f>
        <v>Haridus</v>
      </c>
      <c r="F12" s="14" t="s">
        <v>326</v>
      </c>
      <c r="G12" s="38" t="s">
        <v>457</v>
      </c>
      <c r="H12" s="14">
        <v>0.15</v>
      </c>
      <c r="I12" s="14"/>
      <c r="J12" s="14">
        <v>1315</v>
      </c>
      <c r="K12">
        <f t="shared" si="3"/>
        <v>197.25</v>
      </c>
      <c r="L12" s="14">
        <v>12</v>
      </c>
      <c r="M12" s="14"/>
      <c r="N12" s="44">
        <f>(K12*Table1[[#This Row],[Ühik2]])+M12</f>
        <v>2367</v>
      </c>
      <c r="O12" s="44">
        <f>Table1[[#This Row],[2020. EA ]]*0.338</f>
        <v>800.04600000000005</v>
      </c>
      <c r="P12" s="14"/>
    </row>
    <row r="13" spans="1:16" x14ac:dyDescent="0.25">
      <c r="A13" s="14" t="str">
        <f t="shared" si="2"/>
        <v>09</v>
      </c>
      <c r="B13" t="s">
        <v>245</v>
      </c>
      <c r="C13" s="14" t="str">
        <f>VLOOKUP(B13,Table4[],2,FALSE)</f>
        <v xml:space="preserve"> Roela Lasteaed</v>
      </c>
      <c r="D13" s="14" t="str">
        <f>VLOOKUP(Table1[[#This Row],[Tegevusala]],Table4[[Tegevusala kood]:[Tegevusala alanimetus]],4,FALSE)</f>
        <v>Alusharidus</v>
      </c>
      <c r="E13" s="14" t="str">
        <f>VLOOKUP(C13,Table4[[Tegevusala nimetus]:[Tegevusala koondnimetus]],2,FALSE)</f>
        <v>Haridus</v>
      </c>
      <c r="F13" s="14" t="s">
        <v>326</v>
      </c>
      <c r="G13" s="38" t="s">
        <v>458</v>
      </c>
      <c r="H13" s="14">
        <v>0.25</v>
      </c>
      <c r="I13" s="14"/>
      <c r="J13" s="14">
        <v>1315</v>
      </c>
      <c r="K13">
        <f t="shared" si="3"/>
        <v>328.75</v>
      </c>
      <c r="L13" s="14">
        <v>12</v>
      </c>
      <c r="M13" s="14"/>
      <c r="N13" s="44">
        <f>(K13*Table1[[#This Row],[Ühik2]])+M13</f>
        <v>3945</v>
      </c>
      <c r="O13" s="44">
        <f>Table1[[#This Row],[2020. EA ]]*0.338</f>
        <v>1333.41</v>
      </c>
      <c r="P13" s="14"/>
    </row>
    <row r="14" spans="1:16" x14ac:dyDescent="0.25">
      <c r="A14" s="14" t="str">
        <f t="shared" si="2"/>
        <v>09</v>
      </c>
      <c r="B14" t="s">
        <v>245</v>
      </c>
      <c r="C14" s="14" t="str">
        <f>VLOOKUP(B14,Table4[],2,FALSE)</f>
        <v xml:space="preserve"> Roela Lasteaed</v>
      </c>
      <c r="D14" s="14" t="str">
        <f>VLOOKUP(Table1[[#This Row],[Tegevusala]],Table4[[Tegevusala kood]:[Tegevusala alanimetus]],4,FALSE)</f>
        <v>Alusharidus</v>
      </c>
      <c r="E14" s="14" t="str">
        <f>VLOOKUP(C14,Table4[[Tegevusala nimetus]:[Tegevusala koondnimetus]],2,FALSE)</f>
        <v>Haridus</v>
      </c>
      <c r="F14" s="14" t="s">
        <v>326</v>
      </c>
      <c r="G14" s="38" t="s">
        <v>459</v>
      </c>
      <c r="H14" s="14">
        <v>0.15</v>
      </c>
      <c r="I14" s="14"/>
      <c r="J14" s="14">
        <v>1315</v>
      </c>
      <c r="K14">
        <f t="shared" si="3"/>
        <v>197.25</v>
      </c>
      <c r="L14" s="14">
        <v>12</v>
      </c>
      <c r="M14" s="14"/>
      <c r="N14" s="44">
        <f>(K14*Table1[[#This Row],[Ühik2]])+M14</f>
        <v>2367</v>
      </c>
      <c r="O14" s="44">
        <f>Table1[[#This Row],[2020. EA ]]*0.338</f>
        <v>800.04600000000005</v>
      </c>
      <c r="P14" s="14"/>
    </row>
    <row r="15" spans="1:16" x14ac:dyDescent="0.25">
      <c r="A15" s="90" t="str">
        <f t="shared" si="2"/>
        <v>09</v>
      </c>
      <c r="B15" s="91" t="s">
        <v>245</v>
      </c>
      <c r="C15" s="90" t="str">
        <f>VLOOKUP(B15,Table4[],2,FALSE)</f>
        <v xml:space="preserve"> Roela Lasteaed</v>
      </c>
      <c r="D15" s="90" t="str">
        <f>VLOOKUP(Table1[[#This Row],[Tegevusala]],Table4[[Tegevusala kood]:[Tegevusala alanimetus]],4,FALSE)</f>
        <v>Alusharidus</v>
      </c>
      <c r="E15" s="90" t="str">
        <f>VLOOKUP(C15,Table4[[Tegevusala nimetus]:[Tegevusala koondnimetus]],2,FALSE)</f>
        <v>Haridus</v>
      </c>
      <c r="F15" s="90" t="s">
        <v>326</v>
      </c>
      <c r="G15" s="90" t="s">
        <v>460</v>
      </c>
      <c r="H15" s="90">
        <v>0.5</v>
      </c>
      <c r="I15" s="90"/>
      <c r="J15" s="90">
        <v>584</v>
      </c>
      <c r="K15" s="91">
        <f t="shared" si="3"/>
        <v>292</v>
      </c>
      <c r="L15" s="90">
        <v>12</v>
      </c>
      <c r="M15" s="90"/>
      <c r="N15" s="92">
        <f>(K15*Table1[[#This Row],[Ühik2]])+M15</f>
        <v>3504</v>
      </c>
      <c r="O15" s="92">
        <f>Table1[[#This Row],[2020. EA ]]*0.338</f>
        <v>1184.3520000000001</v>
      </c>
      <c r="P15" s="90"/>
    </row>
    <row r="16" spans="1:16" x14ac:dyDescent="0.25">
      <c r="A16" s="90" t="str">
        <f t="shared" si="1"/>
        <v>09</v>
      </c>
      <c r="B16" s="91" t="s">
        <v>247</v>
      </c>
      <c r="C16" s="90" t="str">
        <f>VLOOKUP(B16,Table4[],2,FALSE)</f>
        <v xml:space="preserve"> Roela kool</v>
      </c>
      <c r="D16" s="90" t="str">
        <f>VLOOKUP(Table1[[#This Row],[Tegevusala]],Table4[[Tegevusala kood]:[Tegevusala alanimetus]],4,FALSE)</f>
        <v>Põhihariduse otsekulud</v>
      </c>
      <c r="E16" s="90" t="str">
        <f>VLOOKUP(C16,Table4[[Tegevusala nimetus]:[Tegevusala koondnimetus]],2,FALSE)</f>
        <v>Haridus</v>
      </c>
      <c r="F16" s="90" t="s">
        <v>326</v>
      </c>
      <c r="G16" s="90" t="s">
        <v>461</v>
      </c>
      <c r="H16" s="90">
        <v>0.6</v>
      </c>
      <c r="I16" s="90"/>
      <c r="J16" s="90">
        <v>584</v>
      </c>
      <c r="K16" s="91">
        <f t="shared" si="0"/>
        <v>350.4</v>
      </c>
      <c r="L16" s="90">
        <v>12</v>
      </c>
      <c r="M16" s="90"/>
      <c r="N16" s="92">
        <f>(K16*Table1[[#This Row],[Ühik2]])+M16</f>
        <v>4204.7999999999993</v>
      </c>
      <c r="O16" s="92">
        <f>Table1[[#This Row],[2020. EA ]]*0.338</f>
        <v>1421.2223999999999</v>
      </c>
      <c r="P16" s="90"/>
    </row>
    <row r="17" spans="1:16" x14ac:dyDescent="0.25">
      <c r="A17" s="90" t="str">
        <f t="shared" si="1"/>
        <v>09</v>
      </c>
      <c r="B17" s="91" t="s">
        <v>247</v>
      </c>
      <c r="C17" s="90" t="str">
        <f>VLOOKUP(B17,Table4[],2,FALSE)</f>
        <v xml:space="preserve"> Roela kool</v>
      </c>
      <c r="D17" s="90" t="str">
        <f>VLOOKUP(Table1[[#This Row],[Tegevusala]],Table4[[Tegevusala kood]:[Tegevusala alanimetus]],4,FALSE)</f>
        <v>Põhihariduse otsekulud</v>
      </c>
      <c r="E17" s="90" t="str">
        <f>VLOOKUP(C17,Table4[[Tegevusala nimetus]:[Tegevusala koondnimetus]],2,FALSE)</f>
        <v>Haridus</v>
      </c>
      <c r="F17" s="90" t="s">
        <v>326</v>
      </c>
      <c r="G17" s="90" t="s">
        <v>462</v>
      </c>
      <c r="H17" s="90">
        <v>0.5</v>
      </c>
      <c r="I17" s="90"/>
      <c r="J17" s="90">
        <v>584</v>
      </c>
      <c r="K17" s="91">
        <f t="shared" si="0"/>
        <v>292</v>
      </c>
      <c r="L17" s="90">
        <v>12</v>
      </c>
      <c r="M17" s="90"/>
      <c r="N17" s="92">
        <f>(K17*Table1[[#This Row],[Ühik2]])+M17</f>
        <v>3504</v>
      </c>
      <c r="O17" s="92">
        <f>Table1[[#This Row],[2020. EA ]]*0.338</f>
        <v>1184.3520000000001</v>
      </c>
      <c r="P17" s="90"/>
    </row>
    <row r="18" spans="1:16" x14ac:dyDescent="0.25">
      <c r="A18" s="90" t="str">
        <f t="shared" si="1"/>
        <v>09</v>
      </c>
      <c r="B18" s="91" t="s">
        <v>247</v>
      </c>
      <c r="C18" s="90" t="str">
        <f>VLOOKUP(B18,Table4[],2,FALSE)</f>
        <v xml:space="preserve"> Roela kool</v>
      </c>
      <c r="D18" s="90" t="str">
        <f>VLOOKUP(Table1[[#This Row],[Tegevusala]],Table4[[Tegevusala kood]:[Tegevusala alanimetus]],4,FALSE)</f>
        <v>Põhihariduse otsekulud</v>
      </c>
      <c r="E18" s="90" t="str">
        <f>VLOOKUP(C18,Table4[[Tegevusala nimetus]:[Tegevusala koondnimetus]],2,FALSE)</f>
        <v>Haridus</v>
      </c>
      <c r="F18" s="90" t="s">
        <v>326</v>
      </c>
      <c r="G18" s="90" t="s">
        <v>463</v>
      </c>
      <c r="H18" s="90">
        <v>1</v>
      </c>
      <c r="I18" s="90"/>
      <c r="J18" s="90">
        <v>584</v>
      </c>
      <c r="K18" s="91">
        <f t="shared" si="0"/>
        <v>584</v>
      </c>
      <c r="L18" s="90">
        <v>12</v>
      </c>
      <c r="M18" s="90"/>
      <c r="N18" s="92">
        <f>(K18*Table1[[#This Row],[Ühik2]])+M18</f>
        <v>7008</v>
      </c>
      <c r="O18" s="92">
        <f>Table1[[#This Row],[2020. EA ]]*0.338</f>
        <v>2368.7040000000002</v>
      </c>
      <c r="P18" s="90"/>
    </row>
    <row r="19" spans="1:16" x14ac:dyDescent="0.25">
      <c r="A19" s="90" t="str">
        <f t="shared" si="1"/>
        <v>09</v>
      </c>
      <c r="B19" s="91" t="s">
        <v>247</v>
      </c>
      <c r="C19" s="90" t="str">
        <f>VLOOKUP(B19,Table4[],2,FALSE)</f>
        <v xml:space="preserve"> Roela kool</v>
      </c>
      <c r="D19" s="90" t="str">
        <f>VLOOKUP(Table1[[#This Row],[Tegevusala]],Table4[[Tegevusala kood]:[Tegevusala alanimetus]],4,FALSE)</f>
        <v>Põhihariduse otsekulud</v>
      </c>
      <c r="E19" s="90" t="str">
        <f>VLOOKUP(C19,Table4[[Tegevusala nimetus]:[Tegevusala koondnimetus]],2,FALSE)</f>
        <v>Haridus</v>
      </c>
      <c r="F19" s="90" t="s">
        <v>326</v>
      </c>
      <c r="G19" s="90" t="s">
        <v>464</v>
      </c>
      <c r="H19" s="90">
        <v>4.4000000000000004</v>
      </c>
      <c r="I19" s="90"/>
      <c r="J19" s="90">
        <v>584</v>
      </c>
      <c r="K19" s="91">
        <f t="shared" si="0"/>
        <v>2569.6000000000004</v>
      </c>
      <c r="L19" s="90">
        <v>12</v>
      </c>
      <c r="M19" s="90"/>
      <c r="N19" s="92">
        <f>(K19*Table1[[#This Row],[Ühik2]])+M19</f>
        <v>30835.200000000004</v>
      </c>
      <c r="O19" s="92">
        <f>Table1[[#This Row],[2020. EA ]]*0.338</f>
        <v>10422.297600000002</v>
      </c>
      <c r="P19" s="90"/>
    </row>
    <row r="20" spans="1:16" x14ac:dyDescent="0.25">
      <c r="A20" s="14" t="str">
        <f t="shared" si="1"/>
        <v>09</v>
      </c>
      <c r="B20" t="s">
        <v>247</v>
      </c>
      <c r="C20" s="14" t="str">
        <f>VLOOKUP(B20,Table4[],2,FALSE)</f>
        <v xml:space="preserve"> Roela kool</v>
      </c>
      <c r="D20" s="14" t="str">
        <f>VLOOKUP(Table1[[#This Row],[Tegevusala]],Table4[[Tegevusala kood]:[Tegevusala alanimetus]],4,FALSE)</f>
        <v>Põhihariduse otsekulud</v>
      </c>
      <c r="E20" s="14" t="str">
        <f>VLOOKUP(C20,Table4[[Tegevusala nimetus]:[Tegevusala koondnimetus]],2,FALSE)</f>
        <v>Haridus</v>
      </c>
      <c r="F20" s="14" t="s">
        <v>326</v>
      </c>
      <c r="G20" s="38" t="s">
        <v>465</v>
      </c>
      <c r="H20" s="14">
        <v>0.5</v>
      </c>
      <c r="I20" s="14"/>
      <c r="J20" s="14">
        <v>735</v>
      </c>
      <c r="K20">
        <f t="shared" si="0"/>
        <v>367.5</v>
      </c>
      <c r="L20" s="14">
        <v>12</v>
      </c>
      <c r="M20" s="14">
        <v>1800</v>
      </c>
      <c r="N20" s="44">
        <f>(K20*Table1[[#This Row],[Ühik2]])+M20</f>
        <v>6210</v>
      </c>
      <c r="O20" s="44">
        <f>Table1[[#This Row],[2020. EA ]]*0.338</f>
        <v>2098.98</v>
      </c>
      <c r="P20" s="14"/>
    </row>
    <row r="21" spans="1:16" x14ac:dyDescent="0.25">
      <c r="A21" s="38" t="str">
        <f t="shared" si="1"/>
        <v>09</v>
      </c>
      <c r="B21" s="33" t="s">
        <v>247</v>
      </c>
      <c r="C21" s="38" t="str">
        <f>VLOOKUP(B21,Table4[],2,FALSE)</f>
        <v xml:space="preserve"> Roela kool</v>
      </c>
      <c r="D21" s="38" t="str">
        <f>VLOOKUP(Table1[[#This Row],[Tegevusala]],Table4[[Tegevusala kood]:[Tegevusala alanimetus]],4,FALSE)</f>
        <v>Põhihariduse otsekulud</v>
      </c>
      <c r="E21" s="38" t="str">
        <f>VLOOKUP(C21,Table4[[Tegevusala nimetus]:[Tegevusala koondnimetus]],2,FALSE)</f>
        <v>Haridus</v>
      </c>
      <c r="F21" s="38" t="s">
        <v>326</v>
      </c>
      <c r="G21" s="38" t="s">
        <v>466</v>
      </c>
      <c r="H21" s="38">
        <v>1</v>
      </c>
      <c r="I21" s="38"/>
      <c r="J21" s="38">
        <v>760</v>
      </c>
      <c r="K21" s="33">
        <f t="shared" si="0"/>
        <v>760</v>
      </c>
      <c r="L21" s="38">
        <v>12</v>
      </c>
      <c r="M21" s="38"/>
      <c r="N21" s="45">
        <f>(K21*Table1[[#This Row],[Ühik2]])+M21</f>
        <v>9120</v>
      </c>
      <c r="O21" s="45">
        <f>Table1[[#This Row],[2020. EA ]]*0.338</f>
        <v>3082.5600000000004</v>
      </c>
      <c r="P21" s="38"/>
    </row>
    <row r="22" spans="1:16" x14ac:dyDescent="0.25">
      <c r="A22" s="14" t="str">
        <f t="shared" si="1"/>
        <v>09</v>
      </c>
      <c r="B22" t="s">
        <v>247</v>
      </c>
      <c r="C22" s="14" t="str">
        <f>VLOOKUP(B22,Table4[],2,FALSE)</f>
        <v xml:space="preserve"> Roela kool</v>
      </c>
      <c r="D22" s="14" t="str">
        <f>VLOOKUP(Table1[[#This Row],[Tegevusala]],Table4[[Tegevusala kood]:[Tegevusala alanimetus]],4,FALSE)</f>
        <v>Põhihariduse otsekulud</v>
      </c>
      <c r="E22" s="14" t="str">
        <f>VLOOKUP(C22,Table4[[Tegevusala nimetus]:[Tegevusala koondnimetus]],2,FALSE)</f>
        <v>Haridus</v>
      </c>
      <c r="F22" s="14" t="s">
        <v>326</v>
      </c>
      <c r="G22" s="14" t="s">
        <v>467</v>
      </c>
      <c r="H22" s="14"/>
      <c r="I22" s="14"/>
      <c r="J22" s="14"/>
      <c r="K22">
        <f t="shared" si="0"/>
        <v>0</v>
      </c>
      <c r="L22" s="14">
        <v>12</v>
      </c>
      <c r="M22" s="14">
        <v>576</v>
      </c>
      <c r="N22" s="44">
        <f>(K22*Table1[[#This Row],[Ühik2]])+M22</f>
        <v>576</v>
      </c>
      <c r="O22" s="44">
        <f>Table1[[#This Row],[2020. EA ]]*0.338</f>
        <v>194.68800000000002</v>
      </c>
      <c r="P22" s="14"/>
    </row>
    <row r="23" spans="1:16" x14ac:dyDescent="0.25">
      <c r="A23" s="90" t="str">
        <f t="shared" si="1"/>
        <v>09</v>
      </c>
      <c r="B23" s="91" t="s">
        <v>247</v>
      </c>
      <c r="C23" s="90" t="str">
        <f>VLOOKUP(B23,Table4[],2,FALSE)</f>
        <v xml:space="preserve"> Roela kool</v>
      </c>
      <c r="D23" s="90" t="str">
        <f>VLOOKUP(Table1[[#This Row],[Tegevusala]],Table4[[Tegevusala kood]:[Tegevusala alanimetus]],4,FALSE)</f>
        <v>Põhihariduse otsekulud</v>
      </c>
      <c r="E23" s="90" t="str">
        <f>VLOOKUP(C23,Table4[[Tegevusala nimetus]:[Tegevusala koondnimetus]],2,FALSE)</f>
        <v>Haridus</v>
      </c>
      <c r="F23" s="90" t="s">
        <v>326</v>
      </c>
      <c r="G23" s="90" t="s">
        <v>468</v>
      </c>
      <c r="H23" s="90">
        <v>1</v>
      </c>
      <c r="I23" s="90"/>
      <c r="J23" s="90">
        <v>584</v>
      </c>
      <c r="K23" s="91">
        <f t="shared" si="0"/>
        <v>584</v>
      </c>
      <c r="L23" s="90">
        <v>12</v>
      </c>
      <c r="M23" s="90"/>
      <c r="N23" s="92">
        <f>(K23*Table1[[#This Row],[Ühik2]])+M23</f>
        <v>7008</v>
      </c>
      <c r="O23" s="92">
        <f>Table1[[#This Row],[2020. EA ]]*0.338</f>
        <v>2368.7040000000002</v>
      </c>
      <c r="P23" s="90"/>
    </row>
    <row r="24" spans="1:16" x14ac:dyDescent="0.25">
      <c r="A24" s="14" t="str">
        <f t="shared" si="1"/>
        <v>09</v>
      </c>
      <c r="B24" t="s">
        <v>247</v>
      </c>
      <c r="C24" s="14" t="str">
        <f>VLOOKUP(B24,Table4[],2,FALSE)</f>
        <v xml:space="preserve"> Roela kool</v>
      </c>
      <c r="D24" s="14" t="str">
        <f>VLOOKUP(Table1[[#This Row],[Tegevusala]],Table4[[Tegevusala kood]:[Tegevusala alanimetus]],4,FALSE)</f>
        <v>Põhihariduse otsekulud</v>
      </c>
      <c r="E24" s="14" t="str">
        <f>VLOOKUP(C24,Table4[[Tegevusala nimetus]:[Tegevusala koondnimetus]],2,FALSE)</f>
        <v>Haridus</v>
      </c>
      <c r="F24" s="14" t="s">
        <v>326</v>
      </c>
      <c r="G24" s="14" t="s">
        <v>467</v>
      </c>
      <c r="H24" s="14"/>
      <c r="I24" s="14"/>
      <c r="J24" s="14"/>
      <c r="K24">
        <f t="shared" si="0"/>
        <v>0</v>
      </c>
      <c r="L24" s="14">
        <v>12</v>
      </c>
      <c r="M24" s="14">
        <v>117</v>
      </c>
      <c r="N24" s="44">
        <f>(K24*Table1[[#This Row],[Ühik2]])+M24</f>
        <v>117</v>
      </c>
      <c r="O24" s="44">
        <f>Table1[[#This Row],[2020. EA ]]*0.338</f>
        <v>39.545999999999999</v>
      </c>
      <c r="P24" s="14"/>
    </row>
    <row r="25" spans="1:16" hidden="1" x14ac:dyDescent="0.25">
      <c r="A25" s="90" t="str">
        <f t="shared" ref="A25:A34" si="4">LEFT(B25,2)</f>
        <v>10</v>
      </c>
      <c r="B25" s="91" t="s">
        <v>361</v>
      </c>
      <c r="C25" s="90" t="str">
        <f>VLOOKUP(B25,Table4[],2,FALSE)</f>
        <v xml:space="preserve"> Vinni päevakeskus</v>
      </c>
      <c r="D25" s="90" t="str">
        <f>VLOOKUP(Table1[[#This Row],[Tegevusala]],Table4[[Tegevusala kood]:[Tegevusala alanimetus]],4,FALSE)</f>
        <v>Eakate sotsiaalhoolekande asutused</v>
      </c>
      <c r="E25" s="90" t="str">
        <f>VLOOKUP(C25,Table4[[Tegevusala nimetus]:[Tegevusala koondnimetus]],2,FALSE)</f>
        <v>Sotsiaalne kaitse</v>
      </c>
      <c r="F25" s="91" t="s">
        <v>419</v>
      </c>
      <c r="G25" s="90" t="s">
        <v>469</v>
      </c>
      <c r="H25" s="90">
        <v>1</v>
      </c>
      <c r="I25" s="90"/>
      <c r="J25" s="90">
        <v>584</v>
      </c>
      <c r="K25" s="91">
        <f t="shared" si="0"/>
        <v>584</v>
      </c>
      <c r="L25" s="90">
        <v>12</v>
      </c>
      <c r="M25" s="90"/>
      <c r="N25" s="92">
        <f>(K25*Table1[[#This Row],[Ühik2]])+M25</f>
        <v>7008</v>
      </c>
      <c r="O25" s="92">
        <f>Table1[[#This Row],[2020. EA ]]*0.338</f>
        <v>2368.7040000000002</v>
      </c>
      <c r="P25" s="90"/>
    </row>
    <row r="26" spans="1:16" hidden="1" x14ac:dyDescent="0.25">
      <c r="A26" s="14" t="str">
        <f t="shared" si="4"/>
        <v>01</v>
      </c>
      <c r="B26" t="s">
        <v>15</v>
      </c>
      <c r="C26" s="14" t="str">
        <f>VLOOKUP(B26,Table4[],2,FALSE)</f>
        <v xml:space="preserve"> Valla- ja linnavalitsus</v>
      </c>
      <c r="D26" s="14" t="str">
        <f>VLOOKUP(Table1[[#This Row],[Tegevusala]],Table4[[Tegevusala kood]:[Tegevusala alanimetus]],4,FALSE)</f>
        <v>Valla- ja linnavalitsus</v>
      </c>
      <c r="E26" s="14" t="str">
        <f>VLOOKUP(C26,Table4[[Tegevusala nimetus]:[Tegevusala koondnimetus]],2,FALSE)</f>
        <v>Üldised valitsussektori teenused</v>
      </c>
      <c r="F26" s="14" t="s">
        <v>473</v>
      </c>
      <c r="G26" s="14" t="s">
        <v>474</v>
      </c>
      <c r="H26" s="14">
        <v>1</v>
      </c>
      <c r="I26" s="14"/>
      <c r="J26" s="14">
        <v>2000</v>
      </c>
      <c r="K26">
        <f t="shared" si="0"/>
        <v>2000</v>
      </c>
      <c r="L26" s="14">
        <v>12</v>
      </c>
      <c r="M26" s="14"/>
      <c r="N26" s="44">
        <f>(K26*Table1[[#This Row],[Ühik2]])+M26</f>
        <v>24000</v>
      </c>
      <c r="O26" s="44">
        <f>Table1[[#This Row],[2020. EA ]]*0.338</f>
        <v>8112.0000000000009</v>
      </c>
      <c r="P26" s="14"/>
    </row>
    <row r="27" spans="1:16" hidden="1" x14ac:dyDescent="0.25">
      <c r="A27" s="14" t="str">
        <f t="shared" si="4"/>
        <v>01</v>
      </c>
      <c r="B27" t="s">
        <v>15</v>
      </c>
      <c r="C27" s="14" t="str">
        <f>VLOOKUP(B27,Table4[],2,FALSE)</f>
        <v xml:space="preserve"> Valla- ja linnavalitsus</v>
      </c>
      <c r="D27" s="14" t="str">
        <f>VLOOKUP(Table1[[#This Row],[Tegevusala]],Table4[[Tegevusala kood]:[Tegevusala alanimetus]],4,FALSE)</f>
        <v>Valla- ja linnavalitsus</v>
      </c>
      <c r="E27" s="14" t="str">
        <f>VLOOKUP(C27,Table4[[Tegevusala nimetus]:[Tegevusala koondnimetus]],2,FALSE)</f>
        <v>Üldised valitsussektori teenused</v>
      </c>
      <c r="F27" s="14" t="s">
        <v>473</v>
      </c>
      <c r="G27" s="14" t="s">
        <v>475</v>
      </c>
      <c r="H27" s="14">
        <v>1</v>
      </c>
      <c r="I27" s="14"/>
      <c r="J27" s="14">
        <v>1750</v>
      </c>
      <c r="K27">
        <f t="shared" si="0"/>
        <v>1750</v>
      </c>
      <c r="L27" s="14">
        <v>12</v>
      </c>
      <c r="M27" s="14"/>
      <c r="N27" s="44">
        <f>(K27*Table1[[#This Row],[Ühik2]])+M27</f>
        <v>21000</v>
      </c>
      <c r="O27" s="44">
        <f>Table1[[#This Row],[2020. EA ]]*0.338</f>
        <v>7098.0000000000009</v>
      </c>
      <c r="P27" s="14"/>
    </row>
    <row r="28" spans="1:16" hidden="1" x14ac:dyDescent="0.25">
      <c r="A28" s="14" t="str">
        <f t="shared" si="4"/>
        <v>01</v>
      </c>
      <c r="B28" t="s">
        <v>15</v>
      </c>
      <c r="C28" s="14" t="str">
        <f>VLOOKUP(B28,Table4[],2,FALSE)</f>
        <v xml:space="preserve"> Valla- ja linnavalitsus</v>
      </c>
      <c r="D28" s="14" t="str">
        <f>VLOOKUP(Table1[[#This Row],[Tegevusala]],Table4[[Tegevusala kood]:[Tegevusala alanimetus]],4,FALSE)</f>
        <v>Valla- ja linnavalitsus</v>
      </c>
      <c r="E28" s="14" t="str">
        <f>VLOOKUP(C28,Table4[[Tegevusala nimetus]:[Tegevusala koondnimetus]],2,FALSE)</f>
        <v>Üldised valitsussektori teenused</v>
      </c>
      <c r="F28" s="14" t="s">
        <v>473</v>
      </c>
      <c r="G28" s="14" t="s">
        <v>476</v>
      </c>
      <c r="H28" s="14">
        <v>2</v>
      </c>
      <c r="I28" s="14"/>
      <c r="J28" s="14">
        <v>1250</v>
      </c>
      <c r="K28">
        <f t="shared" si="0"/>
        <v>2500</v>
      </c>
      <c r="L28" s="14">
        <v>12</v>
      </c>
      <c r="M28" s="14"/>
      <c r="N28" s="44">
        <f>(K28*Table1[[#This Row],[Ühik2]])+M28</f>
        <v>30000</v>
      </c>
      <c r="O28" s="44">
        <f>Table1[[#This Row],[2020. EA ]]*0.338</f>
        <v>10140</v>
      </c>
      <c r="P28" s="14"/>
    </row>
    <row r="29" spans="1:16" hidden="1" x14ac:dyDescent="0.25">
      <c r="A29" s="14" t="str">
        <f t="shared" si="4"/>
        <v>08</v>
      </c>
      <c r="B29" t="s">
        <v>268</v>
      </c>
      <c r="C29" s="14" t="str">
        <f>VLOOKUP(B29,Table4[],2,FALSE)</f>
        <v xml:space="preserve"> Muuga Spordihoone</v>
      </c>
      <c r="D29" s="14" t="str">
        <f>VLOOKUP(Table1[[#This Row],[Tegevusala]],Table4[[Tegevusala kood]:[Tegevusala alanimetus]],4,FALSE)</f>
        <v>Sport</v>
      </c>
      <c r="E29" s="14" t="str">
        <f>VLOOKUP(C29,Table4[[Tegevusala nimetus]:[Tegevusala koondnimetus]],2,FALSE)</f>
        <v>Vabaaeg, kultuur ja religioon</v>
      </c>
      <c r="F29" s="14" t="s">
        <v>487</v>
      </c>
      <c r="G29" s="14" t="s">
        <v>505</v>
      </c>
      <c r="H29" s="14">
        <v>1</v>
      </c>
      <c r="I29" s="14"/>
      <c r="J29" s="14">
        <v>700</v>
      </c>
      <c r="K29">
        <f t="shared" si="0"/>
        <v>700</v>
      </c>
      <c r="L29" s="14">
        <v>12</v>
      </c>
      <c r="M29" s="14"/>
      <c r="N29" s="44">
        <f>(K29*Table1[[#This Row],[Ühik2]])+M29</f>
        <v>8400</v>
      </c>
      <c r="O29" s="44">
        <f>Table1[[#This Row],[2020. EA ]]*0.338</f>
        <v>2839.2000000000003</v>
      </c>
      <c r="P29" s="14"/>
    </row>
    <row r="30" spans="1:16" hidden="1" x14ac:dyDescent="0.25">
      <c r="A30" s="90" t="str">
        <f t="shared" si="4"/>
        <v>08</v>
      </c>
      <c r="B30" s="91" t="s">
        <v>268</v>
      </c>
      <c r="C30" s="90" t="str">
        <f>VLOOKUP(B30,Table4[],2,FALSE)</f>
        <v xml:space="preserve"> Muuga Spordihoone</v>
      </c>
      <c r="D30" s="90" t="str">
        <f>VLOOKUP(Table1[[#This Row],[Tegevusala]],Table4[[Tegevusala kood]:[Tegevusala alanimetus]],4,FALSE)</f>
        <v>Sport</v>
      </c>
      <c r="E30" s="90" t="str">
        <f>VLOOKUP(C30,Table4[[Tegevusala nimetus]:[Tegevusala koondnimetus]],2,FALSE)</f>
        <v>Vabaaeg, kultuur ja religioon</v>
      </c>
      <c r="F30" s="90" t="s">
        <v>487</v>
      </c>
      <c r="G30" s="90" t="s">
        <v>506</v>
      </c>
      <c r="H30" s="90">
        <v>1</v>
      </c>
      <c r="I30" s="90"/>
      <c r="J30" s="90">
        <v>584</v>
      </c>
      <c r="K30" s="91">
        <f t="shared" si="0"/>
        <v>584</v>
      </c>
      <c r="L30" s="90">
        <v>12</v>
      </c>
      <c r="M30" s="90"/>
      <c r="N30" s="92">
        <f>(K30*Table1[[#This Row],[Ühik2]])+M30</f>
        <v>7008</v>
      </c>
      <c r="O30" s="92">
        <f>Table1[[#This Row],[2020. EA ]]*0.338</f>
        <v>2368.7040000000002</v>
      </c>
      <c r="P30" s="90"/>
    </row>
    <row r="31" spans="1:16" hidden="1" x14ac:dyDescent="0.25">
      <c r="A31" s="14" t="str">
        <f t="shared" si="4"/>
        <v>08</v>
      </c>
      <c r="B31" t="s">
        <v>268</v>
      </c>
      <c r="C31" s="14" t="str">
        <f>VLOOKUP(B31,Table4[],2,FALSE)</f>
        <v xml:space="preserve"> Muuga Spordihoone</v>
      </c>
      <c r="D31" s="14" t="str">
        <f>VLOOKUP(Table1[[#This Row],[Tegevusala]],Table4[[Tegevusala kood]:[Tegevusala alanimetus]],4,FALSE)</f>
        <v>Sport</v>
      </c>
      <c r="E31" s="14" t="str">
        <f>VLOOKUP(C31,Table4[[Tegevusala nimetus]:[Tegevusala koondnimetus]],2,FALSE)</f>
        <v>Vabaaeg, kultuur ja religioon</v>
      </c>
      <c r="F31" s="14" t="s">
        <v>487</v>
      </c>
      <c r="G31" s="14" t="s">
        <v>507</v>
      </c>
      <c r="H31" s="14"/>
      <c r="I31" s="14"/>
      <c r="J31" s="14"/>
      <c r="K31">
        <f t="shared" si="0"/>
        <v>0</v>
      </c>
      <c r="L31" s="14">
        <v>1</v>
      </c>
      <c r="M31" s="14">
        <v>360</v>
      </c>
      <c r="N31" s="44">
        <f>(K31*Table1[[#This Row],[Ühik2]])+M31</f>
        <v>360</v>
      </c>
      <c r="O31" s="44">
        <f>Table1[[#This Row],[2020. EA ]]*0.338</f>
        <v>121.68</v>
      </c>
      <c r="P31" s="14"/>
    </row>
    <row r="32" spans="1:16" hidden="1" x14ac:dyDescent="0.25">
      <c r="A32" s="14" t="str">
        <f t="shared" si="4"/>
        <v>08</v>
      </c>
      <c r="B32" t="s">
        <v>268</v>
      </c>
      <c r="C32" s="14" t="str">
        <f>VLOOKUP(B32,Table4[],2,FALSE)</f>
        <v xml:space="preserve"> Muuga Spordihoone</v>
      </c>
      <c r="D32" s="14" t="str">
        <f>VLOOKUP(Table1[[#This Row],[Tegevusala]],Table4[[Tegevusala kood]:[Tegevusala alanimetus]],4,FALSE)</f>
        <v>Sport</v>
      </c>
      <c r="E32" s="14" t="str">
        <f>VLOOKUP(C32,Table4[[Tegevusala nimetus]:[Tegevusala koondnimetus]],2,FALSE)</f>
        <v>Vabaaeg, kultuur ja religioon</v>
      </c>
      <c r="F32" s="14" t="s">
        <v>487</v>
      </c>
      <c r="G32" s="14" t="s">
        <v>508</v>
      </c>
      <c r="H32" s="14"/>
      <c r="I32" s="14"/>
      <c r="J32" s="14"/>
      <c r="K32">
        <f t="shared" si="0"/>
        <v>0</v>
      </c>
      <c r="L32" s="14">
        <v>1</v>
      </c>
      <c r="M32" s="14">
        <v>215</v>
      </c>
      <c r="N32" s="44">
        <f>(K32*Table1[[#This Row],[Ühik2]])+M32</f>
        <v>215</v>
      </c>
      <c r="O32" s="44">
        <f>Table1[[#This Row],[2020. EA ]]*0.338</f>
        <v>72.67</v>
      </c>
      <c r="P32" s="14"/>
    </row>
    <row r="33" spans="1:16" hidden="1" x14ac:dyDescent="0.25">
      <c r="A33" s="14" t="str">
        <f t="shared" si="4"/>
        <v>08</v>
      </c>
      <c r="B33" t="s">
        <v>296</v>
      </c>
      <c r="C33" s="14" t="str">
        <f>VLOOKUP(B33,Table4[],2,FALSE)</f>
        <v>Laekvere Raamatukogu</v>
      </c>
      <c r="D33" s="14" t="str">
        <f>VLOOKUP(Table1[[#This Row],[Tegevusala]],Table4[[Tegevusala kood]:[Tegevusala alanimetus]],4,FALSE)</f>
        <v>Raamatukogud</v>
      </c>
      <c r="E33" s="14" t="str">
        <f>VLOOKUP(C33,Table4[[Tegevusala nimetus]:[Tegevusala koondnimetus]],2,FALSE)</f>
        <v>Vabaaeg, kultuur ja religioon</v>
      </c>
      <c r="F33" s="14" t="s">
        <v>511</v>
      </c>
      <c r="G33" s="14" t="s">
        <v>509</v>
      </c>
      <c r="H33" s="14">
        <v>1</v>
      </c>
      <c r="I33" s="14"/>
      <c r="J33" s="14">
        <v>966</v>
      </c>
      <c r="K33">
        <f t="shared" si="0"/>
        <v>966</v>
      </c>
      <c r="L33" s="14">
        <v>12</v>
      </c>
      <c r="M33" s="14"/>
      <c r="N33" s="44">
        <f>(K33*Table1[[#This Row],[Ühik2]])+M33</f>
        <v>11592</v>
      </c>
      <c r="O33" s="44">
        <f>Table1[[#This Row],[2020. EA ]]*0.338</f>
        <v>3918.0960000000005</v>
      </c>
      <c r="P33" s="14"/>
    </row>
    <row r="34" spans="1:16" hidden="1" x14ac:dyDescent="0.25">
      <c r="A34" s="14" t="str">
        <f t="shared" si="4"/>
        <v>08</v>
      </c>
      <c r="B34" t="s">
        <v>296</v>
      </c>
      <c r="C34" s="14" t="str">
        <f>VLOOKUP(B34,Table4[],2,FALSE)</f>
        <v>Laekvere Raamatukogu</v>
      </c>
      <c r="D34" s="14" t="str">
        <f>VLOOKUP(Table1[[#This Row],[Tegevusala]],Table4[[Tegevusala kood]:[Tegevusala alanimetus]],4,FALSE)</f>
        <v>Raamatukogud</v>
      </c>
      <c r="E34" s="14" t="str">
        <f>VLOOKUP(C34,Table4[[Tegevusala nimetus]:[Tegevusala koondnimetus]],2,FALSE)</f>
        <v>Vabaaeg, kultuur ja religioon</v>
      </c>
      <c r="F34" s="14" t="s">
        <v>511</v>
      </c>
      <c r="G34" s="14" t="s">
        <v>510</v>
      </c>
      <c r="H34" s="14">
        <v>1</v>
      </c>
      <c r="I34" s="14"/>
      <c r="J34" s="14">
        <v>736</v>
      </c>
      <c r="K34">
        <f t="shared" si="0"/>
        <v>736</v>
      </c>
      <c r="L34" s="14">
        <v>12</v>
      </c>
      <c r="M34" s="14"/>
      <c r="N34" s="44">
        <f>(K34*Table1[[#This Row],[Ühik2]])+M34</f>
        <v>8832</v>
      </c>
      <c r="O34" s="44">
        <f>Table1[[#This Row],[2020. EA ]]*0.338</f>
        <v>2985.2160000000003</v>
      </c>
      <c r="P34" s="14"/>
    </row>
    <row r="35" spans="1:16" hidden="1" x14ac:dyDescent="0.25">
      <c r="A35" s="14" t="str">
        <f t="shared" ref="A35:A41" si="5">LEFT(B35,2)</f>
        <v>08</v>
      </c>
      <c r="B35" t="s">
        <v>270</v>
      </c>
      <c r="C35" s="14" t="str">
        <f>VLOOKUP(B35,Table4[],2,FALSE)</f>
        <v xml:space="preserve"> Staadion</v>
      </c>
      <c r="D35" s="14" t="str">
        <f>VLOOKUP(Table1[[#This Row],[Tegevusala]],Table4[[Tegevusala kood]:[Tegevusala alanimetus]],4,FALSE)</f>
        <v>Sport</v>
      </c>
      <c r="E35" s="14" t="str">
        <f>VLOOKUP(C35,Table4[[Tegevusala nimetus]:[Tegevusala koondnimetus]],2,FALSE)</f>
        <v>Vabaaeg, kultuur ja religioon</v>
      </c>
      <c r="F35" s="14" t="s">
        <v>630</v>
      </c>
      <c r="G35" s="14" t="s">
        <v>629</v>
      </c>
      <c r="H35" s="14">
        <v>1</v>
      </c>
      <c r="I35" s="14"/>
      <c r="J35" s="14">
        <v>1008</v>
      </c>
      <c r="K35" s="14">
        <f t="shared" si="0"/>
        <v>1008</v>
      </c>
      <c r="L35" s="14">
        <v>5</v>
      </c>
      <c r="M35" s="14"/>
      <c r="N35" s="44">
        <f>(K35*Table1[[#This Row],[Ühik2]])+M35</f>
        <v>5040</v>
      </c>
      <c r="O35" s="44">
        <f>Table1[[#This Row],[2020. EA ]]*0.338</f>
        <v>1703.5200000000002</v>
      </c>
      <c r="P35" s="14"/>
    </row>
    <row r="36" spans="1:16" hidden="1" x14ac:dyDescent="0.25">
      <c r="A36" s="90" t="str">
        <f t="shared" si="5"/>
        <v>10</v>
      </c>
      <c r="B36" s="91" t="s">
        <v>362</v>
      </c>
      <c r="C36" s="90" t="str">
        <f>VLOOKUP(B36,Table4[],2,FALSE)</f>
        <v xml:space="preserve"> Hooldajad</v>
      </c>
      <c r="D36" s="90" t="str">
        <f>VLOOKUP(Table1[[#This Row],[Tegevusala]],Table4[[Tegevusala kood]:[Tegevusala alanimetus]],4,FALSE)</f>
        <v>Muu eakate sotsiaalne kaitse</v>
      </c>
      <c r="E36" s="90" t="str">
        <f>VLOOKUP(C36,Table4[[Tegevusala nimetus]:[Tegevusala koondnimetus]],2,FALSE)</f>
        <v>Sotsiaalne kaitse</v>
      </c>
      <c r="F36" s="90" t="s">
        <v>444</v>
      </c>
      <c r="G36" s="90" t="s">
        <v>705</v>
      </c>
      <c r="H36" s="90">
        <v>1</v>
      </c>
      <c r="I36" s="90"/>
      <c r="J36" s="90">
        <v>584</v>
      </c>
      <c r="K36" s="90">
        <f t="shared" si="0"/>
        <v>584</v>
      </c>
      <c r="L36" s="90">
        <v>12</v>
      </c>
      <c r="M36" s="90"/>
      <c r="N36" s="92">
        <f>(K36*Table1[[#This Row],[Ühik2]])+M36</f>
        <v>7008</v>
      </c>
      <c r="O36" s="92">
        <f>Table1[[#This Row],[2020. EA ]]*0.338</f>
        <v>2368.7040000000002</v>
      </c>
      <c r="P36" s="90"/>
    </row>
    <row r="37" spans="1:16" hidden="1" x14ac:dyDescent="0.25">
      <c r="A37" s="14" t="str">
        <f t="shared" si="5"/>
        <v>10</v>
      </c>
      <c r="B37" t="s">
        <v>362</v>
      </c>
      <c r="C37" s="14" t="str">
        <f>VLOOKUP(B37,Table4[],2,FALSE)</f>
        <v xml:space="preserve"> Hooldajad</v>
      </c>
      <c r="D37" s="14" t="str">
        <f>VLOOKUP(Table1[[#This Row],[Tegevusala]],Table4[[Tegevusala kood]:[Tegevusala alanimetus]],4,FALSE)</f>
        <v>Muu eakate sotsiaalne kaitse</v>
      </c>
      <c r="E37" s="14" t="str">
        <f>VLOOKUP(C37,Table4[[Tegevusala nimetus]:[Tegevusala koondnimetus]],2,FALSE)</f>
        <v>Sotsiaalne kaitse</v>
      </c>
      <c r="F37" s="14" t="s">
        <v>444</v>
      </c>
      <c r="G37" s="14" t="s">
        <v>706</v>
      </c>
      <c r="H37" s="14">
        <v>1</v>
      </c>
      <c r="I37" s="14"/>
      <c r="J37" s="14">
        <v>723</v>
      </c>
      <c r="K37" s="14">
        <f t="shared" si="0"/>
        <v>723</v>
      </c>
      <c r="L37" s="14">
        <v>1</v>
      </c>
      <c r="M37" s="14"/>
      <c r="N37" s="44">
        <f>(K37*Table1[[#This Row],[Ühik2]])+M37</f>
        <v>723</v>
      </c>
      <c r="O37" s="44">
        <f>Table1[[#This Row],[2020. EA ]]*0.338</f>
        <v>244.37400000000002</v>
      </c>
      <c r="P37" s="14"/>
    </row>
    <row r="38" spans="1:16" hidden="1" x14ac:dyDescent="0.25">
      <c r="A38" s="14" t="str">
        <f t="shared" si="5"/>
        <v>10</v>
      </c>
      <c r="B38" t="s">
        <v>362</v>
      </c>
      <c r="C38" s="14" t="str">
        <f>VLOOKUP(B38,Table4[],2,FALSE)</f>
        <v xml:space="preserve"> Hooldajad</v>
      </c>
      <c r="D38" s="14" t="str">
        <f>VLOOKUP(Table1[[#This Row],[Tegevusala]],Table4[[Tegevusala kood]:[Tegevusala alanimetus]],4,FALSE)</f>
        <v>Muu eakate sotsiaalne kaitse</v>
      </c>
      <c r="E38" s="14" t="str">
        <f>VLOOKUP(C38,Table4[[Tegevusala nimetus]:[Tegevusala koondnimetus]],2,FALSE)</f>
        <v>Sotsiaalne kaitse</v>
      </c>
      <c r="F38" s="14" t="s">
        <v>444</v>
      </c>
      <c r="G38" s="14" t="s">
        <v>707</v>
      </c>
      <c r="H38" s="14">
        <v>1</v>
      </c>
      <c r="I38" s="14"/>
      <c r="J38" s="14">
        <v>600</v>
      </c>
      <c r="K38" s="14">
        <f t="shared" si="0"/>
        <v>600</v>
      </c>
      <c r="L38" s="14">
        <v>12</v>
      </c>
      <c r="M38" s="14"/>
      <c r="N38" s="44">
        <f>(K38*Table1[[#This Row],[Ühik2]])+M38</f>
        <v>7200</v>
      </c>
      <c r="O38" s="44">
        <f>Table1[[#This Row],[2020. EA ]]*0.338</f>
        <v>2433.6000000000004</v>
      </c>
      <c r="P38" s="14"/>
    </row>
    <row r="39" spans="1:16" hidden="1" x14ac:dyDescent="0.25">
      <c r="A39" s="14" t="str">
        <f t="shared" si="5"/>
        <v>10</v>
      </c>
      <c r="B39" t="s">
        <v>362</v>
      </c>
      <c r="C39" s="14" t="str">
        <f>VLOOKUP(B39,Table4[],2,FALSE)</f>
        <v xml:space="preserve"> Hooldajad</v>
      </c>
      <c r="D39" s="14" t="str">
        <f>VLOOKUP(Table1[[#This Row],[Tegevusala]],Table4[[Tegevusala kood]:[Tegevusala alanimetus]],4,FALSE)</f>
        <v>Muu eakate sotsiaalne kaitse</v>
      </c>
      <c r="E39" s="14" t="str">
        <f>VLOOKUP(C39,Table4[[Tegevusala nimetus]:[Tegevusala koondnimetus]],2,FALSE)</f>
        <v>Sotsiaalne kaitse</v>
      </c>
      <c r="F39" s="14" t="s">
        <v>444</v>
      </c>
      <c r="G39" s="14" t="s">
        <v>706</v>
      </c>
      <c r="H39" s="14">
        <v>1</v>
      </c>
      <c r="I39" s="14"/>
      <c r="J39" s="14">
        <v>803</v>
      </c>
      <c r="K39" s="14">
        <f t="shared" si="0"/>
        <v>803</v>
      </c>
      <c r="L39" s="14">
        <v>1</v>
      </c>
      <c r="M39" s="14"/>
      <c r="N39" s="44">
        <f>(K39*Table1[[#This Row],[Ühik2]])+M39</f>
        <v>803</v>
      </c>
      <c r="O39" s="44">
        <f>Table1[[#This Row],[2020. EA ]]*0.338</f>
        <v>271.41400000000004</v>
      </c>
      <c r="P39" s="14"/>
    </row>
    <row r="40" spans="1:16" hidden="1" x14ac:dyDescent="0.25">
      <c r="A40" s="14" t="str">
        <f t="shared" si="5"/>
        <v>10</v>
      </c>
      <c r="B40" t="s">
        <v>362</v>
      </c>
      <c r="C40" s="14" t="str">
        <f>VLOOKUP(B40,Table4[],2,FALSE)</f>
        <v xml:space="preserve"> Hooldajad</v>
      </c>
      <c r="D40" s="14" t="str">
        <f>VLOOKUP(Table1[[#This Row],[Tegevusala]],Table4[[Tegevusala kood]:[Tegevusala alanimetus]],4,FALSE)</f>
        <v>Muu eakate sotsiaalne kaitse</v>
      </c>
      <c r="E40" s="14" t="str">
        <f>VLOOKUP(C40,Table4[[Tegevusala nimetus]:[Tegevusala koondnimetus]],2,FALSE)</f>
        <v>Sotsiaalne kaitse</v>
      </c>
      <c r="F40" s="14" t="s">
        <v>444</v>
      </c>
      <c r="G40" s="14" t="s">
        <v>708</v>
      </c>
      <c r="H40" s="14">
        <v>1</v>
      </c>
      <c r="I40" s="14"/>
      <c r="J40" s="14">
        <v>630</v>
      </c>
      <c r="K40" s="14">
        <f t="shared" si="0"/>
        <v>630</v>
      </c>
      <c r="L40" s="14">
        <v>12</v>
      </c>
      <c r="M40" s="14"/>
      <c r="N40" s="44">
        <f>(K40*Table1[[#This Row],[Ühik2]])+M40</f>
        <v>7560</v>
      </c>
      <c r="O40" s="44">
        <f>Table1[[#This Row],[2020. EA ]]*0.338</f>
        <v>2555.2800000000002</v>
      </c>
      <c r="P40" s="14"/>
    </row>
    <row r="41" spans="1:16" hidden="1" x14ac:dyDescent="0.25">
      <c r="A41" s="14" t="str">
        <f t="shared" si="5"/>
        <v>10</v>
      </c>
      <c r="B41" t="s">
        <v>362</v>
      </c>
      <c r="C41" s="14" t="str">
        <f>VLOOKUP(B41,Table4[],2,FALSE)</f>
        <v xml:space="preserve"> Hooldajad</v>
      </c>
      <c r="D41" s="14" t="str">
        <f>VLOOKUP(Table1[[#This Row],[Tegevusala]],Table4[[Tegevusala kood]:[Tegevusala alanimetus]],4,FALSE)</f>
        <v>Muu eakate sotsiaalne kaitse</v>
      </c>
      <c r="E41" s="14" t="str">
        <f>VLOOKUP(C41,Table4[[Tegevusala nimetus]:[Tegevusala koondnimetus]],2,FALSE)</f>
        <v>Sotsiaalne kaitse</v>
      </c>
      <c r="F41" s="14" t="s">
        <v>444</v>
      </c>
      <c r="G41" s="14" t="s">
        <v>706</v>
      </c>
      <c r="H41" s="14">
        <v>1</v>
      </c>
      <c r="I41" s="14"/>
      <c r="J41" s="14">
        <v>977</v>
      </c>
      <c r="K41" s="14">
        <f t="shared" si="0"/>
        <v>977</v>
      </c>
      <c r="L41" s="14">
        <v>1</v>
      </c>
      <c r="M41" s="14"/>
      <c r="N41" s="44">
        <f>(K41*Table1[[#This Row],[Ühik2]])+M41</f>
        <v>977</v>
      </c>
      <c r="O41" s="44">
        <f>Table1[[#This Row],[2020. EA ]]*0.338</f>
        <v>330.226</v>
      </c>
      <c r="P41" s="14"/>
    </row>
    <row r="42" spans="1:16" hidden="1" x14ac:dyDescent="0.25">
      <c r="A42" s="14" t="str">
        <f t="shared" ref="A42:A49" si="6">LEFT(B42,2)</f>
        <v>10</v>
      </c>
      <c r="B42" t="s">
        <v>65</v>
      </c>
      <c r="C42" s="14" t="str">
        <f>VLOOKUP(B42,Table4[],2,FALSE)</f>
        <v xml:space="preserve"> Muu sotsiaalne kaitse, sh sotsiaalse kaitse haldus</v>
      </c>
      <c r="D42" s="14" t="str">
        <f>VLOOKUP(Table1[[#This Row],[Tegevusala]],Table4[[Tegevusala kood]:[Tegevusala alanimetus]],4,FALSE)</f>
        <v>Muu sotsiaalne kaitse, sh sotsiaalse kaitse haldus</v>
      </c>
      <c r="E42" s="14" t="str">
        <f>VLOOKUP(C42,Table4[[Tegevusala nimetus]:[Tegevusala koondnimetus]],2,FALSE)</f>
        <v>Sotsiaalne kaitse</v>
      </c>
      <c r="F42" s="14" t="s">
        <v>444</v>
      </c>
      <c r="G42" s="14" t="s">
        <v>724</v>
      </c>
      <c r="H42" s="14">
        <v>1</v>
      </c>
      <c r="I42" s="14"/>
      <c r="J42" s="14">
        <v>2000</v>
      </c>
      <c r="K42" s="14">
        <f t="shared" si="0"/>
        <v>2000</v>
      </c>
      <c r="L42" s="14">
        <v>12</v>
      </c>
      <c r="M42" s="14"/>
      <c r="N42" s="44">
        <f>(K42*Table1[[#This Row],[Ühik2]])+M42</f>
        <v>24000</v>
      </c>
      <c r="O42" s="44">
        <f>Table1[[#This Row],[2020. EA ]]*0.338</f>
        <v>8112.0000000000009</v>
      </c>
      <c r="P42" s="14"/>
    </row>
    <row r="43" spans="1:16" hidden="1" x14ac:dyDescent="0.25">
      <c r="A43" s="14" t="str">
        <f t="shared" si="6"/>
        <v>10</v>
      </c>
      <c r="B43" t="s">
        <v>65</v>
      </c>
      <c r="C43" s="14" t="str">
        <f>VLOOKUP(B43,Table4[],2,FALSE)</f>
        <v xml:space="preserve"> Muu sotsiaalne kaitse, sh sotsiaalse kaitse haldus</v>
      </c>
      <c r="D43" s="14" t="str">
        <f>VLOOKUP(Table1[[#This Row],[Tegevusala]],Table4[[Tegevusala kood]:[Tegevusala alanimetus]],4,FALSE)</f>
        <v>Muu sotsiaalne kaitse, sh sotsiaalse kaitse haldus</v>
      </c>
      <c r="E43" s="14" t="str">
        <f>VLOOKUP(C43,Table4[[Tegevusala nimetus]:[Tegevusala koondnimetus]],2,FALSE)</f>
        <v>Sotsiaalne kaitse</v>
      </c>
      <c r="F43" s="14" t="s">
        <v>444</v>
      </c>
      <c r="G43" s="14" t="s">
        <v>726</v>
      </c>
      <c r="H43" s="14">
        <v>2</v>
      </c>
      <c r="I43" s="14"/>
      <c r="J43" s="14">
        <v>1200</v>
      </c>
      <c r="K43" s="14">
        <f t="shared" si="0"/>
        <v>2400</v>
      </c>
      <c r="L43" s="14">
        <v>12</v>
      </c>
      <c r="M43" s="14"/>
      <c r="N43" s="44">
        <f>(K43*Table1[[#This Row],[Ühik2]])+M43</f>
        <v>28800</v>
      </c>
      <c r="O43" s="44">
        <f>Table1[[#This Row],[2020. EA ]]*0.338</f>
        <v>9734.4000000000015</v>
      </c>
      <c r="P43" s="14"/>
    </row>
    <row r="44" spans="1:16" hidden="1" x14ac:dyDescent="0.25">
      <c r="A44" s="14" t="str">
        <f t="shared" si="6"/>
        <v>10</v>
      </c>
      <c r="B44" t="s">
        <v>65</v>
      </c>
      <c r="C44" s="14" t="str">
        <f>VLOOKUP(B44,Table4[],2,FALSE)</f>
        <v xml:space="preserve"> Muu sotsiaalne kaitse, sh sotsiaalse kaitse haldus</v>
      </c>
      <c r="D44" s="14" t="str">
        <f>VLOOKUP(Table1[[#This Row],[Tegevusala]],Table4[[Tegevusala kood]:[Tegevusala alanimetus]],4,FALSE)</f>
        <v>Muu sotsiaalne kaitse, sh sotsiaalse kaitse haldus</v>
      </c>
      <c r="E44" s="14" t="str">
        <f>VLOOKUP(C44,Table4[[Tegevusala nimetus]:[Tegevusala koondnimetus]],2,FALSE)</f>
        <v>Sotsiaalne kaitse</v>
      </c>
      <c r="F44" s="14" t="s">
        <v>444</v>
      </c>
      <c r="G44" s="14" t="s">
        <v>726</v>
      </c>
      <c r="H44" s="14">
        <v>1</v>
      </c>
      <c r="I44" s="14"/>
      <c r="J44" s="14">
        <v>1560</v>
      </c>
      <c r="K44" s="14">
        <f t="shared" si="0"/>
        <v>1560</v>
      </c>
      <c r="L44" s="14">
        <v>12</v>
      </c>
      <c r="M44" s="14"/>
      <c r="N44" s="44">
        <f>(K44*Table1[[#This Row],[Ühik2]])+M44</f>
        <v>18720</v>
      </c>
      <c r="O44" s="44">
        <f>Table1[[#This Row],[2020. EA ]]*0.338</f>
        <v>6327.3600000000006</v>
      </c>
      <c r="P44" s="14"/>
    </row>
    <row r="45" spans="1:16" hidden="1" x14ac:dyDescent="0.25">
      <c r="A45" s="14" t="str">
        <f t="shared" si="6"/>
        <v>10</v>
      </c>
      <c r="B45" t="s">
        <v>65</v>
      </c>
      <c r="C45" s="14" t="str">
        <f>VLOOKUP(B45,Table4[],2,FALSE)</f>
        <v xml:space="preserve"> Muu sotsiaalne kaitse, sh sotsiaalse kaitse haldus</v>
      </c>
      <c r="D45" s="14" t="str">
        <f>VLOOKUP(Table1[[#This Row],[Tegevusala]],Table4[[Tegevusala kood]:[Tegevusala alanimetus]],4,FALSE)</f>
        <v>Muu sotsiaalne kaitse, sh sotsiaalse kaitse haldus</v>
      </c>
      <c r="E45" s="14" t="str">
        <f>VLOOKUP(C45,Table4[[Tegevusala nimetus]:[Tegevusala koondnimetus]],2,FALSE)</f>
        <v>Sotsiaalne kaitse</v>
      </c>
      <c r="F45" s="14" t="s">
        <v>444</v>
      </c>
      <c r="G45" s="14" t="s">
        <v>727</v>
      </c>
      <c r="H45" s="14">
        <v>1</v>
      </c>
      <c r="I45" s="14"/>
      <c r="J45" s="14">
        <v>1560</v>
      </c>
      <c r="K45" s="14">
        <f t="shared" si="0"/>
        <v>1560</v>
      </c>
      <c r="L45" s="14">
        <v>12</v>
      </c>
      <c r="M45" s="14"/>
      <c r="N45" s="44">
        <f>(K45*Table1[[#This Row],[Ühik2]])+M45</f>
        <v>18720</v>
      </c>
      <c r="O45" s="44">
        <f>Table1[[#This Row],[2020. EA ]]*0.338</f>
        <v>6327.3600000000006</v>
      </c>
      <c r="P45" s="14"/>
    </row>
    <row r="46" spans="1:16" hidden="1" x14ac:dyDescent="0.25">
      <c r="A46" s="38" t="str">
        <f t="shared" si="6"/>
        <v>08</v>
      </c>
      <c r="B46" s="31" t="s">
        <v>624</v>
      </c>
      <c r="C46" s="38" t="str">
        <f>VLOOKUP(B46,Table4[],2,FALSE)</f>
        <v xml:space="preserve"> Lastelaagrid</v>
      </c>
      <c r="D46" s="38" t="str">
        <f>VLOOKUP(Table1[[#This Row],[Tegevusala]],Table4[[Tegevusala kood]:[Tegevusala alanimetus]],4,FALSE)</f>
        <v>Noorsootöö ja noortekeskused</v>
      </c>
      <c r="E46" s="38" t="str">
        <f>VLOOKUP(C46,Table4[[Tegevusala nimetus]:[Tegevusala koondnimetus]],2,FALSE)</f>
        <v>Vabaaeg, kultuur ja religioon</v>
      </c>
      <c r="F46" s="33" t="s">
        <v>752</v>
      </c>
      <c r="G46" s="38" t="s">
        <v>753</v>
      </c>
      <c r="H46" s="38">
        <v>1</v>
      </c>
      <c r="I46" s="38"/>
      <c r="J46" s="38">
        <v>10687.59</v>
      </c>
      <c r="K46" s="38">
        <f t="shared" si="0"/>
        <v>10687.59</v>
      </c>
      <c r="L46" s="38">
        <v>1</v>
      </c>
      <c r="M46" s="38"/>
      <c r="N46" s="45">
        <f>(K46*Table1[[#This Row],[Ühik2]])+M46</f>
        <v>10687.59</v>
      </c>
      <c r="O46" s="45">
        <f>Table1[[#This Row],[2020. EA ]]*0.338</f>
        <v>3612.4054200000005</v>
      </c>
      <c r="P46" s="38"/>
    </row>
    <row r="47" spans="1:16" hidden="1" x14ac:dyDescent="0.25">
      <c r="A47" s="14" t="str">
        <f t="shared" si="6"/>
        <v>08</v>
      </c>
      <c r="B47" t="s">
        <v>276</v>
      </c>
      <c r="C47" s="14" t="str">
        <f>VLOOKUP(B47,Table4[],2,FALSE)</f>
        <v xml:space="preserve"> Noorsootöö haldus</v>
      </c>
      <c r="D47" s="14" t="str">
        <f>VLOOKUP(Table1[[#This Row],[Tegevusala]],Table4[[Tegevusala kood]:[Tegevusala alanimetus]],4,FALSE)</f>
        <v>Noorsootöö ja noortekeskused</v>
      </c>
      <c r="E47" s="14" t="str">
        <f>VLOOKUP(C47,Table4[[Tegevusala nimetus]:[Tegevusala koondnimetus]],2,FALSE)</f>
        <v>Vabaaeg, kultuur ja religioon</v>
      </c>
      <c r="F47" s="14" t="s">
        <v>752</v>
      </c>
      <c r="G47" s="14" t="s">
        <v>752</v>
      </c>
      <c r="H47" s="14">
        <v>1</v>
      </c>
      <c r="I47" s="14"/>
      <c r="J47" s="14">
        <v>1560</v>
      </c>
      <c r="K47" s="14">
        <f t="shared" si="0"/>
        <v>1560</v>
      </c>
      <c r="L47" s="14">
        <v>12</v>
      </c>
      <c r="M47" s="14"/>
      <c r="N47" s="44">
        <f>(K47*Table1[[#This Row],[Ühik2]])+M47</f>
        <v>18720</v>
      </c>
      <c r="O47" s="44">
        <f>Table1[[#This Row],[2020. EA ]]*0.338</f>
        <v>6327.3600000000006</v>
      </c>
      <c r="P47" s="14"/>
    </row>
    <row r="48" spans="1:16" hidden="1" x14ac:dyDescent="0.25">
      <c r="A48" s="14" t="str">
        <f t="shared" si="6"/>
        <v>01</v>
      </c>
      <c r="B48" t="s">
        <v>19</v>
      </c>
      <c r="C48" s="14" t="str">
        <f>VLOOKUP(B48,Table4[],2,FALSE)</f>
        <v xml:space="preserve"> Muud üldised valitsussektori teenused</v>
      </c>
      <c r="D48" s="14" t="str">
        <f>VLOOKUP(Table1[[#This Row],[Tegevusala]],Table4[[Tegevusala kood]:[Tegevusala alanimetus]],4,FALSE)</f>
        <v>Muud üldised valitsussektori teenused</v>
      </c>
      <c r="E48" s="14" t="str">
        <f>VLOOKUP(C48,Table4[[Tegevusala nimetus]:[Tegevusala koondnimetus]],2,FALSE)</f>
        <v>Üldised valitsussektori teenused</v>
      </c>
      <c r="F48" s="14" t="s">
        <v>778</v>
      </c>
      <c r="G48" s="14" t="s">
        <v>777</v>
      </c>
      <c r="H48" s="14">
        <v>1</v>
      </c>
      <c r="I48" s="14" t="s">
        <v>2005</v>
      </c>
      <c r="J48" s="14">
        <v>255</v>
      </c>
      <c r="K48" s="14">
        <f t="shared" si="0"/>
        <v>255</v>
      </c>
      <c r="L48" s="14">
        <v>1</v>
      </c>
      <c r="M48" s="14"/>
      <c r="N48" s="44">
        <f>(K48*Table1[[#This Row],[Ühik2]])+M48</f>
        <v>255</v>
      </c>
      <c r="O48" s="44">
        <f>Table1[[#This Row],[2020. EA ]]*0.338</f>
        <v>86.190000000000012</v>
      </c>
      <c r="P48" s="14"/>
    </row>
    <row r="49" spans="1:16" x14ac:dyDescent="0.25">
      <c r="A49" s="14" t="str">
        <f t="shared" si="6"/>
        <v>09</v>
      </c>
      <c r="B49" t="s">
        <v>53</v>
      </c>
      <c r="C49" s="14" t="str">
        <f>VLOOKUP(B49,Table4[],2,FALSE)</f>
        <v xml:space="preserve"> Koolitransport</v>
      </c>
      <c r="D49" s="14" t="str">
        <f>VLOOKUP(Table1[[#This Row],[Tegevusala]],Table4[[Tegevusala kood]:[Tegevusala alanimetus]],4,FALSE)</f>
        <v>Koolitransport</v>
      </c>
      <c r="E49" s="14" t="str">
        <f>VLOOKUP(C49,Table4[[Tegevusala nimetus]:[Tegevusala koondnimetus]],2,FALSE)</f>
        <v>Haridus</v>
      </c>
      <c r="F49" t="s">
        <v>786</v>
      </c>
      <c r="G49" s="14" t="s">
        <v>789</v>
      </c>
      <c r="H49" s="14">
        <v>1</v>
      </c>
      <c r="I49" s="14"/>
      <c r="J49" s="14">
        <v>1050</v>
      </c>
      <c r="K49" s="14">
        <f t="shared" si="0"/>
        <v>1050</v>
      </c>
      <c r="L49" s="14">
        <v>12</v>
      </c>
      <c r="M49" s="14"/>
      <c r="N49" s="44">
        <f>(K49*Table1[[#This Row],[Ühik2]])+M49</f>
        <v>12600</v>
      </c>
      <c r="O49" s="44">
        <f>Table1[[#This Row],[2020. EA ]]*0.338</f>
        <v>4258.8</v>
      </c>
      <c r="P49" s="14"/>
    </row>
    <row r="50" spans="1:16" hidden="1" x14ac:dyDescent="0.25">
      <c r="A50" s="14" t="str">
        <f t="shared" ref="A50:A55" si="7">LEFT(B50,2)</f>
        <v>01</v>
      </c>
      <c r="B50" t="s">
        <v>15</v>
      </c>
      <c r="C50" s="14" t="str">
        <f>VLOOKUP(B50,Table4[],2,FALSE)</f>
        <v xml:space="preserve"> Valla- ja linnavalitsus</v>
      </c>
      <c r="D50" s="14" t="str">
        <f>VLOOKUP(Table1[[#This Row],[Tegevusala]],Table4[[Tegevusala kood]:[Tegevusala alanimetus]],4,FALSE)</f>
        <v>Valla- ja linnavalitsus</v>
      </c>
      <c r="E50" s="14" t="str">
        <f>VLOOKUP(C50,Table4[[Tegevusala nimetus]:[Tegevusala koondnimetus]],2,FALSE)</f>
        <v>Üldised valitsussektori teenused</v>
      </c>
      <c r="F50" s="14" t="s">
        <v>799</v>
      </c>
      <c r="G50" s="14" t="s">
        <v>799</v>
      </c>
      <c r="H50" s="14">
        <v>1</v>
      </c>
      <c r="I50" s="14"/>
      <c r="J50" s="14">
        <v>2800</v>
      </c>
      <c r="K50" s="14">
        <f t="shared" si="0"/>
        <v>2800</v>
      </c>
      <c r="L50" s="14">
        <v>12</v>
      </c>
      <c r="M50" s="14"/>
      <c r="N50" s="44">
        <f>(K50*Table1[[#This Row],[Ühik2]])+M50</f>
        <v>33600</v>
      </c>
      <c r="O50" s="44">
        <f>Table1[[#This Row],[2020. EA ]]*0.338</f>
        <v>11356.800000000001</v>
      </c>
      <c r="P50" s="14"/>
    </row>
    <row r="51" spans="1:16" hidden="1" x14ac:dyDescent="0.25">
      <c r="A51" s="14" t="str">
        <f t="shared" si="7"/>
        <v>01</v>
      </c>
      <c r="B51" t="s">
        <v>15</v>
      </c>
      <c r="C51" s="14" t="str">
        <f>VLOOKUP(B51,Table4[],2,FALSE)</f>
        <v xml:space="preserve"> Valla- ja linnavalitsus</v>
      </c>
      <c r="D51" s="14" t="str">
        <f>VLOOKUP(Table1[[#This Row],[Tegevusala]],Table4[[Tegevusala kood]:[Tegevusala alanimetus]],4,FALSE)</f>
        <v>Valla- ja linnavalitsus</v>
      </c>
      <c r="E51" s="14" t="str">
        <f>VLOOKUP(C51,Table4[[Tegevusala nimetus]:[Tegevusala koondnimetus]],2,FALSE)</f>
        <v>Üldised valitsussektori teenused</v>
      </c>
      <c r="F51" s="14" t="s">
        <v>799</v>
      </c>
      <c r="G51" s="14" t="s">
        <v>800</v>
      </c>
      <c r="H51" s="14">
        <v>1</v>
      </c>
      <c r="I51" s="14"/>
      <c r="J51" s="14">
        <v>2200</v>
      </c>
      <c r="K51" s="14">
        <f t="shared" si="0"/>
        <v>2200</v>
      </c>
      <c r="L51" s="14">
        <v>12</v>
      </c>
      <c r="M51" s="14"/>
      <c r="N51" s="44">
        <f>(K51*Table1[[#This Row],[Ühik2]])+M51</f>
        <v>26400</v>
      </c>
      <c r="O51" s="44">
        <f>Table1[[#This Row],[2020. EA ]]*0.338</f>
        <v>8923.2000000000007</v>
      </c>
      <c r="P51" s="14"/>
    </row>
    <row r="52" spans="1:16" hidden="1" x14ac:dyDescent="0.25">
      <c r="A52" s="14" t="str">
        <f t="shared" si="7"/>
        <v>01</v>
      </c>
      <c r="B52" t="s">
        <v>15</v>
      </c>
      <c r="C52" s="14" t="str">
        <f>VLOOKUP(B52,Table4[],2,FALSE)</f>
        <v xml:space="preserve"> Valla- ja linnavalitsus</v>
      </c>
      <c r="D52" s="14" t="str">
        <f>VLOOKUP(Table1[[#This Row],[Tegevusala]],Table4[[Tegevusala kood]:[Tegevusala alanimetus]],4,FALSE)</f>
        <v>Valla- ja linnavalitsus</v>
      </c>
      <c r="E52" s="14" t="str">
        <f>VLOOKUP(C52,Table4[[Tegevusala nimetus]:[Tegevusala koondnimetus]],2,FALSE)</f>
        <v>Üldised valitsussektori teenused</v>
      </c>
      <c r="F52" s="14" t="s">
        <v>799</v>
      </c>
      <c r="G52" s="14" t="s">
        <v>801</v>
      </c>
      <c r="H52" s="14">
        <v>1</v>
      </c>
      <c r="I52" s="14"/>
      <c r="J52" s="14">
        <v>2000</v>
      </c>
      <c r="K52" s="14">
        <f t="shared" si="0"/>
        <v>2000</v>
      </c>
      <c r="L52" s="14">
        <v>12</v>
      </c>
      <c r="M52" s="14"/>
      <c r="N52" s="44">
        <f>(K52*Table1[[#This Row],[Ühik2]])+M52</f>
        <v>24000</v>
      </c>
      <c r="O52" s="44">
        <f>Table1[[#This Row],[2020. EA ]]*0.338</f>
        <v>8112.0000000000009</v>
      </c>
      <c r="P52" s="14"/>
    </row>
    <row r="53" spans="1:16" hidden="1" x14ac:dyDescent="0.25">
      <c r="A53" s="14" t="str">
        <f t="shared" si="7"/>
        <v>01</v>
      </c>
      <c r="B53" t="s">
        <v>15</v>
      </c>
      <c r="C53" s="14" t="str">
        <f>VLOOKUP(B53,Table4[],2,FALSE)</f>
        <v xml:space="preserve"> Valla- ja linnavalitsus</v>
      </c>
      <c r="D53" s="14" t="str">
        <f>VLOOKUP(Table1[[#This Row],[Tegevusala]],Table4[[Tegevusala kood]:[Tegevusala alanimetus]],4,FALSE)</f>
        <v>Valla- ja linnavalitsus</v>
      </c>
      <c r="E53" s="14" t="str">
        <f>VLOOKUP(C53,Table4[[Tegevusala nimetus]:[Tegevusala koondnimetus]],2,FALSE)</f>
        <v>Üldised valitsussektori teenused</v>
      </c>
      <c r="F53" s="14" t="s">
        <v>799</v>
      </c>
      <c r="G53" s="14" t="s">
        <v>802</v>
      </c>
      <c r="H53" s="14">
        <v>1</v>
      </c>
      <c r="I53" s="14"/>
      <c r="J53" s="14">
        <v>1250</v>
      </c>
      <c r="K53" s="14">
        <f t="shared" si="0"/>
        <v>1250</v>
      </c>
      <c r="L53" s="14">
        <v>12</v>
      </c>
      <c r="M53" s="14"/>
      <c r="N53" s="44">
        <f>(K53*Table1[[#This Row],[Ühik2]])+M53</f>
        <v>15000</v>
      </c>
      <c r="O53" s="44">
        <f>Table1[[#This Row],[2020. EA ]]*0.338</f>
        <v>5070</v>
      </c>
      <c r="P53" s="14"/>
    </row>
    <row r="54" spans="1:16" hidden="1" x14ac:dyDescent="0.25">
      <c r="A54" s="14" t="str">
        <f t="shared" si="7"/>
        <v>01</v>
      </c>
      <c r="B54" t="s">
        <v>15</v>
      </c>
      <c r="C54" s="14" t="str">
        <f>VLOOKUP(B54,Table4[],2,FALSE)</f>
        <v xml:space="preserve"> Valla- ja linnavalitsus</v>
      </c>
      <c r="D54" s="14" t="str">
        <f>VLOOKUP(Table1[[#This Row],[Tegevusala]],Table4[[Tegevusala kood]:[Tegevusala alanimetus]],4,FALSE)</f>
        <v>Valla- ja linnavalitsus</v>
      </c>
      <c r="E54" s="14" t="str">
        <f>VLOOKUP(C54,Table4[[Tegevusala nimetus]:[Tegevusala koondnimetus]],2,FALSE)</f>
        <v>Üldised valitsussektori teenused</v>
      </c>
      <c r="F54" s="14" t="s">
        <v>799</v>
      </c>
      <c r="G54" s="14" t="s">
        <v>803</v>
      </c>
      <c r="H54" s="14">
        <v>1</v>
      </c>
      <c r="I54" s="14"/>
      <c r="J54" s="14">
        <v>1750</v>
      </c>
      <c r="K54" s="14">
        <f t="shared" si="0"/>
        <v>1750</v>
      </c>
      <c r="L54" s="14">
        <v>12</v>
      </c>
      <c r="M54" s="14"/>
      <c r="N54" s="44">
        <f>(K54*Table1[[#This Row],[Ühik2]])+M54</f>
        <v>21000</v>
      </c>
      <c r="O54" s="44">
        <f>Table1[[#This Row],[2020. EA ]]*0.338</f>
        <v>7098.0000000000009</v>
      </c>
      <c r="P54" s="14"/>
    </row>
    <row r="55" spans="1:16" hidden="1" x14ac:dyDescent="0.25">
      <c r="A55" s="14" t="str">
        <f t="shared" si="7"/>
        <v>01</v>
      </c>
      <c r="B55" t="s">
        <v>15</v>
      </c>
      <c r="C55" s="14" t="str">
        <f>VLOOKUP(B55,Table4[],2,FALSE)</f>
        <v xml:space="preserve"> Valla- ja linnavalitsus</v>
      </c>
      <c r="D55" s="14" t="str">
        <f>VLOOKUP(Table1[[#This Row],[Tegevusala]],Table4[[Tegevusala kood]:[Tegevusala alanimetus]],4,FALSE)</f>
        <v>Valla- ja linnavalitsus</v>
      </c>
      <c r="E55" s="14" t="str">
        <f>VLOOKUP(C55,Table4[[Tegevusala nimetus]:[Tegevusala koondnimetus]],2,FALSE)</f>
        <v>Üldised valitsussektori teenused</v>
      </c>
      <c r="F55" s="14" t="s">
        <v>799</v>
      </c>
      <c r="G55" s="14" t="s">
        <v>804</v>
      </c>
      <c r="H55" s="14">
        <v>2</v>
      </c>
      <c r="I55" s="14"/>
      <c r="J55" s="14">
        <v>1250</v>
      </c>
      <c r="K55" s="14">
        <f t="shared" si="0"/>
        <v>2500</v>
      </c>
      <c r="L55" s="14">
        <v>12</v>
      </c>
      <c r="M55" s="14"/>
      <c r="N55" s="44">
        <f>(K55*Table1[[#This Row],[Ühik2]])+M55</f>
        <v>30000</v>
      </c>
      <c r="O55" s="44">
        <f>Table1[[#This Row],[2020. EA ]]*0.338</f>
        <v>10140</v>
      </c>
      <c r="P55" s="14"/>
    </row>
    <row r="56" spans="1:16" hidden="1" x14ac:dyDescent="0.25">
      <c r="A56" s="14" t="str">
        <f t="shared" ref="A56:A95" si="8">LEFT(B56,2)</f>
        <v>01</v>
      </c>
      <c r="B56" t="s">
        <v>13</v>
      </c>
      <c r="C56" s="14" t="str">
        <f>VLOOKUP(B56,Table4[],2,FALSE)</f>
        <v xml:space="preserve"> Valla- ja linnavolikogu</v>
      </c>
      <c r="D56" s="14" t="str">
        <f>VLOOKUP(Table1[[#This Row],[Tegevusala]],Table4[[Tegevusala kood]:[Tegevusala alanimetus]],4,FALSE)</f>
        <v>Valla- ja linnavolikogu</v>
      </c>
      <c r="E56" s="14" t="str">
        <f>VLOOKUP(C56,Table4[[Tegevusala nimetus]:[Tegevusala koondnimetus]],2,FALSE)</f>
        <v>Üldised valitsussektori teenused</v>
      </c>
      <c r="F56" s="14" t="s">
        <v>809</v>
      </c>
      <c r="G56" s="14" t="s">
        <v>809</v>
      </c>
      <c r="H56" s="14">
        <v>1</v>
      </c>
      <c r="I56" s="14"/>
      <c r="J56" s="14">
        <v>1000</v>
      </c>
      <c r="K56" s="14">
        <f t="shared" si="0"/>
        <v>1000</v>
      </c>
      <c r="L56" s="14">
        <v>12</v>
      </c>
      <c r="M56" s="14"/>
      <c r="N56" s="44">
        <f>(K56*Table1[[#This Row],[Ühik2]])+M56</f>
        <v>12000</v>
      </c>
      <c r="O56" s="44">
        <f>Table1[[#This Row],[2020. EA ]]*0.338</f>
        <v>4056.0000000000005</v>
      </c>
      <c r="P56" s="14"/>
    </row>
    <row r="57" spans="1:16" hidden="1" x14ac:dyDescent="0.25">
      <c r="A57" s="14" t="str">
        <f t="shared" si="8"/>
        <v>01</v>
      </c>
      <c r="B57" t="s">
        <v>13</v>
      </c>
      <c r="C57" s="14" t="str">
        <f>VLOOKUP(B57,Table4[],2,FALSE)</f>
        <v xml:space="preserve"> Valla- ja linnavolikogu</v>
      </c>
      <c r="D57" s="14" t="str">
        <f>VLOOKUP(Table1[[#This Row],[Tegevusala]],Table4[[Tegevusala kood]:[Tegevusala alanimetus]],4,FALSE)</f>
        <v>Valla- ja linnavolikogu</v>
      </c>
      <c r="E57" s="14" t="str">
        <f>VLOOKUP(C57,Table4[[Tegevusala nimetus]:[Tegevusala koondnimetus]],2,FALSE)</f>
        <v>Üldised valitsussektori teenused</v>
      </c>
      <c r="F57" s="14" t="s">
        <v>809</v>
      </c>
      <c r="G57" s="14" t="s">
        <v>810</v>
      </c>
      <c r="H57" s="14">
        <v>4</v>
      </c>
      <c r="I57" s="14" t="s">
        <v>2005</v>
      </c>
      <c r="J57" s="14">
        <v>90</v>
      </c>
      <c r="K57" s="14">
        <f t="shared" si="0"/>
        <v>360</v>
      </c>
      <c r="L57" s="14">
        <v>11</v>
      </c>
      <c r="M57" s="14"/>
      <c r="N57" s="44">
        <f>(K57*Table1[[#This Row],[Ühik2]])+M57</f>
        <v>3960</v>
      </c>
      <c r="O57" s="44">
        <f>Table1[[#This Row],[2020. EA ]]*0.338</f>
        <v>1338.48</v>
      </c>
      <c r="P57" s="14"/>
    </row>
    <row r="58" spans="1:16" hidden="1" x14ac:dyDescent="0.25">
      <c r="A58" s="14" t="str">
        <f t="shared" si="8"/>
        <v>01</v>
      </c>
      <c r="B58" t="s">
        <v>13</v>
      </c>
      <c r="C58" s="14" t="str">
        <f>VLOOKUP(B58,Table4[],2,FALSE)</f>
        <v xml:space="preserve"> Valla- ja linnavolikogu</v>
      </c>
      <c r="D58" s="14" t="str">
        <f>VLOOKUP(Table1[[#This Row],[Tegevusala]],Table4[[Tegevusala kood]:[Tegevusala alanimetus]],4,FALSE)</f>
        <v>Valla- ja linnavolikogu</v>
      </c>
      <c r="E58" s="14" t="str">
        <f>VLOOKUP(C58,Table4[[Tegevusala nimetus]:[Tegevusala koondnimetus]],2,FALSE)</f>
        <v>Üldised valitsussektori teenused</v>
      </c>
      <c r="F58" s="14" t="s">
        <v>809</v>
      </c>
      <c r="G58" s="14" t="s">
        <v>818</v>
      </c>
      <c r="H58" s="14">
        <v>16</v>
      </c>
      <c r="I58" s="14" t="s">
        <v>2005</v>
      </c>
      <c r="J58" s="14">
        <v>40</v>
      </c>
      <c r="K58" s="14">
        <f t="shared" si="0"/>
        <v>640</v>
      </c>
      <c r="L58" s="14">
        <v>5</v>
      </c>
      <c r="M58" s="14"/>
      <c r="N58" s="44">
        <f>(K58*Table1[[#This Row],[Ühik2]])+M58</f>
        <v>3200</v>
      </c>
      <c r="O58" s="44">
        <f>Table1[[#This Row],[2020. EA ]]*0.338</f>
        <v>1081.6000000000001</v>
      </c>
      <c r="P58" s="14"/>
    </row>
    <row r="59" spans="1:16" hidden="1" x14ac:dyDescent="0.25">
      <c r="A59" s="14" t="str">
        <f t="shared" si="8"/>
        <v>01</v>
      </c>
      <c r="B59" t="s">
        <v>13</v>
      </c>
      <c r="C59" s="14" t="str">
        <f>VLOOKUP(B59,Table4[],2,FALSE)</f>
        <v xml:space="preserve"> Valla- ja linnavolikogu</v>
      </c>
      <c r="D59" s="14" t="str">
        <f>VLOOKUP(Table1[[#This Row],[Tegevusala]],Table4[[Tegevusala kood]:[Tegevusala alanimetus]],4,FALSE)</f>
        <v>Valla- ja linnavolikogu</v>
      </c>
      <c r="E59" s="14" t="str">
        <f>VLOOKUP(C59,Table4[[Tegevusala nimetus]:[Tegevusala koondnimetus]],2,FALSE)</f>
        <v>Üldised valitsussektori teenused</v>
      </c>
      <c r="F59" s="14" t="s">
        <v>809</v>
      </c>
      <c r="G59" s="14" t="s">
        <v>819</v>
      </c>
      <c r="H59" s="14">
        <v>39</v>
      </c>
      <c r="I59" s="14" t="s">
        <v>2005</v>
      </c>
      <c r="J59" s="14">
        <v>40</v>
      </c>
      <c r="K59" s="14">
        <f t="shared" si="0"/>
        <v>1560</v>
      </c>
      <c r="L59" s="14">
        <v>4.5</v>
      </c>
      <c r="M59" s="14"/>
      <c r="N59" s="44">
        <f>(K59*Table1[[#This Row],[Ühik2]])+M59</f>
        <v>7020</v>
      </c>
      <c r="O59" s="44">
        <f>Table1[[#This Row],[2020. EA ]]*0.338</f>
        <v>2372.7600000000002</v>
      </c>
      <c r="P59" s="14"/>
    </row>
    <row r="60" spans="1:16" hidden="1" x14ac:dyDescent="0.25">
      <c r="A60" s="14" t="str">
        <f t="shared" si="8"/>
        <v>01</v>
      </c>
      <c r="B60" t="s">
        <v>13</v>
      </c>
      <c r="C60" s="14" t="str">
        <f>VLOOKUP(B60,Table4[],2,FALSE)</f>
        <v xml:space="preserve"> Valla- ja linnavolikogu</v>
      </c>
      <c r="D60" s="14" t="str">
        <f>VLOOKUP(Table1[[#This Row],[Tegevusala]],Table4[[Tegevusala kood]:[Tegevusala alanimetus]],4,FALSE)</f>
        <v>Valla- ja linnavolikogu</v>
      </c>
      <c r="E60" s="14" t="str">
        <f>VLOOKUP(C60,Table4[[Tegevusala nimetus]:[Tegevusala koondnimetus]],2,FALSE)</f>
        <v>Üldised valitsussektori teenused</v>
      </c>
      <c r="F60" s="14" t="s">
        <v>809</v>
      </c>
      <c r="G60" s="14" t="s">
        <v>811</v>
      </c>
      <c r="H60" s="14">
        <v>1</v>
      </c>
      <c r="I60" s="14"/>
      <c r="J60" s="14"/>
      <c r="K60" s="14">
        <f t="shared" si="0"/>
        <v>0</v>
      </c>
      <c r="L60" s="14"/>
      <c r="M60" s="14">
        <v>900</v>
      </c>
      <c r="N60" s="44">
        <f>(K60*Table1[[#This Row],[Ühik2]])+M60</f>
        <v>900</v>
      </c>
      <c r="O60" s="44">
        <f>Table1[[#This Row],[2020. EA ]]*0.338</f>
        <v>304.20000000000005</v>
      </c>
      <c r="P60" s="14"/>
    </row>
    <row r="61" spans="1:16" hidden="1" x14ac:dyDescent="0.25">
      <c r="A61" s="14" t="str">
        <f t="shared" si="8"/>
        <v>04</v>
      </c>
      <c r="B61" s="36" t="s">
        <v>34</v>
      </c>
      <c r="C61" s="14" t="str">
        <f>VLOOKUP(B61,Table4[],2,FALSE)</f>
        <v xml:space="preserve"> Muu majandus (sh majanduse haldus)</v>
      </c>
      <c r="D61" s="14" t="str">
        <f>VLOOKUP(Table1[[#This Row],[Tegevusala]],Table4[[Tegevusala kood]:[Tegevusala alanimetus]],4,FALSE)</f>
        <v>Muu majandus (sh majanduse haldus)</v>
      </c>
      <c r="E61" s="14" t="str">
        <f>VLOOKUP(C61,Table4[[Tegevusala nimetus]:[Tegevusala koondnimetus]],2,FALSE)</f>
        <v>Majandus</v>
      </c>
      <c r="F61" s="14" t="s">
        <v>799</v>
      </c>
      <c r="G61" s="14" t="s">
        <v>822</v>
      </c>
      <c r="H61" s="14">
        <v>1</v>
      </c>
      <c r="I61" s="14"/>
      <c r="J61" s="14">
        <v>1750</v>
      </c>
      <c r="K61" s="14">
        <f t="shared" si="0"/>
        <v>1750</v>
      </c>
      <c r="L61" s="14">
        <v>12</v>
      </c>
      <c r="M61" s="14"/>
      <c r="N61" s="44">
        <f>(K61*Table1[[#This Row],[Ühik2]])+M61</f>
        <v>21000</v>
      </c>
      <c r="O61" s="44">
        <f>Table1[[#This Row],[2020. EA ]]*0.338</f>
        <v>7098.0000000000009</v>
      </c>
      <c r="P61" s="14"/>
    </row>
    <row r="62" spans="1:16" hidden="1" x14ac:dyDescent="0.25">
      <c r="A62" s="14" t="str">
        <f t="shared" si="8"/>
        <v>04</v>
      </c>
      <c r="B62" s="36" t="s">
        <v>34</v>
      </c>
      <c r="C62" s="14" t="str">
        <f>VLOOKUP(B62,Table4[],2,FALSE)</f>
        <v xml:space="preserve"> Muu majandus (sh majanduse haldus)</v>
      </c>
      <c r="D62" s="14" t="str">
        <f>VLOOKUP(Table1[[#This Row],[Tegevusala]],Table4[[Tegevusala kood]:[Tegevusala alanimetus]],4,FALSE)</f>
        <v>Muu majandus (sh majanduse haldus)</v>
      </c>
      <c r="E62" s="14" t="str">
        <f>VLOOKUP(C62,Table4[[Tegevusala nimetus]:[Tegevusala koondnimetus]],2,FALSE)</f>
        <v>Majandus</v>
      </c>
      <c r="F62" s="14" t="s">
        <v>799</v>
      </c>
      <c r="G62" s="14" t="s">
        <v>823</v>
      </c>
      <c r="H62" s="14">
        <v>1</v>
      </c>
      <c r="I62" s="14"/>
      <c r="J62" s="14">
        <v>1560</v>
      </c>
      <c r="K62" s="14">
        <f t="shared" si="0"/>
        <v>1560</v>
      </c>
      <c r="L62" s="14">
        <v>12</v>
      </c>
      <c r="M62" s="14"/>
      <c r="N62" s="44">
        <f>(K62*Table1[[#This Row],[Ühik2]])+M62</f>
        <v>18720</v>
      </c>
      <c r="O62" s="44">
        <f>Table1[[#This Row],[2020. EA ]]*0.338</f>
        <v>6327.3600000000006</v>
      </c>
      <c r="P62" s="14"/>
    </row>
    <row r="63" spans="1:16" hidden="1" x14ac:dyDescent="0.25">
      <c r="A63" s="14" t="str">
        <f t="shared" si="8"/>
        <v>04</v>
      </c>
      <c r="B63" s="36" t="s">
        <v>34</v>
      </c>
      <c r="C63" s="14" t="str">
        <f>VLOOKUP(B63,Table4[],2,FALSE)</f>
        <v xml:space="preserve"> Muu majandus (sh majanduse haldus)</v>
      </c>
      <c r="D63" s="14" t="str">
        <f>VLOOKUP(Table1[[#This Row],[Tegevusala]],Table4[[Tegevusala kood]:[Tegevusala alanimetus]],4,FALSE)</f>
        <v>Muu majandus (sh majanduse haldus)</v>
      </c>
      <c r="E63" s="14" t="str">
        <f>VLOOKUP(C63,Table4[[Tegevusala nimetus]:[Tegevusala koondnimetus]],2,FALSE)</f>
        <v>Majandus</v>
      </c>
      <c r="F63" s="14" t="s">
        <v>799</v>
      </c>
      <c r="G63" s="14" t="s">
        <v>630</v>
      </c>
      <c r="H63" s="14">
        <v>1</v>
      </c>
      <c r="I63" s="14"/>
      <c r="J63" s="14">
        <v>1560</v>
      </c>
      <c r="K63" s="14">
        <f t="shared" si="0"/>
        <v>1560</v>
      </c>
      <c r="L63" s="14">
        <v>12</v>
      </c>
      <c r="M63" s="14"/>
      <c r="N63" s="44">
        <f>(K63*Table1[[#This Row],[Ühik2]])+M63</f>
        <v>18720</v>
      </c>
      <c r="O63" s="44">
        <f>Table1[[#This Row],[2020. EA ]]*0.338</f>
        <v>6327.3600000000006</v>
      </c>
      <c r="P63" s="14"/>
    </row>
    <row r="64" spans="1:16" hidden="1" x14ac:dyDescent="0.25">
      <c r="A64" s="38" t="str">
        <f t="shared" si="8"/>
        <v>04</v>
      </c>
      <c r="B64" s="42" t="s">
        <v>34</v>
      </c>
      <c r="C64" s="38" t="str">
        <f>VLOOKUP(B64,Table4[],2,FALSE)</f>
        <v xml:space="preserve"> Muu majandus (sh majanduse haldus)</v>
      </c>
      <c r="D64" s="38" t="str">
        <f>VLOOKUP(Table1[[#This Row],[Tegevusala]],Table4[[Tegevusala kood]:[Tegevusala alanimetus]],4,FALSE)</f>
        <v>Muu majandus (sh majanduse haldus)</v>
      </c>
      <c r="E64" s="38" t="str">
        <f>VLOOKUP(C64,Table4[[Tegevusala nimetus]:[Tegevusala koondnimetus]],2,FALSE)</f>
        <v>Majandus</v>
      </c>
      <c r="F64" s="38" t="s">
        <v>799</v>
      </c>
      <c r="G64" s="38" t="s">
        <v>1023</v>
      </c>
      <c r="H64" s="38">
        <v>0.75</v>
      </c>
      <c r="I64" s="38"/>
      <c r="J64" s="38">
        <v>1650</v>
      </c>
      <c r="K64" s="38">
        <f t="shared" si="0"/>
        <v>1237.5</v>
      </c>
      <c r="L64" s="38">
        <v>12</v>
      </c>
      <c r="M64" s="38"/>
      <c r="N64" s="45">
        <f>(K64*Table1[[#This Row],[Ühik2]])+M64</f>
        <v>14850</v>
      </c>
      <c r="O64" s="45">
        <f>Table1[[#This Row],[2020. EA ]]*0.338</f>
        <v>5019.3</v>
      </c>
      <c r="P64" s="38"/>
    </row>
    <row r="65" spans="1:16" hidden="1" x14ac:dyDescent="0.25">
      <c r="A65" s="14" t="str">
        <f t="shared" si="8"/>
        <v>06</v>
      </c>
      <c r="B65" t="s">
        <v>254</v>
      </c>
      <c r="C65" s="14" t="str">
        <f>VLOOKUP(B65,Table4[],2,FALSE)</f>
        <v>Laekvere teeninduspiirkond</v>
      </c>
      <c r="D65" s="14" t="str">
        <f>VLOOKUP(Table1[[#This Row],[Tegevusala]],Table4[[Tegevusala kood]:[Tegevusala alanimetus]],4,FALSE)</f>
        <v>Muu elamu- ja kommunaalmajanduse tegevus</v>
      </c>
      <c r="E65" s="14" t="str">
        <f>VLOOKUP(C65,Table4[[Tegevusala nimetus]:[Tegevusala koondnimetus]],2,FALSE)</f>
        <v>Elamu- ja kommunaalmajandus</v>
      </c>
      <c r="F65" s="14" t="s">
        <v>831</v>
      </c>
      <c r="G65" s="14" t="s">
        <v>826</v>
      </c>
      <c r="H65" s="14">
        <v>1</v>
      </c>
      <c r="I65" s="14"/>
      <c r="J65" s="14">
        <v>1560</v>
      </c>
      <c r="K65" s="14">
        <f t="shared" ref="K65:K126" si="9">H65*J65</f>
        <v>1560</v>
      </c>
      <c r="L65" s="14">
        <v>12</v>
      </c>
      <c r="M65" s="14"/>
      <c r="N65" s="44">
        <f>(K65*Table1[[#This Row],[Ühik2]])+M65</f>
        <v>18720</v>
      </c>
      <c r="O65" s="44">
        <f>Table1[[#This Row],[2020. EA ]]*0.338</f>
        <v>6327.3600000000006</v>
      </c>
      <c r="P65" s="14"/>
    </row>
    <row r="66" spans="1:16" hidden="1" x14ac:dyDescent="0.25">
      <c r="A66" s="14" t="str">
        <f t="shared" si="8"/>
        <v>06</v>
      </c>
      <c r="B66" t="s">
        <v>254</v>
      </c>
      <c r="C66" s="14" t="str">
        <f>VLOOKUP(B66,Table4[],2,FALSE)</f>
        <v>Laekvere teeninduspiirkond</v>
      </c>
      <c r="D66" s="14" t="str">
        <f>VLOOKUP(Table1[[#This Row],[Tegevusala]],Table4[[Tegevusala kood]:[Tegevusala alanimetus]],4,FALSE)</f>
        <v>Muu elamu- ja kommunaalmajanduse tegevus</v>
      </c>
      <c r="E66" s="14" t="str">
        <f>VLOOKUP(C66,Table4[[Tegevusala nimetus]:[Tegevusala koondnimetus]],2,FALSE)</f>
        <v>Elamu- ja kommunaalmajandus</v>
      </c>
      <c r="F66" s="14" t="s">
        <v>831</v>
      </c>
      <c r="G66" s="14" t="s">
        <v>827</v>
      </c>
      <c r="H66" s="14">
        <v>1</v>
      </c>
      <c r="I66" s="14"/>
      <c r="J66" s="14">
        <v>900</v>
      </c>
      <c r="K66" s="14">
        <f t="shared" si="9"/>
        <v>900</v>
      </c>
      <c r="L66" s="14">
        <v>12</v>
      </c>
      <c r="M66" s="14"/>
      <c r="N66" s="44">
        <f>(K66*Table1[[#This Row],[Ühik2]])+M66</f>
        <v>10800</v>
      </c>
      <c r="O66" s="44">
        <f>Table1[[#This Row],[2020. EA ]]*0.338</f>
        <v>3650.4</v>
      </c>
      <c r="P66" s="14"/>
    </row>
    <row r="67" spans="1:16" hidden="1" x14ac:dyDescent="0.25">
      <c r="A67" s="14" t="str">
        <f t="shared" si="8"/>
        <v>06</v>
      </c>
      <c r="B67" t="s">
        <v>254</v>
      </c>
      <c r="C67" s="14" t="str">
        <f>VLOOKUP(B67,Table4[],2,FALSE)</f>
        <v>Laekvere teeninduspiirkond</v>
      </c>
      <c r="D67" s="14" t="str">
        <f>VLOOKUP(Table1[[#This Row],[Tegevusala]],Table4[[Tegevusala kood]:[Tegevusala alanimetus]],4,FALSE)</f>
        <v>Muu elamu- ja kommunaalmajanduse tegevus</v>
      </c>
      <c r="E67" s="14" t="str">
        <f>VLOOKUP(C67,Table4[[Tegevusala nimetus]:[Tegevusala koondnimetus]],2,FALSE)</f>
        <v>Elamu- ja kommunaalmajandus</v>
      </c>
      <c r="F67" s="14" t="s">
        <v>831</v>
      </c>
      <c r="G67" s="14" t="s">
        <v>828</v>
      </c>
      <c r="H67" s="14">
        <v>1</v>
      </c>
      <c r="I67" s="14"/>
      <c r="J67" s="14">
        <v>900</v>
      </c>
      <c r="K67" s="14">
        <f t="shared" si="9"/>
        <v>900</v>
      </c>
      <c r="L67" s="14">
        <v>12</v>
      </c>
      <c r="M67" s="14"/>
      <c r="N67" s="44">
        <f>(K67*Table1[[#This Row],[Ühik2]])+M67</f>
        <v>10800</v>
      </c>
      <c r="O67" s="44">
        <f>Table1[[#This Row],[2020. EA ]]*0.338</f>
        <v>3650.4</v>
      </c>
      <c r="P67" s="14"/>
    </row>
    <row r="68" spans="1:16" hidden="1" x14ac:dyDescent="0.25">
      <c r="A68" s="90" t="str">
        <f t="shared" si="8"/>
        <v>06</v>
      </c>
      <c r="B68" s="91" t="s">
        <v>254</v>
      </c>
      <c r="C68" s="90" t="str">
        <f>VLOOKUP(B68,Table4[],2,FALSE)</f>
        <v>Laekvere teeninduspiirkond</v>
      </c>
      <c r="D68" s="90" t="str">
        <f>VLOOKUP(Table1[[#This Row],[Tegevusala]],Table4[[Tegevusala kood]:[Tegevusala alanimetus]],4,FALSE)</f>
        <v>Muu elamu- ja kommunaalmajanduse tegevus</v>
      </c>
      <c r="E68" s="90" t="str">
        <f>VLOOKUP(C68,Table4[[Tegevusala nimetus]:[Tegevusala koondnimetus]],2,FALSE)</f>
        <v>Elamu- ja kommunaalmajandus</v>
      </c>
      <c r="F68" s="90" t="s">
        <v>831</v>
      </c>
      <c r="G68" s="90" t="s">
        <v>506</v>
      </c>
      <c r="H68" s="90">
        <v>1</v>
      </c>
      <c r="I68" s="90"/>
      <c r="J68" s="90">
        <v>584</v>
      </c>
      <c r="K68" s="90">
        <f t="shared" si="9"/>
        <v>584</v>
      </c>
      <c r="L68" s="90">
        <v>12</v>
      </c>
      <c r="M68" s="90"/>
      <c r="N68" s="92">
        <f>(K68*Table1[[#This Row],[Ühik2]])+M68</f>
        <v>7008</v>
      </c>
      <c r="O68" s="92">
        <f>Table1[[#This Row],[2020. EA ]]*0.338</f>
        <v>2368.7040000000002</v>
      </c>
      <c r="P68" s="90"/>
    </row>
    <row r="69" spans="1:16" hidden="1" x14ac:dyDescent="0.25">
      <c r="A69" s="90" t="str">
        <f t="shared" si="8"/>
        <v>06</v>
      </c>
      <c r="B69" s="91" t="s">
        <v>254</v>
      </c>
      <c r="C69" s="90" t="str">
        <f>VLOOKUP(B69,Table4[],2,FALSE)</f>
        <v>Laekvere teeninduspiirkond</v>
      </c>
      <c r="D69" s="90" t="str">
        <f>VLOOKUP(Table1[[#This Row],[Tegevusala]],Table4[[Tegevusala kood]:[Tegevusala alanimetus]],4,FALSE)</f>
        <v>Muu elamu- ja kommunaalmajanduse tegevus</v>
      </c>
      <c r="E69" s="90" t="str">
        <f>VLOOKUP(C69,Table4[[Tegevusala nimetus]:[Tegevusala koondnimetus]],2,FALSE)</f>
        <v>Elamu- ja kommunaalmajandus</v>
      </c>
      <c r="F69" s="90" t="s">
        <v>831</v>
      </c>
      <c r="G69" s="90" t="s">
        <v>829</v>
      </c>
      <c r="H69" s="90">
        <v>1</v>
      </c>
      <c r="I69" s="90"/>
      <c r="J69" s="90">
        <v>584</v>
      </c>
      <c r="K69" s="90">
        <f t="shared" si="9"/>
        <v>584</v>
      </c>
      <c r="L69" s="90">
        <v>12</v>
      </c>
      <c r="M69" s="90"/>
      <c r="N69" s="92">
        <f>(K69*Table1[[#This Row],[Ühik2]])+M69</f>
        <v>7008</v>
      </c>
      <c r="O69" s="92">
        <f>Table1[[#This Row],[2020. EA ]]*0.338</f>
        <v>2368.7040000000002</v>
      </c>
      <c r="P69" s="90"/>
    </row>
    <row r="70" spans="1:16" hidden="1" x14ac:dyDescent="0.25">
      <c r="A70" s="14" t="str">
        <f t="shared" si="8"/>
        <v>06</v>
      </c>
      <c r="B70" t="s">
        <v>254</v>
      </c>
      <c r="C70" s="14" t="str">
        <f>VLOOKUP(B70,Table4[],2,FALSE)</f>
        <v>Laekvere teeninduspiirkond</v>
      </c>
      <c r="D70" s="14" t="str">
        <f>VLOOKUP(Table1[[#This Row],[Tegevusala]],Table4[[Tegevusala kood]:[Tegevusala alanimetus]],4,FALSE)</f>
        <v>Muu elamu- ja kommunaalmajanduse tegevus</v>
      </c>
      <c r="E70" s="14" t="str">
        <f>VLOOKUP(C70,Table4[[Tegevusala nimetus]:[Tegevusala koondnimetus]],2,FALSE)</f>
        <v>Elamu- ja kommunaalmajandus</v>
      </c>
      <c r="F70" s="14" t="s">
        <v>831</v>
      </c>
      <c r="G70" s="14" t="s">
        <v>830</v>
      </c>
      <c r="H70" s="14">
        <v>1</v>
      </c>
      <c r="I70" s="14"/>
      <c r="J70" s="14"/>
      <c r="K70" s="14">
        <f t="shared" si="9"/>
        <v>0</v>
      </c>
      <c r="L70" s="14"/>
      <c r="M70" s="14">
        <v>2100</v>
      </c>
      <c r="N70" s="44">
        <f>(K70*Table1[[#This Row],[Ühik2]])+M70</f>
        <v>2100</v>
      </c>
      <c r="O70" s="44">
        <f>Table1[[#This Row],[2020. EA ]]*0.338</f>
        <v>709.80000000000007</v>
      </c>
      <c r="P70" s="14"/>
    </row>
    <row r="71" spans="1:16" hidden="1" x14ac:dyDescent="0.25">
      <c r="A71" s="14" t="str">
        <f t="shared" si="8"/>
        <v>06</v>
      </c>
      <c r="B71" t="s">
        <v>2211</v>
      </c>
      <c r="C71" s="14" t="str">
        <f>VLOOKUP(B71,Table4[],2,FALSE)</f>
        <v>Ulvi, Vinni-Pajusti teeninduspiirkond</v>
      </c>
      <c r="D71" s="14" t="str">
        <f>VLOOKUP(Table1[[#This Row],[Tegevusala]],Table4[[Tegevusala kood]:[Tegevusala alanimetus]],4,FALSE)</f>
        <v>Muu elamu- ja kommunaalmajanduse tegevus</v>
      </c>
      <c r="E71" s="14" t="str">
        <f>VLOOKUP(C71,Table4[[Tegevusala nimetus]:[Tegevusala koondnimetus]],2,FALSE)</f>
        <v>Elamu- ja kommunaalmajandus</v>
      </c>
      <c r="F71" s="14" t="s">
        <v>915</v>
      </c>
      <c r="G71" s="14" t="s">
        <v>826</v>
      </c>
      <c r="H71" s="14">
        <v>1</v>
      </c>
      <c r="I71" s="14"/>
      <c r="J71" s="14">
        <v>1560</v>
      </c>
      <c r="K71" s="14">
        <f t="shared" si="9"/>
        <v>1560</v>
      </c>
      <c r="L71" s="14">
        <v>12</v>
      </c>
      <c r="M71" s="14"/>
      <c r="N71" s="44">
        <f>(K71*Table1[[#This Row],[Ühik2]])+M71</f>
        <v>18720</v>
      </c>
      <c r="O71" s="44">
        <f>Table1[[#This Row],[2020. EA ]]*0.338</f>
        <v>6327.3600000000006</v>
      </c>
      <c r="P71" s="14"/>
    </row>
    <row r="72" spans="1:16" hidden="1" x14ac:dyDescent="0.25">
      <c r="A72" s="90" t="str">
        <f t="shared" si="8"/>
        <v>06</v>
      </c>
      <c r="B72" s="91" t="s">
        <v>2211</v>
      </c>
      <c r="C72" s="90" t="str">
        <f>VLOOKUP(B72,Table4[],2,FALSE)</f>
        <v>Ulvi, Vinni-Pajusti teeninduspiirkond</v>
      </c>
      <c r="D72" s="90" t="str">
        <f>VLOOKUP(Table1[[#This Row],[Tegevusala]],Table4[[Tegevusala kood]:[Tegevusala alanimetus]],4,FALSE)</f>
        <v>Muu elamu- ja kommunaalmajanduse tegevus</v>
      </c>
      <c r="E72" s="90" t="str">
        <f>VLOOKUP(C72,Table4[[Tegevusala nimetus]:[Tegevusala koondnimetus]],2,FALSE)</f>
        <v>Elamu- ja kommunaalmajandus</v>
      </c>
      <c r="F72" s="90" t="s">
        <v>915</v>
      </c>
      <c r="G72" s="90" t="s">
        <v>506</v>
      </c>
      <c r="H72" s="90">
        <v>0.5</v>
      </c>
      <c r="I72" s="90"/>
      <c r="J72" s="90">
        <v>584</v>
      </c>
      <c r="K72" s="90">
        <f t="shared" si="9"/>
        <v>292</v>
      </c>
      <c r="L72" s="90">
        <v>12</v>
      </c>
      <c r="M72" s="90"/>
      <c r="N72" s="92">
        <f>(K72*Table1[[#This Row],[Ühik2]])+M72</f>
        <v>3504</v>
      </c>
      <c r="O72" s="92">
        <f>Table1[[#This Row],[2020. EA ]]*0.338</f>
        <v>1184.3520000000001</v>
      </c>
      <c r="P72" s="90"/>
    </row>
    <row r="73" spans="1:16" hidden="1" x14ac:dyDescent="0.25">
      <c r="A73" s="14" t="str">
        <f t="shared" si="8"/>
        <v>06</v>
      </c>
      <c r="B73" t="s">
        <v>2211</v>
      </c>
      <c r="C73" s="14" t="str">
        <f>VLOOKUP(B73,Table4[],2,FALSE)</f>
        <v>Ulvi, Vinni-Pajusti teeninduspiirkond</v>
      </c>
      <c r="D73" s="14" t="str">
        <f>VLOOKUP(Table1[[#This Row],[Tegevusala]],Table4[[Tegevusala kood]:[Tegevusala alanimetus]],4,FALSE)</f>
        <v>Muu elamu- ja kommunaalmajanduse tegevus</v>
      </c>
      <c r="E73" s="14" t="str">
        <f>VLOOKUP(C73,Table4[[Tegevusala nimetus]:[Tegevusala koondnimetus]],2,FALSE)</f>
        <v>Elamu- ja kommunaalmajandus</v>
      </c>
      <c r="F73" s="14" t="s">
        <v>915</v>
      </c>
      <c r="G73" s="14" t="s">
        <v>916</v>
      </c>
      <c r="H73" s="14">
        <v>90</v>
      </c>
      <c r="I73" s="14" t="s">
        <v>2164</v>
      </c>
      <c r="J73" s="14">
        <v>5</v>
      </c>
      <c r="K73" s="14">
        <f t="shared" si="9"/>
        <v>450</v>
      </c>
      <c r="L73" s="14">
        <v>10</v>
      </c>
      <c r="M73" s="14"/>
      <c r="N73" s="44">
        <f>(K73*Table1[[#This Row],[Ühik2]])+M73</f>
        <v>4500</v>
      </c>
      <c r="O73" s="44">
        <f>Table1[[#This Row],[2020. EA ]]*0.338</f>
        <v>1521</v>
      </c>
      <c r="P73" s="14"/>
    </row>
    <row r="74" spans="1:16" hidden="1" x14ac:dyDescent="0.25">
      <c r="A74" s="14" t="str">
        <f t="shared" si="8"/>
        <v>06</v>
      </c>
      <c r="B74" t="s">
        <v>2210</v>
      </c>
      <c r="C74" s="14" t="str">
        <f>VLOOKUP(B74,Table4[],2,FALSE)</f>
        <v>Roela, Tudu, Viru-Jaagupi teeninduspiirkond</v>
      </c>
      <c r="D74" s="14" t="str">
        <f>VLOOKUP(Table1[[#This Row],[Tegevusala]],Table4[[Tegevusala kood]:[Tegevusala alanimetus]],4,FALSE)</f>
        <v>Muu elamu- ja kommunaalmajanduse tegevus</v>
      </c>
      <c r="E74" s="14" t="str">
        <f>VLOOKUP(C74,Table4[[Tegevusala nimetus]:[Tegevusala koondnimetus]],2,FALSE)</f>
        <v>Elamu- ja kommunaalmajandus</v>
      </c>
      <c r="F74" s="14" t="s">
        <v>942</v>
      </c>
      <c r="G74" s="14" t="s">
        <v>939</v>
      </c>
      <c r="H74" s="14">
        <v>15</v>
      </c>
      <c r="I74" s="14" t="s">
        <v>2164</v>
      </c>
      <c r="J74" s="14">
        <v>6</v>
      </c>
      <c r="K74" s="14">
        <f t="shared" si="9"/>
        <v>90</v>
      </c>
      <c r="L74" s="14">
        <v>12</v>
      </c>
      <c r="M74" s="14"/>
      <c r="N74" s="44">
        <f>(K74*Table1[[#This Row],[Ühik2]])+M74</f>
        <v>1080</v>
      </c>
      <c r="O74" s="44">
        <f>Table1[[#This Row],[2020. EA ]]*0.338</f>
        <v>365.04</v>
      </c>
      <c r="P74" s="14"/>
    </row>
    <row r="75" spans="1:16" hidden="1" x14ac:dyDescent="0.25">
      <c r="A75" s="14" t="str">
        <f t="shared" si="8"/>
        <v>06</v>
      </c>
      <c r="B75" t="s">
        <v>2210</v>
      </c>
      <c r="C75" s="14" t="str">
        <f>VLOOKUP(B75,Table4[],2,FALSE)</f>
        <v>Roela, Tudu, Viru-Jaagupi teeninduspiirkond</v>
      </c>
      <c r="D75" s="14" t="str">
        <f>VLOOKUP(Table1[[#This Row],[Tegevusala]],Table4[[Tegevusala kood]:[Tegevusala alanimetus]],4,FALSE)</f>
        <v>Muu elamu- ja kommunaalmajanduse tegevus</v>
      </c>
      <c r="E75" s="14" t="str">
        <f>VLOOKUP(C75,Table4[[Tegevusala nimetus]:[Tegevusala koondnimetus]],2,FALSE)</f>
        <v>Elamu- ja kommunaalmajandus</v>
      </c>
      <c r="F75" s="14" t="s">
        <v>942</v>
      </c>
      <c r="G75" s="14" t="s">
        <v>939</v>
      </c>
      <c r="H75" s="14">
        <v>80</v>
      </c>
      <c r="I75" s="14" t="s">
        <v>2164</v>
      </c>
      <c r="J75" s="14">
        <v>3.21</v>
      </c>
      <c r="K75" s="14">
        <f t="shared" si="9"/>
        <v>256.8</v>
      </c>
      <c r="L75" s="14">
        <v>12</v>
      </c>
      <c r="M75" s="14"/>
      <c r="N75" s="44">
        <f>(K75*Table1[[#This Row],[Ühik2]])+M75</f>
        <v>3081.6000000000004</v>
      </c>
      <c r="O75" s="44">
        <f>Table1[[#This Row],[2020. EA ]]*0.338</f>
        <v>1041.5808000000002</v>
      </c>
      <c r="P75" s="14"/>
    </row>
    <row r="76" spans="1:16" hidden="1" x14ac:dyDescent="0.25">
      <c r="A76" s="14" t="str">
        <f t="shared" si="8"/>
        <v>06</v>
      </c>
      <c r="B76" t="s">
        <v>2210</v>
      </c>
      <c r="C76" s="14" t="str">
        <f>VLOOKUP(B76,Table4[],2,FALSE)</f>
        <v>Roela, Tudu, Viru-Jaagupi teeninduspiirkond</v>
      </c>
      <c r="D76" s="14" t="str">
        <f>VLOOKUP(Table1[[#This Row],[Tegevusala]],Table4[[Tegevusala kood]:[Tegevusala alanimetus]],4,FALSE)</f>
        <v>Muu elamu- ja kommunaalmajanduse tegevus</v>
      </c>
      <c r="E76" s="14" t="str">
        <f>VLOOKUP(C76,Table4[[Tegevusala nimetus]:[Tegevusala koondnimetus]],2,FALSE)</f>
        <v>Elamu- ja kommunaalmajandus</v>
      </c>
      <c r="F76" s="14" t="s">
        <v>942</v>
      </c>
      <c r="G76" s="14" t="s">
        <v>940</v>
      </c>
      <c r="H76" s="14">
        <v>120</v>
      </c>
      <c r="I76" s="14" t="s">
        <v>2164</v>
      </c>
      <c r="J76" s="14">
        <v>5</v>
      </c>
      <c r="K76" s="14">
        <f t="shared" si="9"/>
        <v>600</v>
      </c>
      <c r="L76" s="14">
        <v>3</v>
      </c>
      <c r="M76" s="14"/>
      <c r="N76" s="44">
        <f>(K76*Table1[[#This Row],[Ühik2]])+M76</f>
        <v>1800</v>
      </c>
      <c r="O76" s="44">
        <f>Table1[[#This Row],[2020. EA ]]*0.338</f>
        <v>608.40000000000009</v>
      </c>
      <c r="P76" s="14"/>
    </row>
    <row r="77" spans="1:16" hidden="1" x14ac:dyDescent="0.25">
      <c r="A77" s="14" t="str">
        <f t="shared" si="8"/>
        <v>06</v>
      </c>
      <c r="B77" t="s">
        <v>2210</v>
      </c>
      <c r="C77" s="14" t="str">
        <f>VLOOKUP(B77,Table4[],2,FALSE)</f>
        <v>Roela, Tudu, Viru-Jaagupi teeninduspiirkond</v>
      </c>
      <c r="D77" s="14" t="str">
        <f>VLOOKUP(Table1[[#This Row],[Tegevusala]],Table4[[Tegevusala kood]:[Tegevusala alanimetus]],4,FALSE)</f>
        <v>Muu elamu- ja kommunaalmajanduse tegevus</v>
      </c>
      <c r="E77" s="14" t="str">
        <f>VLOOKUP(C77,Table4[[Tegevusala nimetus]:[Tegevusala koondnimetus]],2,FALSE)</f>
        <v>Elamu- ja kommunaalmajandus</v>
      </c>
      <c r="F77" s="14" t="s">
        <v>967</v>
      </c>
      <c r="G77" s="14" t="s">
        <v>968</v>
      </c>
      <c r="H77" s="14">
        <v>2</v>
      </c>
      <c r="I77" s="14" t="s">
        <v>2005</v>
      </c>
      <c r="J77" s="14">
        <v>270</v>
      </c>
      <c r="K77" s="14">
        <f t="shared" si="9"/>
        <v>540</v>
      </c>
      <c r="L77" s="14">
        <v>12</v>
      </c>
      <c r="M77" s="14"/>
      <c r="N77" s="44">
        <f>(K77*Table1[[#This Row],[Ühik2]])+M77</f>
        <v>6480</v>
      </c>
      <c r="O77" s="44">
        <f>Table1[[#This Row],[2020. EA ]]*0.338</f>
        <v>2190.2400000000002</v>
      </c>
      <c r="P77" s="14"/>
    </row>
    <row r="78" spans="1:16" hidden="1" x14ac:dyDescent="0.25">
      <c r="A78" s="14" t="str">
        <f t="shared" si="8"/>
        <v>06</v>
      </c>
      <c r="B78" t="s">
        <v>2210</v>
      </c>
      <c r="C78" s="14" t="str">
        <f>VLOOKUP(B78,Table4[],2,FALSE)</f>
        <v>Roela, Tudu, Viru-Jaagupi teeninduspiirkond</v>
      </c>
      <c r="D78" s="14" t="str">
        <f>VLOOKUP(Table1[[#This Row],[Tegevusala]],Table4[[Tegevusala kood]:[Tegevusala alanimetus]],4,FALSE)</f>
        <v>Muu elamu- ja kommunaalmajanduse tegevus</v>
      </c>
      <c r="E78" s="14" t="str">
        <f>VLOOKUP(C78,Table4[[Tegevusala nimetus]:[Tegevusala koondnimetus]],2,FALSE)</f>
        <v>Elamu- ja kommunaalmajandus</v>
      </c>
      <c r="F78" s="14" t="s">
        <v>972</v>
      </c>
      <c r="G78" s="14" t="s">
        <v>826</v>
      </c>
      <c r="H78" s="14">
        <v>1</v>
      </c>
      <c r="I78" s="14"/>
      <c r="J78" s="14">
        <v>1560</v>
      </c>
      <c r="K78" s="14">
        <f t="shared" si="9"/>
        <v>1560</v>
      </c>
      <c r="L78" s="14">
        <v>12</v>
      </c>
      <c r="M78" s="14"/>
      <c r="N78" s="44">
        <f>(K78*Table1[[#This Row],[Ühik2]])+M78</f>
        <v>18720</v>
      </c>
      <c r="O78" s="44">
        <f>Table1[[#This Row],[2020. EA ]]*0.338</f>
        <v>6327.3600000000006</v>
      </c>
      <c r="P78" s="14"/>
    </row>
    <row r="79" spans="1:16" hidden="1" x14ac:dyDescent="0.25">
      <c r="A79" s="90" t="str">
        <f t="shared" si="8"/>
        <v>06</v>
      </c>
      <c r="B79" s="91" t="s">
        <v>2210</v>
      </c>
      <c r="C79" s="90" t="str">
        <f>VLOOKUP(B79,Table4[],2,FALSE)</f>
        <v>Roela, Tudu, Viru-Jaagupi teeninduspiirkond</v>
      </c>
      <c r="D79" s="90" t="str">
        <f>VLOOKUP(Table1[[#This Row],[Tegevusala]],Table4[[Tegevusala kood]:[Tegevusala alanimetus]],4,FALSE)</f>
        <v>Muu elamu- ja kommunaalmajanduse tegevus</v>
      </c>
      <c r="E79" s="90" t="str">
        <f>VLOOKUP(C79,Table4[[Tegevusala nimetus]:[Tegevusala koondnimetus]],2,FALSE)</f>
        <v>Elamu- ja kommunaalmajandus</v>
      </c>
      <c r="F79" s="90" t="s">
        <v>972</v>
      </c>
      <c r="G79" s="90" t="s">
        <v>969</v>
      </c>
      <c r="H79" s="90">
        <v>1</v>
      </c>
      <c r="I79" s="90"/>
      <c r="J79" s="90">
        <v>584</v>
      </c>
      <c r="K79" s="90">
        <f t="shared" si="9"/>
        <v>584</v>
      </c>
      <c r="L79" s="90">
        <v>12</v>
      </c>
      <c r="M79" s="90"/>
      <c r="N79" s="92">
        <f>(K79*Table1[[#This Row],[Ühik2]])+M79</f>
        <v>7008</v>
      </c>
      <c r="O79" s="92">
        <f>Table1[[#This Row],[2020. EA ]]*0.338</f>
        <v>2368.7040000000002</v>
      </c>
      <c r="P79" s="90"/>
    </row>
    <row r="80" spans="1:16" hidden="1" x14ac:dyDescent="0.25">
      <c r="A80" s="14" t="str">
        <f t="shared" si="8"/>
        <v>06</v>
      </c>
      <c r="B80" t="s">
        <v>2210</v>
      </c>
      <c r="C80" s="14" t="str">
        <f>VLOOKUP(B80,Table4[],2,FALSE)</f>
        <v>Roela, Tudu, Viru-Jaagupi teeninduspiirkond</v>
      </c>
      <c r="D80" s="14" t="str">
        <f>VLOOKUP(Table1[[#This Row],[Tegevusala]],Table4[[Tegevusala kood]:[Tegevusala alanimetus]],4,FALSE)</f>
        <v>Muu elamu- ja kommunaalmajanduse tegevus</v>
      </c>
      <c r="E80" s="14" t="str">
        <f>VLOOKUP(C80,Table4[[Tegevusala nimetus]:[Tegevusala koondnimetus]],2,FALSE)</f>
        <v>Elamu- ja kommunaalmajandus</v>
      </c>
      <c r="F80" s="14" t="s">
        <v>972</v>
      </c>
      <c r="G80" s="14" t="s">
        <v>939</v>
      </c>
      <c r="H80" s="14">
        <v>160</v>
      </c>
      <c r="I80" s="14" t="s">
        <v>2164</v>
      </c>
      <c r="J80" s="14">
        <v>3.21</v>
      </c>
      <c r="K80" s="14">
        <f t="shared" si="9"/>
        <v>513.6</v>
      </c>
      <c r="L80" s="14">
        <v>12</v>
      </c>
      <c r="M80" s="14"/>
      <c r="N80" s="44">
        <f>(K80*Table1[[#This Row],[Ühik2]])+M80</f>
        <v>6163.2000000000007</v>
      </c>
      <c r="O80" s="44">
        <f>Table1[[#This Row],[2020. EA ]]*0.338</f>
        <v>2083.1616000000004</v>
      </c>
      <c r="P80" s="14"/>
    </row>
    <row r="81" spans="1:16" hidden="1" x14ac:dyDescent="0.25">
      <c r="A81" s="14" t="str">
        <f t="shared" si="8"/>
        <v>06</v>
      </c>
      <c r="B81" t="s">
        <v>2210</v>
      </c>
      <c r="C81" s="14" t="str">
        <f>VLOOKUP(B81,Table4[],2,FALSE)</f>
        <v>Roela, Tudu, Viru-Jaagupi teeninduspiirkond</v>
      </c>
      <c r="D81" s="14" t="str">
        <f>VLOOKUP(Table1[[#This Row],[Tegevusala]],Table4[[Tegevusala kood]:[Tegevusala alanimetus]],4,FALSE)</f>
        <v>Muu elamu- ja kommunaalmajanduse tegevus</v>
      </c>
      <c r="E81" s="14" t="str">
        <f>VLOOKUP(C81,Table4[[Tegevusala nimetus]:[Tegevusala koondnimetus]],2,FALSE)</f>
        <v>Elamu- ja kommunaalmajandus</v>
      </c>
      <c r="F81" s="14" t="s">
        <v>972</v>
      </c>
      <c r="G81" s="14" t="s">
        <v>940</v>
      </c>
      <c r="H81" s="14">
        <v>120</v>
      </c>
      <c r="I81" s="14" t="s">
        <v>2164</v>
      </c>
      <c r="J81" s="14">
        <v>5</v>
      </c>
      <c r="K81" s="14">
        <f t="shared" si="9"/>
        <v>600</v>
      </c>
      <c r="L81" s="14">
        <v>3</v>
      </c>
      <c r="M81" s="14"/>
      <c r="N81" s="44">
        <f>(K81*Table1[[#This Row],[Ühik2]])+M81</f>
        <v>1800</v>
      </c>
      <c r="O81" s="44">
        <f>Table1[[#This Row],[2020. EA ]]*0.338</f>
        <v>608.40000000000009</v>
      </c>
      <c r="P81" s="14"/>
    </row>
    <row r="82" spans="1:16" hidden="1" x14ac:dyDescent="0.25">
      <c r="A82" s="14" t="str">
        <f t="shared" si="8"/>
        <v>06</v>
      </c>
      <c r="B82" t="s">
        <v>2210</v>
      </c>
      <c r="C82" s="14" t="str">
        <f>VLOOKUP(B82,Table4[],2,FALSE)</f>
        <v>Roela, Tudu, Viru-Jaagupi teeninduspiirkond</v>
      </c>
      <c r="D82" s="14" t="str">
        <f>VLOOKUP(Table1[[#This Row],[Tegevusala]],Table4[[Tegevusala kood]:[Tegevusala alanimetus]],4,FALSE)</f>
        <v>Muu elamu- ja kommunaalmajanduse tegevus</v>
      </c>
      <c r="E82" s="14" t="str">
        <f>VLOOKUP(C82,Table4[[Tegevusala nimetus]:[Tegevusala koondnimetus]],2,FALSE)</f>
        <v>Elamu- ja kommunaalmajandus</v>
      </c>
      <c r="F82" s="14" t="s">
        <v>972</v>
      </c>
      <c r="G82" s="14" t="s">
        <v>970</v>
      </c>
      <c r="H82" s="14">
        <v>990</v>
      </c>
      <c r="I82" s="14" t="s">
        <v>2164</v>
      </c>
      <c r="J82" s="14">
        <v>3.5</v>
      </c>
      <c r="K82" s="14">
        <f t="shared" si="9"/>
        <v>3465</v>
      </c>
      <c r="L82" s="14">
        <v>1</v>
      </c>
      <c r="M82" s="14"/>
      <c r="N82" s="44">
        <f>(K82*Table1[[#This Row],[Ühik2]])+M82</f>
        <v>3465</v>
      </c>
      <c r="O82" s="44">
        <f>Table1[[#This Row],[2020. EA ]]*0.338</f>
        <v>1171.17</v>
      </c>
      <c r="P82" s="14" t="s">
        <v>971</v>
      </c>
    </row>
    <row r="83" spans="1:16" hidden="1" x14ac:dyDescent="0.25">
      <c r="A83" s="90" t="str">
        <f t="shared" si="8"/>
        <v>06</v>
      </c>
      <c r="B83" s="91" t="s">
        <v>260</v>
      </c>
      <c r="C83" s="90" t="str">
        <f>VLOOKUP(B83,Table4[],2,FALSE)</f>
        <v xml:space="preserve"> Saunad</v>
      </c>
      <c r="D83" s="90" t="str">
        <f>VLOOKUP(Table1[[#This Row],[Tegevusala]],Table4[[Tegevusala kood]:[Tegevusala alanimetus]],4,FALSE)</f>
        <v>Muu elamu- ja kommunaalmajanduse tegevus</v>
      </c>
      <c r="E83" s="90" t="str">
        <f>VLOOKUP(C83,Table4[[Tegevusala nimetus]:[Tegevusala koondnimetus]],2,FALSE)</f>
        <v>Elamu- ja kommunaalmajandus</v>
      </c>
      <c r="F83" s="90" t="s">
        <v>1003</v>
      </c>
      <c r="G83" s="90" t="s">
        <v>1006</v>
      </c>
      <c r="H83" s="90">
        <v>0.5</v>
      </c>
      <c r="I83" s="90"/>
      <c r="J83" s="90">
        <v>584</v>
      </c>
      <c r="K83" s="90">
        <f t="shared" si="9"/>
        <v>292</v>
      </c>
      <c r="L83" s="90">
        <v>12</v>
      </c>
      <c r="M83" s="90"/>
      <c r="N83" s="92">
        <f>(K83*Table1[[#This Row],[Ühik2]])+M83</f>
        <v>3504</v>
      </c>
      <c r="O83" s="92">
        <f>Table1[[#This Row],[2020. EA ]]*0.338</f>
        <v>1184.3520000000001</v>
      </c>
      <c r="P83" s="90"/>
    </row>
    <row r="84" spans="1:16" hidden="1" x14ac:dyDescent="0.25">
      <c r="A84" s="90" t="str">
        <f t="shared" si="8"/>
        <v>06</v>
      </c>
      <c r="B84" s="91" t="s">
        <v>260</v>
      </c>
      <c r="C84" s="90" t="str">
        <f>VLOOKUP(B84,Table4[],2,FALSE)</f>
        <v xml:space="preserve"> Saunad</v>
      </c>
      <c r="D84" s="90" t="str">
        <f>VLOOKUP(Table1[[#This Row],[Tegevusala]],Table4[[Tegevusala kood]:[Tegevusala alanimetus]],4,FALSE)</f>
        <v>Muu elamu- ja kommunaalmajanduse tegevus</v>
      </c>
      <c r="E84" s="90" t="str">
        <f>VLOOKUP(C84,Table4[[Tegevusala nimetus]:[Tegevusala koondnimetus]],2,FALSE)</f>
        <v>Elamu- ja kommunaalmajandus</v>
      </c>
      <c r="F84" s="90" t="s">
        <v>1003</v>
      </c>
      <c r="G84" s="90" t="s">
        <v>1007</v>
      </c>
      <c r="H84" s="90">
        <v>1</v>
      </c>
      <c r="I84" s="90"/>
      <c r="J84" s="90">
        <v>584</v>
      </c>
      <c r="K84" s="90">
        <f t="shared" si="9"/>
        <v>584</v>
      </c>
      <c r="L84" s="90">
        <v>12</v>
      </c>
      <c r="M84" s="90"/>
      <c r="N84" s="92">
        <f>(K84*Table1[[#This Row],[Ühik2]])+M84</f>
        <v>7008</v>
      </c>
      <c r="O84" s="92">
        <f>Table1[[#This Row],[2020. EA ]]*0.338</f>
        <v>2368.7040000000002</v>
      </c>
      <c r="P84" s="90"/>
    </row>
    <row r="85" spans="1:16" hidden="1" x14ac:dyDescent="0.25">
      <c r="A85" s="90" t="str">
        <f t="shared" si="8"/>
        <v>06</v>
      </c>
      <c r="B85" s="91" t="s">
        <v>260</v>
      </c>
      <c r="C85" s="90" t="str">
        <f>VLOOKUP(B85,Table4[],2,FALSE)</f>
        <v xml:space="preserve"> Saunad</v>
      </c>
      <c r="D85" s="90" t="str">
        <f>VLOOKUP(Table1[[#This Row],[Tegevusala]],Table4[[Tegevusala kood]:[Tegevusala alanimetus]],4,FALSE)</f>
        <v>Muu elamu- ja kommunaalmajanduse tegevus</v>
      </c>
      <c r="E85" s="90" t="str">
        <f>VLOOKUP(C85,Table4[[Tegevusala nimetus]:[Tegevusala koondnimetus]],2,FALSE)</f>
        <v>Elamu- ja kommunaalmajandus</v>
      </c>
      <c r="F85" s="90" t="s">
        <v>1003</v>
      </c>
      <c r="G85" s="90" t="s">
        <v>1008</v>
      </c>
      <c r="H85" s="90">
        <v>0.25</v>
      </c>
      <c r="I85" s="90"/>
      <c r="J85" s="90">
        <v>584</v>
      </c>
      <c r="K85" s="90">
        <f t="shared" si="9"/>
        <v>146</v>
      </c>
      <c r="L85" s="90">
        <v>12</v>
      </c>
      <c r="M85" s="90"/>
      <c r="N85" s="92">
        <f>(K85*Table1[[#This Row],[Ühik2]])+M85</f>
        <v>1752</v>
      </c>
      <c r="O85" s="92">
        <f>Table1[[#This Row],[2020. EA ]]*0.338</f>
        <v>592.17600000000004</v>
      </c>
      <c r="P85" s="90"/>
    </row>
    <row r="86" spans="1:16" hidden="1" x14ac:dyDescent="0.25">
      <c r="A86" s="90" t="str">
        <f t="shared" si="8"/>
        <v>06</v>
      </c>
      <c r="B86" s="91" t="s">
        <v>262</v>
      </c>
      <c r="C86" s="90" t="str">
        <f>VLOOKUP(B86,Table4[],2,FALSE)</f>
        <v xml:space="preserve"> Kalmistud</v>
      </c>
      <c r="D86" s="90" t="str">
        <f>VLOOKUP(Table1[[#This Row],[Tegevusala]],Table4[[Tegevusala kood]:[Tegevusala alanimetus]],4,FALSE)</f>
        <v>Muu elamu- ja kommunaalmajanduse tegevus</v>
      </c>
      <c r="E86" s="90" t="str">
        <f>VLOOKUP(C86,Table4[[Tegevusala nimetus]:[Tegevusala koondnimetus]],2,FALSE)</f>
        <v>Elamu- ja kommunaalmajandus</v>
      </c>
      <c r="F86" s="90" t="s">
        <v>1003</v>
      </c>
      <c r="G86" s="90" t="s">
        <v>1021</v>
      </c>
      <c r="H86" s="90">
        <v>2</v>
      </c>
      <c r="I86" s="90"/>
      <c r="J86" s="90">
        <v>292</v>
      </c>
      <c r="K86" s="90">
        <f t="shared" si="9"/>
        <v>584</v>
      </c>
      <c r="L86" s="90">
        <v>12</v>
      </c>
      <c r="M86" s="90"/>
      <c r="N86" s="92">
        <f>(K86*Table1[[#This Row],[Ühik2]])+M86</f>
        <v>7008</v>
      </c>
      <c r="O86" s="92">
        <f>Table1[[#This Row],[2020. EA ]]*0.338</f>
        <v>2368.7040000000002</v>
      </c>
      <c r="P86" s="90"/>
    </row>
    <row r="87" spans="1:16" hidden="1" x14ac:dyDescent="0.25">
      <c r="A87" s="90" t="str">
        <f t="shared" si="8"/>
        <v>06</v>
      </c>
      <c r="B87" s="91" t="s">
        <v>262</v>
      </c>
      <c r="C87" s="90" t="str">
        <f>VLOOKUP(B87,Table4[],2,FALSE)</f>
        <v xml:space="preserve"> Kalmistud</v>
      </c>
      <c r="D87" s="90" t="str">
        <f>VLOOKUP(Table1[[#This Row],[Tegevusala]],Table4[[Tegevusala kood]:[Tegevusala alanimetus]],4,FALSE)</f>
        <v>Muu elamu- ja kommunaalmajanduse tegevus</v>
      </c>
      <c r="E87" s="90" t="str">
        <f>VLOOKUP(C87,Table4[[Tegevusala nimetus]:[Tegevusala koondnimetus]],2,FALSE)</f>
        <v>Elamu- ja kommunaalmajandus</v>
      </c>
      <c r="F87" s="90" t="s">
        <v>1003</v>
      </c>
      <c r="G87" s="90" t="s">
        <v>1022</v>
      </c>
      <c r="H87" s="90">
        <v>0.25</v>
      </c>
      <c r="I87" s="90"/>
      <c r="J87" s="90">
        <v>584</v>
      </c>
      <c r="K87" s="90">
        <f t="shared" si="9"/>
        <v>146</v>
      </c>
      <c r="L87" s="90">
        <v>12</v>
      </c>
      <c r="M87" s="90"/>
      <c r="N87" s="92">
        <f>(K87*Table1[[#This Row],[Ühik2]])+M87</f>
        <v>1752</v>
      </c>
      <c r="O87" s="92">
        <f>Table1[[#This Row],[2020. EA ]]*0.338</f>
        <v>592.17600000000004</v>
      </c>
      <c r="P87" s="90"/>
    </row>
    <row r="88" spans="1:16" hidden="1" x14ac:dyDescent="0.25">
      <c r="A88" s="14" t="str">
        <f t="shared" si="8"/>
        <v>08</v>
      </c>
      <c r="B88" s="10" t="s">
        <v>291</v>
      </c>
      <c r="C88" s="14" t="str">
        <f>VLOOKUP(B88,Table4[],2,FALSE)</f>
        <v>Vinni-Pajusti Rahvaraamatukogu</v>
      </c>
      <c r="D88" s="14" t="str">
        <f>VLOOKUP(Table1[[#This Row],[Tegevusala]],Table4[[Tegevusala kood]:[Tegevusala alanimetus]],4,FALSE)</f>
        <v>Raamatukogud</v>
      </c>
      <c r="E88" s="14" t="str">
        <f>VLOOKUP(C88,Table4[[Tegevusala nimetus]:[Tegevusala koondnimetus]],2,FALSE)</f>
        <v>Vabaaeg, kultuur ja religioon</v>
      </c>
      <c r="F88" s="14" t="s">
        <v>1035</v>
      </c>
      <c r="G88" s="14" t="s">
        <v>505</v>
      </c>
      <c r="H88" s="14">
        <v>1</v>
      </c>
      <c r="I88" s="14"/>
      <c r="J88" s="14">
        <v>1128</v>
      </c>
      <c r="K88" s="14">
        <f t="shared" si="9"/>
        <v>1128</v>
      </c>
      <c r="L88" s="14">
        <v>12</v>
      </c>
      <c r="M88" s="14"/>
      <c r="N88" s="44">
        <f>(K88*Table1[[#This Row],[Ühik2]])+M88</f>
        <v>13536</v>
      </c>
      <c r="O88" s="44">
        <f>Table1[[#This Row],[2020. EA ]]*0.338</f>
        <v>4575.1680000000006</v>
      </c>
      <c r="P88" s="14"/>
    </row>
    <row r="89" spans="1:16" hidden="1" x14ac:dyDescent="0.25">
      <c r="A89" s="14" t="str">
        <f t="shared" si="8"/>
        <v>08</v>
      </c>
      <c r="B89" s="10" t="s">
        <v>291</v>
      </c>
      <c r="C89" s="14" t="str">
        <f>VLOOKUP(B89,Table4[],2,FALSE)</f>
        <v>Vinni-Pajusti Rahvaraamatukogu</v>
      </c>
      <c r="D89" s="14" t="str">
        <f>VLOOKUP(Table1[[#This Row],[Tegevusala]],Table4[[Tegevusala kood]:[Tegevusala alanimetus]],4,FALSE)</f>
        <v>Raamatukogud</v>
      </c>
      <c r="E89" s="14" t="str">
        <f>VLOOKUP(C89,Table4[[Tegevusala nimetus]:[Tegevusala koondnimetus]],2,FALSE)</f>
        <v>Vabaaeg, kultuur ja religioon</v>
      </c>
      <c r="F89" s="14" t="s">
        <v>1035</v>
      </c>
      <c r="G89" s="14" t="s">
        <v>1024</v>
      </c>
      <c r="H89" s="14">
        <v>1</v>
      </c>
      <c r="I89" s="14"/>
      <c r="J89" s="14">
        <v>790</v>
      </c>
      <c r="K89" s="14">
        <f t="shared" si="9"/>
        <v>790</v>
      </c>
      <c r="L89" s="14">
        <v>12</v>
      </c>
      <c r="M89" s="14"/>
      <c r="N89" s="44">
        <f>(K89*Table1[[#This Row],[Ühik2]])+M89</f>
        <v>9480</v>
      </c>
      <c r="O89" s="44">
        <f>Table1[[#This Row],[2020. EA ]]*0.338</f>
        <v>3204.2400000000002</v>
      </c>
      <c r="P89" s="14"/>
    </row>
    <row r="90" spans="1:16" hidden="1" x14ac:dyDescent="0.25">
      <c r="A90" s="90" t="str">
        <f t="shared" si="8"/>
        <v>08</v>
      </c>
      <c r="B90" s="93" t="s">
        <v>291</v>
      </c>
      <c r="C90" s="90" t="str">
        <f>VLOOKUP(B90,Table4[],2,FALSE)</f>
        <v>Vinni-Pajusti Rahvaraamatukogu</v>
      </c>
      <c r="D90" s="90" t="str">
        <f>VLOOKUP(Table1[[#This Row],[Tegevusala]],Table4[[Tegevusala kood]:[Tegevusala alanimetus]],4,FALSE)</f>
        <v>Raamatukogud</v>
      </c>
      <c r="E90" s="90" t="str">
        <f>VLOOKUP(C90,Table4[[Tegevusala nimetus]:[Tegevusala koondnimetus]],2,FALSE)</f>
        <v>Vabaaeg, kultuur ja religioon</v>
      </c>
      <c r="F90" s="90" t="s">
        <v>1035</v>
      </c>
      <c r="G90" s="90" t="s">
        <v>1025</v>
      </c>
      <c r="H90" s="90">
        <v>0.75</v>
      </c>
      <c r="I90" s="90"/>
      <c r="J90" s="90">
        <v>584</v>
      </c>
      <c r="K90" s="90">
        <f t="shared" si="9"/>
        <v>438</v>
      </c>
      <c r="L90" s="90">
        <v>12</v>
      </c>
      <c r="M90" s="90"/>
      <c r="N90" s="92">
        <f>(K90*Table1[[#This Row],[Ühik2]])+M90</f>
        <v>5256</v>
      </c>
      <c r="O90" s="92">
        <f>Table1[[#This Row],[2020. EA ]]*0.338</f>
        <v>1776.528</v>
      </c>
      <c r="P90" s="90"/>
    </row>
    <row r="91" spans="1:16" hidden="1" x14ac:dyDescent="0.25">
      <c r="A91" s="14" t="str">
        <f t="shared" si="8"/>
        <v>08</v>
      </c>
      <c r="B91" t="s">
        <v>292</v>
      </c>
      <c r="C91" s="14" t="str">
        <f>VLOOKUP(B91,Table4[],2,FALSE)</f>
        <v>Viru-Jaagupi Rahvaraamatukogu</v>
      </c>
      <c r="D91" s="14" t="str">
        <f>VLOOKUP(Table1[[#This Row],[Tegevusala]],Table4[[Tegevusala kood]:[Tegevusala alanimetus]],4,FALSE)</f>
        <v>Raamatukogud</v>
      </c>
      <c r="E91" s="14" t="str">
        <f>VLOOKUP(C91,Table4[[Tegevusala nimetus]:[Tegevusala koondnimetus]],2,FALSE)</f>
        <v>Vabaaeg, kultuur ja religioon</v>
      </c>
      <c r="F91" s="14" t="s">
        <v>1063</v>
      </c>
      <c r="G91" s="14" t="s">
        <v>1062</v>
      </c>
      <c r="H91" s="14">
        <v>1</v>
      </c>
      <c r="I91" s="14"/>
      <c r="J91" s="14">
        <v>762</v>
      </c>
      <c r="K91" s="14">
        <f t="shared" si="9"/>
        <v>762</v>
      </c>
      <c r="L91" s="14">
        <v>12</v>
      </c>
      <c r="M91" s="14">
        <v>2220</v>
      </c>
      <c r="N91" s="44">
        <f>(K91*Table1[[#This Row],[Ühik2]])+M91</f>
        <v>11364</v>
      </c>
      <c r="O91" s="44">
        <f>Table1[[#This Row],[2020. EA ]]*0.338</f>
        <v>3841.0320000000002</v>
      </c>
      <c r="P91" s="14" t="s">
        <v>1064</v>
      </c>
    </row>
    <row r="92" spans="1:16" hidden="1" x14ac:dyDescent="0.25">
      <c r="A92" s="38" t="str">
        <f t="shared" si="8"/>
        <v>08</v>
      </c>
      <c r="B92" s="33" t="s">
        <v>295</v>
      </c>
      <c r="C92" s="38" t="str">
        <f>VLOOKUP(B92,Table4[],2,FALSE)</f>
        <v>Ulvi Raamatukogu</v>
      </c>
      <c r="D92" s="38" t="str">
        <f>VLOOKUP(Table1[[#This Row],[Tegevusala]],Table4[[Tegevusala kood]:[Tegevusala alanimetus]],4,FALSE)</f>
        <v>Raamatukogud</v>
      </c>
      <c r="E92" s="38" t="str">
        <f>VLOOKUP(C92,Table4[[Tegevusala nimetus]:[Tegevusala koondnimetus]],2,FALSE)</f>
        <v>Vabaaeg, kultuur ja religioon</v>
      </c>
      <c r="F92" s="38" t="s">
        <v>1650</v>
      </c>
      <c r="G92" s="38" t="s">
        <v>1067</v>
      </c>
      <c r="H92" s="38">
        <v>1</v>
      </c>
      <c r="I92" s="38"/>
      <c r="J92" s="38">
        <v>845</v>
      </c>
      <c r="K92" s="38">
        <f t="shared" si="9"/>
        <v>845</v>
      </c>
      <c r="L92" s="38">
        <v>12</v>
      </c>
      <c r="M92" s="38">
        <f>12*127</f>
        <v>1524</v>
      </c>
      <c r="N92" s="45">
        <f>(K92*Table1[[#This Row],[Ühik2]])+M92</f>
        <v>11664</v>
      </c>
      <c r="O92" s="45">
        <f>Table1[[#This Row],[2020. EA ]]*0.338</f>
        <v>3942.4320000000002</v>
      </c>
      <c r="P92" s="38" t="s">
        <v>2129</v>
      </c>
    </row>
    <row r="93" spans="1:16" hidden="1" x14ac:dyDescent="0.25">
      <c r="A93" s="38" t="str">
        <f t="shared" si="8"/>
        <v>08</v>
      </c>
      <c r="B93" s="33" t="s">
        <v>306</v>
      </c>
      <c r="C93" s="38" t="str">
        <f>VLOOKUP(B93,Table4[],2,FALSE)</f>
        <v>Laekvere Rahvamaja</v>
      </c>
      <c r="D93" s="38" t="str">
        <f>VLOOKUP(Table1[[#This Row],[Tegevusala]],Table4[[Tegevusala kood]:[Tegevusala alanimetus]],4,FALSE)</f>
        <v>Rahvakultuur</v>
      </c>
      <c r="E93" s="38" t="str">
        <f>VLOOKUP(C93,Table4[[Tegevusala nimetus]:[Tegevusala koondnimetus]],2,FALSE)</f>
        <v>Vabaaeg, kultuur ja religioon</v>
      </c>
      <c r="F93" s="38" t="s">
        <v>1090</v>
      </c>
      <c r="G93" s="38" t="s">
        <v>505</v>
      </c>
      <c r="H93" s="38">
        <v>1</v>
      </c>
      <c r="I93" s="38"/>
      <c r="J93" s="38">
        <v>1100</v>
      </c>
      <c r="K93" s="38">
        <f t="shared" si="9"/>
        <v>1100</v>
      </c>
      <c r="L93" s="38">
        <v>12</v>
      </c>
      <c r="M93" s="38"/>
      <c r="N93" s="45">
        <f>(K93*Table1[[#This Row],[Ühik2]])+M93</f>
        <v>13200</v>
      </c>
      <c r="O93" s="45">
        <f>Table1[[#This Row],[2020. EA ]]*0.338</f>
        <v>4461.6000000000004</v>
      </c>
      <c r="P93" s="38"/>
    </row>
    <row r="94" spans="1:16" hidden="1" x14ac:dyDescent="0.25">
      <c r="A94" s="90" t="str">
        <f t="shared" si="8"/>
        <v>08</v>
      </c>
      <c r="B94" s="91" t="s">
        <v>306</v>
      </c>
      <c r="C94" s="90" t="str">
        <f>VLOOKUP(B94,Table4[],2,FALSE)</f>
        <v>Laekvere Rahvamaja</v>
      </c>
      <c r="D94" s="90" t="str">
        <f>VLOOKUP(Table1[[#This Row],[Tegevusala]],Table4[[Tegevusala kood]:[Tegevusala alanimetus]],4,FALSE)</f>
        <v>Rahvakultuur</v>
      </c>
      <c r="E94" s="90" t="str">
        <f>VLOOKUP(C94,Table4[[Tegevusala nimetus]:[Tegevusala koondnimetus]],2,FALSE)</f>
        <v>Vabaaeg, kultuur ja religioon</v>
      </c>
      <c r="F94" s="90" t="s">
        <v>1090</v>
      </c>
      <c r="G94" s="90" t="s">
        <v>1025</v>
      </c>
      <c r="H94" s="90">
        <v>1</v>
      </c>
      <c r="I94" s="90"/>
      <c r="J94" s="90">
        <v>584</v>
      </c>
      <c r="K94" s="90">
        <f t="shared" si="9"/>
        <v>584</v>
      </c>
      <c r="L94" s="90">
        <v>12</v>
      </c>
      <c r="M94" s="90"/>
      <c r="N94" s="92">
        <f>(K94*Table1[[#This Row],[Ühik2]])+M94</f>
        <v>7008</v>
      </c>
      <c r="O94" s="92">
        <f>Table1[[#This Row],[2020. EA ]]*0.338</f>
        <v>2368.7040000000002</v>
      </c>
      <c r="P94" s="90"/>
    </row>
    <row r="95" spans="1:16" hidden="1" x14ac:dyDescent="0.25">
      <c r="A95" s="90" t="str">
        <f t="shared" si="8"/>
        <v>08</v>
      </c>
      <c r="B95" s="91" t="s">
        <v>306</v>
      </c>
      <c r="C95" s="90" t="str">
        <f>VLOOKUP(B95,Table4[],2,FALSE)</f>
        <v>Laekvere Rahvamaja</v>
      </c>
      <c r="D95" s="90" t="str">
        <f>VLOOKUP(Table1[[#This Row],[Tegevusala]],Table4[[Tegevusala kood]:[Tegevusala alanimetus]],4,FALSE)</f>
        <v>Rahvakultuur</v>
      </c>
      <c r="E95" s="90" t="str">
        <f>VLOOKUP(C95,Table4[[Tegevusala nimetus]:[Tegevusala koondnimetus]],2,FALSE)</f>
        <v>Vabaaeg, kultuur ja religioon</v>
      </c>
      <c r="F95" s="90" t="s">
        <v>1090</v>
      </c>
      <c r="G95" s="90" t="s">
        <v>1091</v>
      </c>
      <c r="H95" s="90">
        <v>1</v>
      </c>
      <c r="I95" s="90"/>
      <c r="J95" s="90">
        <v>584</v>
      </c>
      <c r="K95" s="90">
        <f t="shared" si="9"/>
        <v>584</v>
      </c>
      <c r="L95" s="90">
        <v>12</v>
      </c>
      <c r="M95" s="90"/>
      <c r="N95" s="92">
        <f>(K95*Table1[[#This Row],[Ühik2]])+M95</f>
        <v>7008</v>
      </c>
      <c r="O95" s="92">
        <f>Table1[[#This Row],[2020. EA ]]*0.338</f>
        <v>2368.7040000000002</v>
      </c>
      <c r="P95" s="90"/>
    </row>
    <row r="96" spans="1:16" hidden="1" x14ac:dyDescent="0.25">
      <c r="A96" s="14" t="str">
        <f t="shared" ref="A96:A102" si="10">LEFT(B96,2)</f>
        <v>08</v>
      </c>
      <c r="B96" t="s">
        <v>308</v>
      </c>
      <c r="C96" s="14" t="str">
        <f>VLOOKUP(B96,Table4[],2,FALSE)</f>
        <v>Ulvi Klubi</v>
      </c>
      <c r="D96" s="39" t="str">
        <f>VLOOKUP(Table1[[#This Row],[Tegevusala]],Table4[[Tegevusala kood]:[Tegevusala alanimetus]],4,FALSE)</f>
        <v>Rahvakultuur</v>
      </c>
      <c r="E96" s="14" t="str">
        <f>VLOOKUP(C96,Table4[[Tegevusala nimetus]:[Tegevusala koondnimetus]],2,FALSE)</f>
        <v>Vabaaeg, kultuur ja religioon</v>
      </c>
      <c r="F96" s="14" t="s">
        <v>1122</v>
      </c>
      <c r="G96" s="14" t="s">
        <v>1121</v>
      </c>
      <c r="H96" s="14">
        <v>1</v>
      </c>
      <c r="I96" s="14"/>
      <c r="J96" s="14">
        <v>920</v>
      </c>
      <c r="K96" s="14">
        <f t="shared" si="9"/>
        <v>920</v>
      </c>
      <c r="L96" s="14">
        <v>12</v>
      </c>
      <c r="M96" s="14">
        <v>3600</v>
      </c>
      <c r="N96" s="44">
        <f>(K96*Table1[[#This Row],[Ühik2]])+M96</f>
        <v>14640</v>
      </c>
      <c r="O96" s="44">
        <f>Table1[[#This Row],[2020. EA ]]*0.338</f>
        <v>4948.3200000000006</v>
      </c>
      <c r="P96" s="14" t="s">
        <v>2179</v>
      </c>
    </row>
    <row r="97" spans="1:16" hidden="1" x14ac:dyDescent="0.25">
      <c r="A97" s="14" t="str">
        <f t="shared" si="10"/>
        <v>08</v>
      </c>
      <c r="B97" t="s">
        <v>308</v>
      </c>
      <c r="C97" s="14" t="str">
        <f>VLOOKUP(B97,Table4[],2,FALSE)</f>
        <v>Ulvi Klubi</v>
      </c>
      <c r="D97" s="39" t="str">
        <f>VLOOKUP(Table1[[#This Row],[Tegevusala]],Table4[[Tegevusala kood]:[Tegevusala alanimetus]],4,FALSE)</f>
        <v>Rahvakultuur</v>
      </c>
      <c r="E97" s="14" t="str">
        <f>VLOOKUP(C97,Table4[[Tegevusala nimetus]:[Tegevusala koondnimetus]],2,FALSE)</f>
        <v>Vabaaeg, kultuur ja religioon</v>
      </c>
      <c r="F97" s="14" t="s">
        <v>1122</v>
      </c>
      <c r="G97" s="14" t="s">
        <v>1123</v>
      </c>
      <c r="H97" s="14">
        <v>1</v>
      </c>
      <c r="I97" s="14" t="s">
        <v>2005</v>
      </c>
      <c r="J97" s="14">
        <v>150</v>
      </c>
      <c r="K97" s="14">
        <f t="shared" si="9"/>
        <v>150</v>
      </c>
      <c r="L97" s="14">
        <v>9</v>
      </c>
      <c r="M97" s="14"/>
      <c r="N97" s="44">
        <f>(K97*Table1[[#This Row],[Ühik2]])+M97</f>
        <v>1350</v>
      </c>
      <c r="O97" s="44">
        <f>Table1[[#This Row],[2020. EA ]]*0.338</f>
        <v>456.3</v>
      </c>
      <c r="P97" s="14"/>
    </row>
    <row r="98" spans="1:16" hidden="1" x14ac:dyDescent="0.25">
      <c r="A98" s="14" t="str">
        <f t="shared" si="10"/>
        <v>08</v>
      </c>
      <c r="B98" t="s">
        <v>308</v>
      </c>
      <c r="C98" s="14" t="str">
        <f>VLOOKUP(B98,Table4[],2,FALSE)</f>
        <v>Ulvi Klubi</v>
      </c>
      <c r="D98" s="39" t="str">
        <f>VLOOKUP(Table1[[#This Row],[Tegevusala]],Table4[[Tegevusala kood]:[Tegevusala alanimetus]],4,FALSE)</f>
        <v>Rahvakultuur</v>
      </c>
      <c r="E98" s="14" t="str">
        <f>VLOOKUP(C98,Table4[[Tegevusala nimetus]:[Tegevusala koondnimetus]],2,FALSE)</f>
        <v>Vabaaeg, kultuur ja religioon</v>
      </c>
      <c r="F98" s="14" t="s">
        <v>1122</v>
      </c>
      <c r="G98" s="14" t="s">
        <v>1123</v>
      </c>
      <c r="H98" s="14">
        <v>1</v>
      </c>
      <c r="I98" s="14" t="s">
        <v>2005</v>
      </c>
      <c r="J98" s="14">
        <v>60</v>
      </c>
      <c r="K98" s="14">
        <f t="shared" si="9"/>
        <v>60</v>
      </c>
      <c r="L98" s="14">
        <v>9</v>
      </c>
      <c r="M98" s="14"/>
      <c r="N98" s="44">
        <f>(K98*Table1[[#This Row],[Ühik2]])+M98</f>
        <v>540</v>
      </c>
      <c r="O98" s="44">
        <f>Table1[[#This Row],[2020. EA ]]*0.338</f>
        <v>182.52</v>
      </c>
      <c r="P98" s="14"/>
    </row>
    <row r="99" spans="1:16" hidden="1" x14ac:dyDescent="0.25">
      <c r="A99" s="14" t="str">
        <f t="shared" si="10"/>
        <v>08</v>
      </c>
      <c r="B99" t="s">
        <v>308</v>
      </c>
      <c r="C99" s="14" t="str">
        <f>VLOOKUP(B99,Table4[],2,FALSE)</f>
        <v>Ulvi Klubi</v>
      </c>
      <c r="D99" s="39" t="str">
        <f>VLOOKUP(Table1[[#This Row],[Tegevusala]],Table4[[Tegevusala kood]:[Tegevusala alanimetus]],4,FALSE)</f>
        <v>Rahvakultuur</v>
      </c>
      <c r="E99" s="14" t="str">
        <f>VLOOKUP(C99,Table4[[Tegevusala nimetus]:[Tegevusala koondnimetus]],2,FALSE)</f>
        <v>Vabaaeg, kultuur ja religioon</v>
      </c>
      <c r="F99" s="14" t="s">
        <v>1122</v>
      </c>
      <c r="G99" s="14" t="s">
        <v>1123</v>
      </c>
      <c r="H99" s="14">
        <v>1</v>
      </c>
      <c r="I99" s="14" t="s">
        <v>2005</v>
      </c>
      <c r="J99" s="14">
        <v>40</v>
      </c>
      <c r="K99" s="14">
        <f t="shared" si="9"/>
        <v>40</v>
      </c>
      <c r="L99" s="14">
        <v>9</v>
      </c>
      <c r="M99" s="14"/>
      <c r="N99" s="44">
        <f>(K99*Table1[[#This Row],[Ühik2]])+M99</f>
        <v>360</v>
      </c>
      <c r="O99" s="44">
        <f>Table1[[#This Row],[2020. EA ]]*0.338</f>
        <v>121.68</v>
      </c>
      <c r="P99" s="14"/>
    </row>
    <row r="100" spans="1:16" hidden="1" x14ac:dyDescent="0.25">
      <c r="A100" s="14" t="str">
        <f t="shared" si="10"/>
        <v>08</v>
      </c>
      <c r="B100" t="s">
        <v>308</v>
      </c>
      <c r="C100" s="14" t="str">
        <f>VLOOKUP(B100,Table4[],2,FALSE)</f>
        <v>Ulvi Klubi</v>
      </c>
      <c r="D100" s="39" t="str">
        <f>VLOOKUP(Table1[[#This Row],[Tegevusala]],Table4[[Tegevusala kood]:[Tegevusala alanimetus]],4,FALSE)</f>
        <v>Rahvakultuur</v>
      </c>
      <c r="E100" s="14" t="str">
        <f>VLOOKUP(C100,Table4[[Tegevusala nimetus]:[Tegevusala koondnimetus]],2,FALSE)</f>
        <v>Vabaaeg, kultuur ja religioon</v>
      </c>
      <c r="F100" s="14" t="s">
        <v>1122</v>
      </c>
      <c r="G100" s="14" t="s">
        <v>1123</v>
      </c>
      <c r="H100" s="14">
        <v>1</v>
      </c>
      <c r="I100" s="14" t="s">
        <v>2005</v>
      </c>
      <c r="J100" s="14">
        <v>60</v>
      </c>
      <c r="K100" s="14">
        <f t="shared" si="9"/>
        <v>60</v>
      </c>
      <c r="L100" s="14">
        <v>9</v>
      </c>
      <c r="M100" s="14"/>
      <c r="N100" s="44">
        <f>(K100*Table1[[#This Row],[Ühik2]])+M100</f>
        <v>540</v>
      </c>
      <c r="O100" s="44">
        <f>Table1[[#This Row],[2020. EA ]]*0.338</f>
        <v>182.52</v>
      </c>
      <c r="P100" s="14"/>
    </row>
    <row r="101" spans="1:16" hidden="1" x14ac:dyDescent="0.25">
      <c r="A101" s="14" t="str">
        <f t="shared" si="10"/>
        <v>08</v>
      </c>
      <c r="B101" t="s">
        <v>308</v>
      </c>
      <c r="C101" s="14" t="str">
        <f>VLOOKUP(B101,Table4[],2,FALSE)</f>
        <v>Ulvi Klubi</v>
      </c>
      <c r="D101" s="39" t="str">
        <f>VLOOKUP(Table1[[#This Row],[Tegevusala]],Table4[[Tegevusala kood]:[Tegevusala alanimetus]],4,FALSE)</f>
        <v>Rahvakultuur</v>
      </c>
      <c r="E101" s="14" t="str">
        <f>VLOOKUP(C101,Table4[[Tegevusala nimetus]:[Tegevusala koondnimetus]],2,FALSE)</f>
        <v>Vabaaeg, kultuur ja religioon</v>
      </c>
      <c r="F101" s="14" t="s">
        <v>1122</v>
      </c>
      <c r="G101" s="14" t="s">
        <v>916</v>
      </c>
      <c r="H101" s="14">
        <v>2</v>
      </c>
      <c r="I101" s="14" t="s">
        <v>2005</v>
      </c>
      <c r="J101" s="14">
        <v>60</v>
      </c>
      <c r="K101" s="14">
        <f t="shared" si="9"/>
        <v>120</v>
      </c>
      <c r="L101" s="14">
        <v>9</v>
      </c>
      <c r="M101" s="14"/>
      <c r="N101" s="44">
        <f>(K101*Table1[[#This Row],[Ühik2]])+M101</f>
        <v>1080</v>
      </c>
      <c r="O101" s="44">
        <f>Table1[[#This Row],[2020. EA ]]*0.338</f>
        <v>365.04</v>
      </c>
      <c r="P101" s="14"/>
    </row>
    <row r="102" spans="1:16" hidden="1" x14ac:dyDescent="0.25">
      <c r="A102" s="14" t="str">
        <f t="shared" si="10"/>
        <v>08</v>
      </c>
      <c r="B102" t="s">
        <v>308</v>
      </c>
      <c r="C102" s="14" t="str">
        <f>VLOOKUP(B102,Table4[],2,FALSE)</f>
        <v>Ulvi Klubi</v>
      </c>
      <c r="D102" s="39" t="str">
        <f>VLOOKUP(Table1[[#This Row],[Tegevusala]],Table4[[Tegevusala kood]:[Tegevusala alanimetus]],4,FALSE)</f>
        <v>Rahvakultuur</v>
      </c>
      <c r="E102" s="14" t="str">
        <f>VLOOKUP(C102,Table4[[Tegevusala nimetus]:[Tegevusala koondnimetus]],2,FALSE)</f>
        <v>Vabaaeg, kultuur ja religioon</v>
      </c>
      <c r="F102" s="14" t="s">
        <v>1122</v>
      </c>
      <c r="G102" s="14" t="s">
        <v>916</v>
      </c>
      <c r="H102" s="14">
        <v>1</v>
      </c>
      <c r="I102" s="14" t="s">
        <v>2005</v>
      </c>
      <c r="J102" s="14">
        <v>40</v>
      </c>
      <c r="K102" s="14">
        <f t="shared" si="9"/>
        <v>40</v>
      </c>
      <c r="L102" s="14">
        <v>9</v>
      </c>
      <c r="M102" s="14"/>
      <c r="N102" s="44">
        <f>(K102*Table1[[#This Row],[Ühik2]])+M102</f>
        <v>360</v>
      </c>
      <c r="O102" s="44">
        <f>Table1[[#This Row],[2020. EA ]]*0.338</f>
        <v>121.68</v>
      </c>
      <c r="P102" s="14"/>
    </row>
    <row r="103" spans="1:16" x14ac:dyDescent="0.25">
      <c r="A103" s="14" t="str">
        <f t="shared" ref="A103:A115" si="11">LEFT(B103,2)</f>
        <v>09</v>
      </c>
      <c r="B103" t="s">
        <v>309</v>
      </c>
      <c r="C103" s="14" t="str">
        <f>VLOOKUP(B103,Table4[],2,FALSE)</f>
        <v xml:space="preserve"> Vinni Lasteaed</v>
      </c>
      <c r="D103" s="39" t="str">
        <f>VLOOKUP(Table1[[#This Row],[Tegevusala]],Table4[[Tegevusala kood]:[Tegevusala alanimetus]],4,FALSE)</f>
        <v>Alusharidus</v>
      </c>
      <c r="E103" s="14" t="str">
        <f>VLOOKUP(C103,Table4[[Tegevusala nimetus]:[Tegevusala koondnimetus]],2,FALSE)</f>
        <v>Haridus</v>
      </c>
      <c r="F103" t="s">
        <v>1183</v>
      </c>
      <c r="G103" s="14" t="s">
        <v>1184</v>
      </c>
      <c r="H103" s="14">
        <v>1</v>
      </c>
      <c r="I103" s="14"/>
      <c r="J103" s="14">
        <v>1700</v>
      </c>
      <c r="K103" s="14">
        <f t="shared" si="9"/>
        <v>1700</v>
      </c>
      <c r="L103" s="14">
        <v>12</v>
      </c>
      <c r="M103" s="14"/>
      <c r="N103" s="44">
        <f>(K103*Table1[[#This Row],[Ühik2]])+M103</f>
        <v>20400</v>
      </c>
      <c r="O103" s="44">
        <f>Table1[[#This Row],[2020. EA ]]*0.338</f>
        <v>6895.2000000000007</v>
      </c>
      <c r="P103" s="14"/>
    </row>
    <row r="104" spans="1:16" x14ac:dyDescent="0.25">
      <c r="A104" s="14" t="str">
        <f t="shared" si="11"/>
        <v>09</v>
      </c>
      <c r="B104" t="s">
        <v>309</v>
      </c>
      <c r="C104" s="14" t="str">
        <f>VLOOKUP(B104,Table4[],2,FALSE)</f>
        <v xml:space="preserve"> Vinni Lasteaed</v>
      </c>
      <c r="D104" s="39" t="str">
        <f>VLOOKUP(Table1[[#This Row],[Tegevusala]],Table4[[Tegevusala kood]:[Tegevusala alanimetus]],4,FALSE)</f>
        <v>Alusharidus</v>
      </c>
      <c r="E104" s="14" t="str">
        <f>VLOOKUP(C104,Table4[[Tegevusala nimetus]:[Tegevusala koondnimetus]],2,FALSE)</f>
        <v>Haridus</v>
      </c>
      <c r="F104" t="s">
        <v>1183</v>
      </c>
      <c r="G104" s="14" t="s">
        <v>1185</v>
      </c>
      <c r="H104" s="14">
        <v>7</v>
      </c>
      <c r="I104" s="14"/>
      <c r="J104" s="14">
        <v>1315</v>
      </c>
      <c r="K104" s="14">
        <f t="shared" si="9"/>
        <v>9205</v>
      </c>
      <c r="L104" s="14">
        <v>12</v>
      </c>
      <c r="M104" s="14"/>
      <c r="N104" s="44">
        <f>(K104*Table1[[#This Row],[Ühik2]])+M104</f>
        <v>110460</v>
      </c>
      <c r="O104" s="44">
        <f>Table1[[#This Row],[2020. EA ]]*0.338</f>
        <v>37335.480000000003</v>
      </c>
      <c r="P104" s="14"/>
    </row>
    <row r="105" spans="1:16" x14ac:dyDescent="0.25">
      <c r="A105" s="14" t="str">
        <f t="shared" si="11"/>
        <v>09</v>
      </c>
      <c r="B105" t="s">
        <v>309</v>
      </c>
      <c r="C105" s="14" t="str">
        <f>VLOOKUP(B105,Table4[],2,FALSE)</f>
        <v xml:space="preserve"> Vinni Lasteaed</v>
      </c>
      <c r="D105" s="39" t="str">
        <f>VLOOKUP(Table1[[#This Row],[Tegevusala]],Table4[[Tegevusala kood]:[Tegevusala alanimetus]],4,FALSE)</f>
        <v>Alusharidus</v>
      </c>
      <c r="E105" s="14" t="str">
        <f>VLOOKUP(C105,Table4[[Tegevusala nimetus]:[Tegevusala koondnimetus]],2,FALSE)</f>
        <v>Haridus</v>
      </c>
      <c r="F105" t="s">
        <v>1183</v>
      </c>
      <c r="G105" s="14" t="s">
        <v>1186</v>
      </c>
      <c r="H105" s="14">
        <v>5</v>
      </c>
      <c r="I105" s="14"/>
      <c r="J105" s="14">
        <v>1183.5</v>
      </c>
      <c r="K105" s="14">
        <f t="shared" si="9"/>
        <v>5917.5</v>
      </c>
      <c r="L105" s="14">
        <v>12</v>
      </c>
      <c r="M105" s="14"/>
      <c r="N105" s="44">
        <f>(K105*Table1[[#This Row],[Ühik2]])+M105</f>
        <v>71010</v>
      </c>
      <c r="O105" s="44">
        <f>Table1[[#This Row],[2020. EA ]]*0.338</f>
        <v>24001.38</v>
      </c>
      <c r="P105" s="14"/>
    </row>
    <row r="106" spans="1:16" x14ac:dyDescent="0.25">
      <c r="A106" s="14" t="str">
        <f t="shared" si="11"/>
        <v>09</v>
      </c>
      <c r="B106" t="s">
        <v>309</v>
      </c>
      <c r="C106" s="14" t="str">
        <f>VLOOKUP(B106,Table4[],2,FALSE)</f>
        <v xml:space="preserve"> Vinni Lasteaed</v>
      </c>
      <c r="D106" s="39" t="str">
        <f>VLOOKUP(Table1[[#This Row],[Tegevusala]],Table4[[Tegevusala kood]:[Tegevusala alanimetus]],4,FALSE)</f>
        <v>Alusharidus</v>
      </c>
      <c r="E106" s="14" t="str">
        <f>VLOOKUP(C106,Table4[[Tegevusala nimetus]:[Tegevusala koondnimetus]],2,FALSE)</f>
        <v>Haridus</v>
      </c>
      <c r="F106" t="s">
        <v>1183</v>
      </c>
      <c r="G106" s="14" t="s">
        <v>1187</v>
      </c>
      <c r="H106" s="14">
        <v>0.75</v>
      </c>
      <c r="I106" s="14"/>
      <c r="J106" s="14">
        <v>1183.5</v>
      </c>
      <c r="K106" s="14">
        <f t="shared" si="9"/>
        <v>887.625</v>
      </c>
      <c r="L106" s="14">
        <v>12</v>
      </c>
      <c r="M106" s="14"/>
      <c r="N106" s="44">
        <f>(K106*Table1[[#This Row],[Ühik2]])+M106</f>
        <v>10651.5</v>
      </c>
      <c r="O106" s="44">
        <f>Table1[[#This Row],[2020. EA ]]*0.338</f>
        <v>3600.2070000000003</v>
      </c>
      <c r="P106" s="14"/>
    </row>
    <row r="107" spans="1:16" x14ac:dyDescent="0.25">
      <c r="A107" s="14" t="str">
        <f t="shared" si="11"/>
        <v>09</v>
      </c>
      <c r="B107" t="s">
        <v>309</v>
      </c>
      <c r="C107" s="14" t="str">
        <f>VLOOKUP(B107,Table4[],2,FALSE)</f>
        <v xml:space="preserve"> Vinni Lasteaed</v>
      </c>
      <c r="D107" s="39" t="str">
        <f>VLOOKUP(Table1[[#This Row],[Tegevusala]],Table4[[Tegevusala kood]:[Tegevusala alanimetus]],4,FALSE)</f>
        <v>Alusharidus</v>
      </c>
      <c r="E107" s="14" t="str">
        <f>VLOOKUP(C107,Table4[[Tegevusala nimetus]:[Tegevusala koondnimetus]],2,FALSE)</f>
        <v>Haridus</v>
      </c>
      <c r="F107" t="s">
        <v>1183</v>
      </c>
      <c r="G107" s="14" t="s">
        <v>1188</v>
      </c>
      <c r="H107" s="14">
        <v>0.75</v>
      </c>
      <c r="I107" s="14"/>
      <c r="J107" s="14">
        <v>1183.5</v>
      </c>
      <c r="K107" s="14">
        <f t="shared" si="9"/>
        <v>887.625</v>
      </c>
      <c r="L107" s="14">
        <v>12</v>
      </c>
      <c r="M107" s="14"/>
      <c r="N107" s="44">
        <f>(K107*Table1[[#This Row],[Ühik2]])+M107</f>
        <v>10651.5</v>
      </c>
      <c r="O107" s="44">
        <f>Table1[[#This Row],[2020. EA ]]*0.338</f>
        <v>3600.2070000000003</v>
      </c>
      <c r="P107" s="14"/>
    </row>
    <row r="108" spans="1:16" x14ac:dyDescent="0.25">
      <c r="A108" s="14" t="str">
        <f t="shared" si="11"/>
        <v>09</v>
      </c>
      <c r="B108" t="s">
        <v>309</v>
      </c>
      <c r="C108" s="14" t="str">
        <f>VLOOKUP(B108,Table4[],2,FALSE)</f>
        <v xml:space="preserve"> Vinni Lasteaed</v>
      </c>
      <c r="D108" s="39" t="str">
        <f>VLOOKUP(Table1[[#This Row],[Tegevusala]],Table4[[Tegevusala kood]:[Tegevusala alanimetus]],4,FALSE)</f>
        <v>Alusharidus</v>
      </c>
      <c r="E108" s="14" t="str">
        <f>VLOOKUP(C108,Table4[[Tegevusala nimetus]:[Tegevusala koondnimetus]],2,FALSE)</f>
        <v>Haridus</v>
      </c>
      <c r="F108" t="s">
        <v>1183</v>
      </c>
      <c r="G108" s="14" t="s">
        <v>1189</v>
      </c>
      <c r="H108" s="14">
        <v>1</v>
      </c>
      <c r="I108" s="14"/>
      <c r="J108" s="14">
        <v>1315</v>
      </c>
      <c r="K108" s="14">
        <f t="shared" si="9"/>
        <v>1315</v>
      </c>
      <c r="L108" s="14">
        <v>12</v>
      </c>
      <c r="M108" s="14"/>
      <c r="N108" s="44">
        <f>(K108*Table1[[#This Row],[Ühik2]])+M108</f>
        <v>15780</v>
      </c>
      <c r="O108" s="44">
        <f>Table1[[#This Row],[2020. EA ]]*0.338</f>
        <v>5333.64</v>
      </c>
      <c r="P108" s="14"/>
    </row>
    <row r="109" spans="1:16" x14ac:dyDescent="0.25">
      <c r="A109" s="14" t="str">
        <f t="shared" si="11"/>
        <v>09</v>
      </c>
      <c r="B109" t="s">
        <v>309</v>
      </c>
      <c r="C109" s="14" t="str">
        <f>VLOOKUP(B109,Table4[],2,FALSE)</f>
        <v xml:space="preserve"> Vinni Lasteaed</v>
      </c>
      <c r="D109" s="39" t="str">
        <f>VLOOKUP(Table1[[#This Row],[Tegevusala]],Table4[[Tegevusala kood]:[Tegevusala alanimetus]],4,FALSE)</f>
        <v>Alusharidus</v>
      </c>
      <c r="E109" s="14" t="str">
        <f>VLOOKUP(C109,Table4[[Tegevusala nimetus]:[Tegevusala koondnimetus]],2,FALSE)</f>
        <v>Haridus</v>
      </c>
      <c r="F109" t="s">
        <v>1183</v>
      </c>
      <c r="G109" s="14" t="s">
        <v>1190</v>
      </c>
      <c r="H109" s="14">
        <v>6</v>
      </c>
      <c r="I109" s="14"/>
      <c r="J109" s="14">
        <v>702</v>
      </c>
      <c r="K109" s="14">
        <f t="shared" si="9"/>
        <v>4212</v>
      </c>
      <c r="L109" s="14">
        <v>12</v>
      </c>
      <c r="M109" s="14"/>
      <c r="N109" s="44">
        <f>(K109*Table1[[#This Row],[Ühik2]])+M109</f>
        <v>50544</v>
      </c>
      <c r="O109" s="44">
        <f>Table1[[#This Row],[2020. EA ]]*0.338</f>
        <v>17083.871999999999</v>
      </c>
      <c r="P109" s="14"/>
    </row>
    <row r="110" spans="1:16" x14ac:dyDescent="0.25">
      <c r="A110" s="14" t="str">
        <f t="shared" si="11"/>
        <v>09</v>
      </c>
      <c r="B110" t="s">
        <v>309</v>
      </c>
      <c r="C110" s="14" t="str">
        <f>VLOOKUP(B110,Table4[],2,FALSE)</f>
        <v xml:space="preserve"> Vinni Lasteaed</v>
      </c>
      <c r="D110" s="39" t="str">
        <f>VLOOKUP(Table1[[#This Row],[Tegevusala]],Table4[[Tegevusala kood]:[Tegevusala alanimetus]],4,FALSE)</f>
        <v>Alusharidus</v>
      </c>
      <c r="E110" s="14" t="str">
        <f>VLOOKUP(C110,Table4[[Tegevusala nimetus]:[Tegevusala koondnimetus]],2,FALSE)</f>
        <v>Haridus</v>
      </c>
      <c r="F110" t="s">
        <v>1183</v>
      </c>
      <c r="G110" s="14" t="s">
        <v>1191</v>
      </c>
      <c r="H110" s="14">
        <v>1</v>
      </c>
      <c r="I110" s="14"/>
      <c r="J110" s="14">
        <v>702</v>
      </c>
      <c r="K110" s="14">
        <f t="shared" si="9"/>
        <v>702</v>
      </c>
      <c r="L110" s="14">
        <v>12</v>
      </c>
      <c r="M110" s="14"/>
      <c r="N110" s="44">
        <f>(K110*Table1[[#This Row],[Ühik2]])+M110</f>
        <v>8424</v>
      </c>
      <c r="O110" s="44">
        <f>Table1[[#This Row],[2020. EA ]]*0.338</f>
        <v>2847.3120000000004</v>
      </c>
      <c r="P110" s="14"/>
    </row>
    <row r="111" spans="1:16" x14ac:dyDescent="0.25">
      <c r="A111" s="14" t="str">
        <f t="shared" si="11"/>
        <v>09</v>
      </c>
      <c r="B111" t="s">
        <v>309</v>
      </c>
      <c r="C111" s="14" t="str">
        <f>VLOOKUP(B111,Table4[],2,FALSE)</f>
        <v xml:space="preserve"> Vinni Lasteaed</v>
      </c>
      <c r="D111" s="39" t="str">
        <f>VLOOKUP(Table1[[#This Row],[Tegevusala]],Table4[[Tegevusala kood]:[Tegevusala alanimetus]],4,FALSE)</f>
        <v>Alusharidus</v>
      </c>
      <c r="E111" s="14" t="str">
        <f>VLOOKUP(C111,Table4[[Tegevusala nimetus]:[Tegevusala koondnimetus]],2,FALSE)</f>
        <v>Haridus</v>
      </c>
      <c r="F111" t="s">
        <v>1183</v>
      </c>
      <c r="G111" s="14" t="s">
        <v>1192</v>
      </c>
      <c r="H111" s="14">
        <v>1</v>
      </c>
      <c r="I111" s="14"/>
      <c r="J111" s="14">
        <v>600</v>
      </c>
      <c r="K111" s="14">
        <f t="shared" si="9"/>
        <v>600</v>
      </c>
      <c r="L111" s="14">
        <v>12</v>
      </c>
      <c r="M111" s="14"/>
      <c r="N111" s="44">
        <f>(K111*Table1[[#This Row],[Ühik2]])+M111</f>
        <v>7200</v>
      </c>
      <c r="O111" s="44">
        <f>Table1[[#This Row],[2020. EA ]]*0.338</f>
        <v>2433.6000000000004</v>
      </c>
      <c r="P111" s="14"/>
    </row>
    <row r="112" spans="1:16" x14ac:dyDescent="0.25">
      <c r="A112" s="14" t="str">
        <f t="shared" si="11"/>
        <v>09</v>
      </c>
      <c r="B112" t="s">
        <v>309</v>
      </c>
      <c r="C112" s="14" t="str">
        <f>VLOOKUP(B112,Table4[],2,FALSE)</f>
        <v xml:space="preserve"> Vinni Lasteaed</v>
      </c>
      <c r="D112" s="39" t="str">
        <f>VLOOKUP(Table1[[#This Row],[Tegevusala]],Table4[[Tegevusala kood]:[Tegevusala alanimetus]],4,FALSE)</f>
        <v>Alusharidus</v>
      </c>
      <c r="E112" s="14" t="str">
        <f>VLOOKUP(C112,Table4[[Tegevusala nimetus]:[Tegevusala koondnimetus]],2,FALSE)</f>
        <v>Haridus</v>
      </c>
      <c r="F112" t="s">
        <v>1183</v>
      </c>
      <c r="G112" s="14" t="s">
        <v>1192</v>
      </c>
      <c r="H112" s="14">
        <v>1</v>
      </c>
      <c r="I112" s="14"/>
      <c r="J112" s="14">
        <v>664</v>
      </c>
      <c r="K112" s="14">
        <f t="shared" si="9"/>
        <v>664</v>
      </c>
      <c r="L112" s="14">
        <v>12</v>
      </c>
      <c r="M112" s="14"/>
      <c r="N112" s="44">
        <f>(K112*Table1[[#This Row],[Ühik2]])+M112</f>
        <v>7968</v>
      </c>
      <c r="O112" s="44">
        <f>Table1[[#This Row],[2020. EA ]]*0.338</f>
        <v>2693.1840000000002</v>
      </c>
      <c r="P112" s="14"/>
    </row>
    <row r="113" spans="1:16" x14ac:dyDescent="0.25">
      <c r="A113" s="90" t="str">
        <f t="shared" si="11"/>
        <v>09</v>
      </c>
      <c r="B113" s="91" t="s">
        <v>309</v>
      </c>
      <c r="C113" s="90" t="str">
        <f>VLOOKUP(B113,Table4[],2,FALSE)</f>
        <v xml:space="preserve"> Vinni Lasteaed</v>
      </c>
      <c r="D113" s="94" t="str">
        <f>VLOOKUP(Table1[[#This Row],[Tegevusala]],Table4[[Tegevusala kood]:[Tegevusala alanimetus]],4,FALSE)</f>
        <v>Alusharidus</v>
      </c>
      <c r="E113" s="90" t="str">
        <f>VLOOKUP(C113,Table4[[Tegevusala nimetus]:[Tegevusala koondnimetus]],2,FALSE)</f>
        <v>Haridus</v>
      </c>
      <c r="F113" s="91" t="s">
        <v>1183</v>
      </c>
      <c r="G113" s="90" t="s">
        <v>1025</v>
      </c>
      <c r="H113" s="90">
        <v>0.75</v>
      </c>
      <c r="I113" s="90"/>
      <c r="J113" s="90">
        <v>584</v>
      </c>
      <c r="K113" s="90">
        <f t="shared" si="9"/>
        <v>438</v>
      </c>
      <c r="L113" s="90">
        <v>12</v>
      </c>
      <c r="M113" s="90"/>
      <c r="N113" s="92">
        <f>(K113*Table1[[#This Row],[Ühik2]])+M113</f>
        <v>5256</v>
      </c>
      <c r="O113" s="92">
        <f>Table1[[#This Row],[2020. EA ]]*0.338</f>
        <v>1776.528</v>
      </c>
      <c r="P113" s="90"/>
    </row>
    <row r="114" spans="1:16" x14ac:dyDescent="0.25">
      <c r="A114" s="90" t="str">
        <f t="shared" si="11"/>
        <v>09</v>
      </c>
      <c r="B114" s="91" t="s">
        <v>309</v>
      </c>
      <c r="C114" s="90" t="str">
        <f>VLOOKUP(B114,Table4[],2,FALSE)</f>
        <v xml:space="preserve"> Vinni Lasteaed</v>
      </c>
      <c r="D114" s="94" t="str">
        <f>VLOOKUP(Table1[[#This Row],[Tegevusala]],Table4[[Tegevusala kood]:[Tegevusala alanimetus]],4,FALSE)</f>
        <v>Alusharidus</v>
      </c>
      <c r="E114" s="90" t="str">
        <f>VLOOKUP(C114,Table4[[Tegevusala nimetus]:[Tegevusala koondnimetus]],2,FALSE)</f>
        <v>Haridus</v>
      </c>
      <c r="F114" s="91" t="s">
        <v>1183</v>
      </c>
      <c r="G114" s="90" t="s">
        <v>506</v>
      </c>
      <c r="H114" s="90">
        <v>1</v>
      </c>
      <c r="I114" s="90"/>
      <c r="J114" s="90">
        <v>584</v>
      </c>
      <c r="K114" s="90">
        <f t="shared" si="9"/>
        <v>584</v>
      </c>
      <c r="L114" s="90">
        <v>12</v>
      </c>
      <c r="M114" s="90"/>
      <c r="N114" s="92">
        <f>(K114*Table1[[#This Row],[Ühik2]])+M114</f>
        <v>7008</v>
      </c>
      <c r="O114" s="92">
        <f>Table1[[#This Row],[2020. EA ]]*0.338</f>
        <v>2368.7040000000002</v>
      </c>
      <c r="P114" s="90"/>
    </row>
    <row r="115" spans="1:16" x14ac:dyDescent="0.25">
      <c r="A115" s="90" t="str">
        <f t="shared" si="11"/>
        <v>09</v>
      </c>
      <c r="B115" s="91" t="s">
        <v>309</v>
      </c>
      <c r="C115" s="90" t="str">
        <f>VLOOKUP(B115,Table4[],2,FALSE)</f>
        <v xml:space="preserve"> Vinni Lasteaed</v>
      </c>
      <c r="D115" s="94" t="str">
        <f>VLOOKUP(Table1[[#This Row],[Tegevusala]],Table4[[Tegevusala kood]:[Tegevusala alanimetus]],4,FALSE)</f>
        <v>Alusharidus</v>
      </c>
      <c r="E115" s="90" t="str">
        <f>VLOOKUP(C115,Table4[[Tegevusala nimetus]:[Tegevusala koondnimetus]],2,FALSE)</f>
        <v>Haridus</v>
      </c>
      <c r="F115" s="91" t="s">
        <v>1183</v>
      </c>
      <c r="G115" s="90" t="s">
        <v>1193</v>
      </c>
      <c r="H115" s="90">
        <v>2.21</v>
      </c>
      <c r="I115" s="90"/>
      <c r="J115" s="90">
        <v>584</v>
      </c>
      <c r="K115" s="90">
        <f t="shared" si="9"/>
        <v>1290.6399999999999</v>
      </c>
      <c r="L115" s="90">
        <v>12</v>
      </c>
      <c r="M115" s="90"/>
      <c r="N115" s="92">
        <f>(K115*Table1[[#This Row],[Ühik2]])+M115</f>
        <v>15487.679999999998</v>
      </c>
      <c r="O115" s="92">
        <f>Table1[[#This Row],[2020. EA ]]*0.338</f>
        <v>5234.8358399999997</v>
      </c>
      <c r="P115" s="90"/>
    </row>
    <row r="116" spans="1:16" x14ac:dyDescent="0.25">
      <c r="A116" s="14" t="str">
        <f t="shared" ref="A116:A126" si="12">LEFT(B116,2)</f>
        <v>09</v>
      </c>
      <c r="B116" t="s">
        <v>311</v>
      </c>
      <c r="C116" s="14" t="str">
        <f>VLOOKUP(B116,Table4[],2,FALSE)</f>
        <v xml:space="preserve"> Pajusti Lasteaed</v>
      </c>
      <c r="D116" s="39" t="str">
        <f>VLOOKUP(Table1[[#This Row],[Tegevusala]],Table4[[Tegevusala kood]:[Tegevusala alanimetus]],4,FALSE)</f>
        <v>Alusharidus</v>
      </c>
      <c r="E116" s="14" t="str">
        <f>VLOOKUP(C116,Table4[[Tegevusala nimetus]:[Tegevusala koondnimetus]],2,FALSE)</f>
        <v>Haridus</v>
      </c>
      <c r="F116" s="14" t="s">
        <v>1252</v>
      </c>
      <c r="G116" s="14" t="s">
        <v>1244</v>
      </c>
      <c r="H116" s="14">
        <v>2</v>
      </c>
      <c r="I116" s="14"/>
      <c r="J116" s="14">
        <v>1250</v>
      </c>
      <c r="K116" s="14">
        <f t="shared" si="9"/>
        <v>2500</v>
      </c>
      <c r="L116" s="14">
        <v>12</v>
      </c>
      <c r="M116" s="14"/>
      <c r="N116" s="44">
        <f>(K116*Table1[[#This Row],[Ühik2]])+M116</f>
        <v>30000</v>
      </c>
      <c r="O116" s="44">
        <f>Table1[[#This Row],[2020. EA ]]*0.338</f>
        <v>10140</v>
      </c>
      <c r="P116" s="14"/>
    </row>
    <row r="117" spans="1:16" x14ac:dyDescent="0.25">
      <c r="A117" s="14" t="str">
        <f t="shared" si="12"/>
        <v>09</v>
      </c>
      <c r="B117" t="s">
        <v>311</v>
      </c>
      <c r="C117" s="14" t="str">
        <f>VLOOKUP(B117,Table4[],2,FALSE)</f>
        <v xml:space="preserve"> Pajusti Lasteaed</v>
      </c>
      <c r="D117" s="39" t="str">
        <f>VLOOKUP(Table1[[#This Row],[Tegevusala]],Table4[[Tegevusala kood]:[Tegevusala alanimetus]],4,FALSE)</f>
        <v>Alusharidus</v>
      </c>
      <c r="E117" s="14" t="str">
        <f>VLOOKUP(C117,Table4[[Tegevusala nimetus]:[Tegevusala koondnimetus]],2,FALSE)</f>
        <v>Haridus</v>
      </c>
      <c r="F117" s="14" t="s">
        <v>1252</v>
      </c>
      <c r="G117" s="14" t="s">
        <v>1245</v>
      </c>
      <c r="H117" s="14">
        <v>4</v>
      </c>
      <c r="I117" s="14"/>
      <c r="J117" s="14">
        <v>1183.5</v>
      </c>
      <c r="K117" s="14">
        <f t="shared" si="9"/>
        <v>4734</v>
      </c>
      <c r="L117" s="14">
        <v>12</v>
      </c>
      <c r="M117" s="14"/>
      <c r="N117" s="44">
        <f>(K117*Table1[[#This Row],[Ühik2]])+M117</f>
        <v>56808</v>
      </c>
      <c r="O117" s="44">
        <f>Table1[[#This Row],[2020. EA ]]*0.338</f>
        <v>19201.104000000003</v>
      </c>
      <c r="P117" s="14"/>
    </row>
    <row r="118" spans="1:16" x14ac:dyDescent="0.25">
      <c r="A118" s="14" t="str">
        <f t="shared" si="12"/>
        <v>09</v>
      </c>
      <c r="B118" t="s">
        <v>311</v>
      </c>
      <c r="C118" s="14" t="str">
        <f>VLOOKUP(B118,Table4[],2,FALSE)</f>
        <v xml:space="preserve"> Pajusti Lasteaed</v>
      </c>
      <c r="D118" s="39" t="str">
        <f>VLOOKUP(Table1[[#This Row],[Tegevusala]],Table4[[Tegevusala kood]:[Tegevusala alanimetus]],4,FALSE)</f>
        <v>Alusharidus</v>
      </c>
      <c r="E118" s="14" t="str">
        <f>VLOOKUP(C118,Table4[[Tegevusala nimetus]:[Tegevusala koondnimetus]],2,FALSE)</f>
        <v>Haridus</v>
      </c>
      <c r="F118" s="14" t="s">
        <v>1252</v>
      </c>
      <c r="G118" s="14" t="s">
        <v>1246</v>
      </c>
      <c r="H118" s="14">
        <v>0.38</v>
      </c>
      <c r="I118" s="14"/>
      <c r="J118" s="14">
        <v>1315</v>
      </c>
      <c r="K118" s="41">
        <f t="shared" si="9"/>
        <v>499.7</v>
      </c>
      <c r="L118" s="14">
        <v>12</v>
      </c>
      <c r="M118" s="14"/>
      <c r="N118" s="44">
        <f>(K118*Table1[[#This Row],[Ühik2]])+M118</f>
        <v>5996.4</v>
      </c>
      <c r="O118" s="44">
        <f>Table1[[#This Row],[2020. EA ]]*0.338</f>
        <v>2026.7832000000001</v>
      </c>
      <c r="P118" s="14"/>
    </row>
    <row r="119" spans="1:16" x14ac:dyDescent="0.25">
      <c r="A119" s="14" t="str">
        <f t="shared" si="12"/>
        <v>09</v>
      </c>
      <c r="B119" t="s">
        <v>311</v>
      </c>
      <c r="C119" s="14" t="str">
        <f>VLOOKUP(B119,Table4[],2,FALSE)</f>
        <v xml:space="preserve"> Pajusti Lasteaed</v>
      </c>
      <c r="D119" s="39" t="str">
        <f>VLOOKUP(Table1[[#This Row],[Tegevusala]],Table4[[Tegevusala kood]:[Tegevusala alanimetus]],4,FALSE)</f>
        <v>Alusharidus</v>
      </c>
      <c r="E119" s="14" t="str">
        <f>VLOOKUP(C119,Table4[[Tegevusala nimetus]:[Tegevusala koondnimetus]],2,FALSE)</f>
        <v>Haridus</v>
      </c>
      <c r="F119" s="14" t="s">
        <v>1252</v>
      </c>
      <c r="G119" s="14" t="s">
        <v>1247</v>
      </c>
      <c r="H119" s="14">
        <v>0.25</v>
      </c>
      <c r="I119" s="14"/>
      <c r="J119" s="14">
        <v>1252</v>
      </c>
      <c r="K119" s="14">
        <f t="shared" si="9"/>
        <v>313</v>
      </c>
      <c r="L119" s="14">
        <v>12</v>
      </c>
      <c r="M119" s="14"/>
      <c r="N119" s="44">
        <f>(K119*Table1[[#This Row],[Ühik2]])+M119</f>
        <v>3756</v>
      </c>
      <c r="O119" s="44">
        <f>Table1[[#This Row],[2020. EA ]]*0.338</f>
        <v>1269.528</v>
      </c>
      <c r="P119" s="14"/>
    </row>
    <row r="120" spans="1:16" x14ac:dyDescent="0.25">
      <c r="A120" s="14" t="str">
        <f t="shared" si="12"/>
        <v>09</v>
      </c>
      <c r="B120" t="s">
        <v>311</v>
      </c>
      <c r="C120" s="14" t="str">
        <f>VLOOKUP(B120,Table4[],2,FALSE)</f>
        <v xml:space="preserve"> Pajusti Lasteaed</v>
      </c>
      <c r="D120" s="39" t="str">
        <f>VLOOKUP(Table1[[#This Row],[Tegevusala]],Table4[[Tegevusala kood]:[Tegevusala alanimetus]],4,FALSE)</f>
        <v>Alusharidus</v>
      </c>
      <c r="E120" s="14" t="str">
        <f>VLOOKUP(C120,Table4[[Tegevusala nimetus]:[Tegevusala koondnimetus]],2,FALSE)</f>
        <v>Haridus</v>
      </c>
      <c r="F120" s="14" t="s">
        <v>1252</v>
      </c>
      <c r="G120" s="14" t="s">
        <v>1248</v>
      </c>
      <c r="H120" s="14">
        <v>0.13</v>
      </c>
      <c r="I120" s="14"/>
      <c r="J120" s="14">
        <v>1183.5</v>
      </c>
      <c r="K120" s="41">
        <f t="shared" si="9"/>
        <v>153.85500000000002</v>
      </c>
      <c r="L120" s="14">
        <v>7</v>
      </c>
      <c r="M120" s="14"/>
      <c r="N120" s="44">
        <f>(K120*Table1[[#This Row],[Ühik2]])+M120</f>
        <v>1076.9850000000001</v>
      </c>
      <c r="O120" s="44">
        <f>Table1[[#This Row],[2020. EA ]]*0.338</f>
        <v>364.02093000000008</v>
      </c>
      <c r="P120" s="14"/>
    </row>
    <row r="121" spans="1:16" x14ac:dyDescent="0.25">
      <c r="A121" s="14" t="str">
        <f t="shared" si="12"/>
        <v>09</v>
      </c>
      <c r="B121" t="s">
        <v>311</v>
      </c>
      <c r="C121" s="14" t="str">
        <f>VLOOKUP(B121,Table4[],2,FALSE)</f>
        <v xml:space="preserve"> Pajusti Lasteaed</v>
      </c>
      <c r="D121" s="39" t="str">
        <f>VLOOKUP(Table1[[#This Row],[Tegevusala]],Table4[[Tegevusala kood]:[Tegevusala alanimetus]],4,FALSE)</f>
        <v>Alusharidus</v>
      </c>
      <c r="E121" s="14" t="str">
        <f>VLOOKUP(C121,Table4[[Tegevusala nimetus]:[Tegevusala koondnimetus]],2,FALSE)</f>
        <v>Haridus</v>
      </c>
      <c r="F121" s="14" t="s">
        <v>1252</v>
      </c>
      <c r="G121" s="14" t="s">
        <v>1249</v>
      </c>
      <c r="H121" s="14">
        <v>3</v>
      </c>
      <c r="I121" s="14"/>
      <c r="J121" s="14">
        <v>702</v>
      </c>
      <c r="K121" s="14">
        <f t="shared" si="9"/>
        <v>2106</v>
      </c>
      <c r="L121" s="14">
        <v>12</v>
      </c>
      <c r="M121" s="14"/>
      <c r="N121" s="44">
        <f>(K121*Table1[[#This Row],[Ühik2]])+M121</f>
        <v>25272</v>
      </c>
      <c r="O121" s="44">
        <f>Table1[[#This Row],[2020. EA ]]*0.338</f>
        <v>8541.9359999999997</v>
      </c>
      <c r="P121" s="14"/>
    </row>
    <row r="122" spans="1:16" x14ac:dyDescent="0.25">
      <c r="A122" s="14" t="str">
        <f t="shared" si="12"/>
        <v>09</v>
      </c>
      <c r="B122" t="s">
        <v>311</v>
      </c>
      <c r="C122" s="14" t="str">
        <f>VLOOKUP(B122,Table4[],2,FALSE)</f>
        <v xml:space="preserve"> Pajusti Lasteaed</v>
      </c>
      <c r="D122" s="39" t="str">
        <f>VLOOKUP(Table1[[#This Row],[Tegevusala]],Table4[[Tegevusala kood]:[Tegevusala alanimetus]],4,FALSE)</f>
        <v>Alusharidus</v>
      </c>
      <c r="E122" s="14" t="str">
        <f>VLOOKUP(C122,Table4[[Tegevusala nimetus]:[Tegevusala koondnimetus]],2,FALSE)</f>
        <v>Haridus</v>
      </c>
      <c r="F122" s="14" t="s">
        <v>1252</v>
      </c>
      <c r="G122" s="14" t="s">
        <v>466</v>
      </c>
      <c r="H122" s="14">
        <v>1</v>
      </c>
      <c r="I122" s="14"/>
      <c r="J122" s="14">
        <v>696</v>
      </c>
      <c r="K122" s="14">
        <f t="shared" si="9"/>
        <v>696</v>
      </c>
      <c r="L122" s="14">
        <v>12</v>
      </c>
      <c r="M122" s="14"/>
      <c r="N122" s="44">
        <f>(K122*Table1[[#This Row],[Ühik2]])+M122</f>
        <v>8352</v>
      </c>
      <c r="O122" s="44">
        <f>Table1[[#This Row],[2020. EA ]]*0.338</f>
        <v>2822.9760000000001</v>
      </c>
      <c r="P122" s="14"/>
    </row>
    <row r="123" spans="1:16" x14ac:dyDescent="0.25">
      <c r="A123" s="14" t="str">
        <f t="shared" si="12"/>
        <v>09</v>
      </c>
      <c r="B123" t="s">
        <v>311</v>
      </c>
      <c r="C123" s="14" t="str">
        <f>VLOOKUP(B123,Table4[],2,FALSE)</f>
        <v xml:space="preserve"> Pajusti Lasteaed</v>
      </c>
      <c r="D123" s="39" t="str">
        <f>VLOOKUP(Table1[[#This Row],[Tegevusala]],Table4[[Tegevusala kood]:[Tegevusala alanimetus]],4,FALSE)</f>
        <v>Alusharidus</v>
      </c>
      <c r="E123" s="14" t="str">
        <f>VLOOKUP(C123,Table4[[Tegevusala nimetus]:[Tegevusala koondnimetus]],2,FALSE)</f>
        <v>Haridus</v>
      </c>
      <c r="F123" s="14" t="s">
        <v>1252</v>
      </c>
      <c r="G123" s="14" t="s">
        <v>1250</v>
      </c>
      <c r="H123" s="14">
        <v>0.3</v>
      </c>
      <c r="I123" s="14"/>
      <c r="J123" s="14">
        <v>1315</v>
      </c>
      <c r="K123" s="14">
        <f t="shared" si="9"/>
        <v>394.5</v>
      </c>
      <c r="L123" s="14">
        <v>8</v>
      </c>
      <c r="M123" s="14"/>
      <c r="N123" s="44">
        <f>(K123*Table1[[#This Row],[Ühik2]])+M123</f>
        <v>3156</v>
      </c>
      <c r="O123" s="44">
        <f>Table1[[#This Row],[2020. EA ]]*0.338</f>
        <v>1066.7280000000001</v>
      </c>
      <c r="P123" s="14"/>
    </row>
    <row r="124" spans="1:16" x14ac:dyDescent="0.25">
      <c r="A124" s="90" t="str">
        <f t="shared" si="12"/>
        <v>09</v>
      </c>
      <c r="B124" s="91" t="s">
        <v>311</v>
      </c>
      <c r="C124" s="90" t="str">
        <f>VLOOKUP(B124,Table4[],2,FALSE)</f>
        <v xml:space="preserve"> Pajusti Lasteaed</v>
      </c>
      <c r="D124" s="94" t="str">
        <f>VLOOKUP(Table1[[#This Row],[Tegevusala]],Table4[[Tegevusala kood]:[Tegevusala alanimetus]],4,FALSE)</f>
        <v>Alusharidus</v>
      </c>
      <c r="E124" s="90" t="str">
        <f>VLOOKUP(C124,Table4[[Tegevusala nimetus]:[Tegevusala koondnimetus]],2,FALSE)</f>
        <v>Haridus</v>
      </c>
      <c r="F124" s="90" t="s">
        <v>1252</v>
      </c>
      <c r="G124" s="90" t="s">
        <v>469</v>
      </c>
      <c r="H124" s="90">
        <v>0.5</v>
      </c>
      <c r="I124" s="90"/>
      <c r="J124" s="90">
        <v>584</v>
      </c>
      <c r="K124" s="90">
        <f t="shared" si="9"/>
        <v>292</v>
      </c>
      <c r="L124" s="90">
        <v>12</v>
      </c>
      <c r="M124" s="90"/>
      <c r="N124" s="92">
        <f>(K124*Table1[[#This Row],[Ühik2]])+M124</f>
        <v>3504</v>
      </c>
      <c r="O124" s="92">
        <f>Table1[[#This Row],[2020. EA ]]*0.338</f>
        <v>1184.3520000000001</v>
      </c>
      <c r="P124" s="90"/>
    </row>
    <row r="125" spans="1:16" x14ac:dyDescent="0.25">
      <c r="A125" s="90" t="str">
        <f t="shared" si="12"/>
        <v>09</v>
      </c>
      <c r="B125" s="91" t="s">
        <v>311</v>
      </c>
      <c r="C125" s="90" t="str">
        <f>VLOOKUP(B125,Table4[],2,FALSE)</f>
        <v xml:space="preserve"> Pajusti Lasteaed</v>
      </c>
      <c r="D125" s="94" t="str">
        <f>VLOOKUP(Table1[[#This Row],[Tegevusala]],Table4[[Tegevusala kood]:[Tegevusala alanimetus]],4,FALSE)</f>
        <v>Alusharidus</v>
      </c>
      <c r="E125" s="90" t="str">
        <f>VLOOKUP(C125,Table4[[Tegevusala nimetus]:[Tegevusala koondnimetus]],2,FALSE)</f>
        <v>Haridus</v>
      </c>
      <c r="F125" s="90" t="s">
        <v>1252</v>
      </c>
      <c r="G125" s="90" t="s">
        <v>461</v>
      </c>
      <c r="H125" s="90">
        <v>1</v>
      </c>
      <c r="I125" s="90"/>
      <c r="J125" s="90">
        <v>584</v>
      </c>
      <c r="K125" s="90">
        <f t="shared" si="9"/>
        <v>584</v>
      </c>
      <c r="L125" s="90">
        <v>12</v>
      </c>
      <c r="M125" s="90"/>
      <c r="N125" s="92">
        <f>(K125*Table1[[#This Row],[Ühik2]])+M125</f>
        <v>7008</v>
      </c>
      <c r="O125" s="92">
        <f>Table1[[#This Row],[2020. EA ]]*0.338</f>
        <v>2368.7040000000002</v>
      </c>
      <c r="P125" s="90"/>
    </row>
    <row r="126" spans="1:16" x14ac:dyDescent="0.25">
      <c r="A126" s="14" t="str">
        <f t="shared" si="12"/>
        <v>09</v>
      </c>
      <c r="B126" t="s">
        <v>311</v>
      </c>
      <c r="C126" s="14" t="str">
        <f>VLOOKUP(B126,Table4[],2,FALSE)</f>
        <v xml:space="preserve"> Pajusti Lasteaed</v>
      </c>
      <c r="D126" s="39" t="str">
        <f>VLOOKUP(Table1[[#This Row],[Tegevusala]],Table4[[Tegevusala kood]:[Tegevusala alanimetus]],4,FALSE)</f>
        <v>Alusharidus</v>
      </c>
      <c r="E126" s="14" t="str">
        <f>VLOOKUP(C126,Table4[[Tegevusala nimetus]:[Tegevusala koondnimetus]],2,FALSE)</f>
        <v>Haridus</v>
      </c>
      <c r="F126" s="14" t="s">
        <v>1252</v>
      </c>
      <c r="G126" s="14" t="s">
        <v>509</v>
      </c>
      <c r="H126" s="14">
        <v>1</v>
      </c>
      <c r="I126" s="14"/>
      <c r="J126" s="14">
        <v>1383</v>
      </c>
      <c r="K126" s="14">
        <f t="shared" si="9"/>
        <v>1383</v>
      </c>
      <c r="L126" s="14">
        <v>12</v>
      </c>
      <c r="M126" s="14"/>
      <c r="N126" s="44">
        <f>(K126*Table1[[#This Row],[Ühik2]])+M126</f>
        <v>16596</v>
      </c>
      <c r="O126" s="44">
        <f>Table1[[#This Row],[2020. EA ]]*0.338</f>
        <v>5609.4480000000003</v>
      </c>
      <c r="P126" s="14"/>
    </row>
    <row r="127" spans="1:16" x14ac:dyDescent="0.25">
      <c r="A127" s="14" t="str">
        <f>LEFT(B127,2)</f>
        <v>09</v>
      </c>
      <c r="B127" t="s">
        <v>311</v>
      </c>
      <c r="C127" s="14" t="str">
        <f>VLOOKUP(B127,Table4[],2,FALSE)</f>
        <v xml:space="preserve"> Pajusti Lasteaed</v>
      </c>
      <c r="D127" s="39" t="str">
        <f>VLOOKUP(Table1[[#This Row],[Tegevusala]],Table4[[Tegevusala kood]:[Tegevusala alanimetus]],4,FALSE)</f>
        <v>Alusharidus</v>
      </c>
      <c r="E127" s="14" t="str">
        <f>VLOOKUP(C127,Table4[[Tegevusala nimetus]:[Tegevusala koondnimetus]],2,FALSE)</f>
        <v>Haridus</v>
      </c>
      <c r="F127" s="14" t="s">
        <v>1252</v>
      </c>
      <c r="G127" s="14" t="s">
        <v>1253</v>
      </c>
      <c r="H127" s="14">
        <v>1</v>
      </c>
      <c r="I127" s="14"/>
      <c r="J127" s="14"/>
      <c r="K127" s="14">
        <f t="shared" ref="K127:K190" si="13">H127*J127</f>
        <v>0</v>
      </c>
      <c r="L127" s="14"/>
      <c r="M127" s="14">
        <v>1700</v>
      </c>
      <c r="N127" s="44">
        <f>(K127*Table1[[#This Row],[Ühik2]])+M127</f>
        <v>1700</v>
      </c>
      <c r="O127" s="44">
        <f>Table1[[#This Row],[2020. EA ]]*0.338</f>
        <v>574.6</v>
      </c>
      <c r="P127" s="14"/>
    </row>
    <row r="128" spans="1:16" x14ac:dyDescent="0.25">
      <c r="A128" s="14" t="str">
        <f t="shared" ref="A128:A141" si="14">LEFT(B128,2)</f>
        <v>09</v>
      </c>
      <c r="B128" t="s">
        <v>313</v>
      </c>
      <c r="C128" s="14" t="str">
        <f>VLOOKUP(B128,Table4[],2,FALSE)</f>
        <v xml:space="preserve"> Kulina Lasteaed</v>
      </c>
      <c r="D128" s="39" t="str">
        <f>VLOOKUP(Table1[[#This Row],[Tegevusala]],Table4[[Tegevusala kood]:[Tegevusala alanimetus]],4,FALSE)</f>
        <v>Alusharidus</v>
      </c>
      <c r="E128" s="14" t="str">
        <f>VLOOKUP(C128,Table4[[Tegevusala nimetus]:[Tegevusala koondnimetus]],2,FALSE)</f>
        <v>Haridus</v>
      </c>
      <c r="F128" s="14" t="s">
        <v>1293</v>
      </c>
      <c r="G128" s="14" t="s">
        <v>509</v>
      </c>
      <c r="H128" s="14">
        <v>1</v>
      </c>
      <c r="I128" s="14"/>
      <c r="J128" s="14">
        <v>1315</v>
      </c>
      <c r="K128" s="14">
        <f t="shared" si="13"/>
        <v>1315</v>
      </c>
      <c r="L128" s="14">
        <v>12</v>
      </c>
      <c r="M128" s="14">
        <v>3120</v>
      </c>
      <c r="N128" s="44">
        <f>(K128*Table1[[#This Row],[Ühik2]])+M128</f>
        <v>18900</v>
      </c>
      <c r="O128" s="44">
        <f>Table1[[#This Row],[2020. EA ]]*0.338</f>
        <v>6388.2000000000007</v>
      </c>
      <c r="P128" s="14" t="s">
        <v>1291</v>
      </c>
    </row>
    <row r="129" spans="1:16" x14ac:dyDescent="0.25">
      <c r="A129" s="14" t="str">
        <f t="shared" si="14"/>
        <v>09</v>
      </c>
      <c r="B129" t="s">
        <v>313</v>
      </c>
      <c r="C129" s="14" t="str">
        <f>VLOOKUP(B129,Table4[],2,FALSE)</f>
        <v xml:space="preserve"> Kulina Lasteaed</v>
      </c>
      <c r="D129" s="39" t="str">
        <f>VLOOKUP(Table1[[#This Row],[Tegevusala]],Table4[[Tegevusala kood]:[Tegevusala alanimetus]],4,FALSE)</f>
        <v>Alusharidus</v>
      </c>
      <c r="E129" s="14" t="str">
        <f>VLOOKUP(C129,Table4[[Tegevusala nimetus]:[Tegevusala koondnimetus]],2,FALSE)</f>
        <v>Haridus</v>
      </c>
      <c r="F129" s="14" t="s">
        <v>1293</v>
      </c>
      <c r="G129" s="14" t="s">
        <v>1287</v>
      </c>
      <c r="H129" s="14">
        <v>1</v>
      </c>
      <c r="I129" s="14"/>
      <c r="J129" s="14">
        <v>1183.5</v>
      </c>
      <c r="K129" s="14">
        <f t="shared" si="13"/>
        <v>1183.5</v>
      </c>
      <c r="L129" s="14">
        <v>12</v>
      </c>
      <c r="M129" s="14"/>
      <c r="N129" s="44">
        <f>(K129*Table1[[#This Row],[Ühik2]])+M129</f>
        <v>14202</v>
      </c>
      <c r="O129" s="44">
        <f>Table1[[#This Row],[2020. EA ]]*0.338</f>
        <v>4800.2760000000007</v>
      </c>
      <c r="P129" s="14"/>
    </row>
    <row r="130" spans="1:16" x14ac:dyDescent="0.25">
      <c r="A130" s="14" t="str">
        <f t="shared" si="14"/>
        <v>09</v>
      </c>
      <c r="B130" t="s">
        <v>313</v>
      </c>
      <c r="C130" s="14" t="str">
        <f>VLOOKUP(B130,Table4[],2,FALSE)</f>
        <v xml:space="preserve"> Kulina Lasteaed</v>
      </c>
      <c r="D130" s="39" t="str">
        <f>VLOOKUP(Table1[[#This Row],[Tegevusala]],Table4[[Tegevusala kood]:[Tegevusala alanimetus]],4,FALSE)</f>
        <v>Alusharidus</v>
      </c>
      <c r="E130" s="14" t="str">
        <f>VLOOKUP(C130,Table4[[Tegevusala nimetus]:[Tegevusala koondnimetus]],2,FALSE)</f>
        <v>Haridus</v>
      </c>
      <c r="F130" s="14" t="s">
        <v>1293</v>
      </c>
      <c r="G130" s="14" t="s">
        <v>1287</v>
      </c>
      <c r="H130" s="14">
        <v>1</v>
      </c>
      <c r="I130" s="14"/>
      <c r="J130" s="14">
        <v>1183.5</v>
      </c>
      <c r="K130" s="14">
        <f t="shared" si="13"/>
        <v>1183.5</v>
      </c>
      <c r="L130" s="14">
        <v>12</v>
      </c>
      <c r="M130" s="14"/>
      <c r="N130" s="44">
        <f>(K130*Table1[[#This Row],[Ühik2]])+M130</f>
        <v>14202</v>
      </c>
      <c r="O130" s="44">
        <f>Table1[[#This Row],[2020. EA ]]*0.338</f>
        <v>4800.2760000000007</v>
      </c>
      <c r="P130" s="14"/>
    </row>
    <row r="131" spans="1:16" x14ac:dyDescent="0.25">
      <c r="A131" s="14" t="str">
        <f t="shared" si="14"/>
        <v>09</v>
      </c>
      <c r="B131" t="s">
        <v>313</v>
      </c>
      <c r="C131" s="14" t="str">
        <f>VLOOKUP(B131,Table4[],2,FALSE)</f>
        <v xml:space="preserve"> Kulina Lasteaed</v>
      </c>
      <c r="D131" s="39" t="str">
        <f>VLOOKUP(Table1[[#This Row],[Tegevusala]],Table4[[Tegevusala kood]:[Tegevusala alanimetus]],4,FALSE)</f>
        <v>Alusharidus</v>
      </c>
      <c r="E131" s="14" t="str">
        <f>VLOOKUP(C131,Table4[[Tegevusala nimetus]:[Tegevusala koondnimetus]],2,FALSE)</f>
        <v>Haridus</v>
      </c>
      <c r="F131" s="14" t="s">
        <v>1293</v>
      </c>
      <c r="G131" s="14" t="s">
        <v>1287</v>
      </c>
      <c r="H131" s="14">
        <v>0.75</v>
      </c>
      <c r="I131" s="14"/>
      <c r="J131" s="14">
        <v>1183.5</v>
      </c>
      <c r="K131" s="41">
        <f t="shared" si="13"/>
        <v>887.625</v>
      </c>
      <c r="L131" s="14">
        <v>12</v>
      </c>
      <c r="M131" s="14"/>
      <c r="N131" s="44">
        <f>(K131*Table1[[#This Row],[Ühik2]])+M131</f>
        <v>10651.5</v>
      </c>
      <c r="O131" s="44">
        <f>Table1[[#This Row],[2020. EA ]]*0.338</f>
        <v>3600.2070000000003</v>
      </c>
      <c r="P131" s="14"/>
    </row>
    <row r="132" spans="1:16" x14ac:dyDescent="0.25">
      <c r="A132" s="14" t="str">
        <f t="shared" si="14"/>
        <v>09</v>
      </c>
      <c r="B132" t="s">
        <v>313</v>
      </c>
      <c r="C132" s="14" t="str">
        <f>VLOOKUP(B132,Table4[],2,FALSE)</f>
        <v xml:space="preserve"> Kulina Lasteaed</v>
      </c>
      <c r="D132" s="39" t="str">
        <f>VLOOKUP(Table1[[#This Row],[Tegevusala]],Table4[[Tegevusala kood]:[Tegevusala alanimetus]],4,FALSE)</f>
        <v>Alusharidus</v>
      </c>
      <c r="E132" s="14" t="str">
        <f>VLOOKUP(C132,Table4[[Tegevusala nimetus]:[Tegevusala koondnimetus]],2,FALSE)</f>
        <v>Haridus</v>
      </c>
      <c r="F132" s="14" t="s">
        <v>1293</v>
      </c>
      <c r="G132" s="14" t="s">
        <v>1287</v>
      </c>
      <c r="H132" s="14">
        <v>0.75</v>
      </c>
      <c r="I132" s="14"/>
      <c r="J132" s="14">
        <v>1183.5</v>
      </c>
      <c r="K132" s="41">
        <f t="shared" si="13"/>
        <v>887.625</v>
      </c>
      <c r="L132" s="14">
        <v>12</v>
      </c>
      <c r="M132" s="14"/>
      <c r="N132" s="44">
        <f>(K132*Table1[[#This Row],[Ühik2]])+M132</f>
        <v>10651.5</v>
      </c>
      <c r="O132" s="44">
        <f>Table1[[#This Row],[2020. EA ]]*0.338</f>
        <v>3600.2070000000003</v>
      </c>
      <c r="P132" s="14"/>
    </row>
    <row r="133" spans="1:16" x14ac:dyDescent="0.25">
      <c r="A133" s="14" t="str">
        <f t="shared" si="14"/>
        <v>09</v>
      </c>
      <c r="B133" t="s">
        <v>313</v>
      </c>
      <c r="C133" s="14" t="str">
        <f>VLOOKUP(B133,Table4[],2,FALSE)</f>
        <v xml:space="preserve"> Kulina Lasteaed</v>
      </c>
      <c r="D133" s="39" t="str">
        <f>VLOOKUP(Table1[[#This Row],[Tegevusala]],Table4[[Tegevusala kood]:[Tegevusala alanimetus]],4,FALSE)</f>
        <v>Alusharidus</v>
      </c>
      <c r="E133" s="14" t="str">
        <f>VLOOKUP(C133,Table4[[Tegevusala nimetus]:[Tegevusala koondnimetus]],2,FALSE)</f>
        <v>Haridus</v>
      </c>
      <c r="F133" s="14" t="s">
        <v>1293</v>
      </c>
      <c r="G133" s="14" t="s">
        <v>1247</v>
      </c>
      <c r="H133" s="14">
        <v>0.25</v>
      </c>
      <c r="I133" s="14"/>
      <c r="J133" s="14">
        <v>1183.5</v>
      </c>
      <c r="K133" s="41">
        <f t="shared" si="13"/>
        <v>295.875</v>
      </c>
      <c r="L133" s="14">
        <v>12</v>
      </c>
      <c r="M133" s="14"/>
      <c r="N133" s="44">
        <f>(K133*Table1[[#This Row],[Ühik2]])+M133</f>
        <v>3550.5</v>
      </c>
      <c r="O133" s="44">
        <f>Table1[[#This Row],[2020. EA ]]*0.338</f>
        <v>1200.0690000000002</v>
      </c>
      <c r="P133" s="14"/>
    </row>
    <row r="134" spans="1:16" x14ac:dyDescent="0.25">
      <c r="A134" s="14" t="str">
        <f t="shared" si="14"/>
        <v>09</v>
      </c>
      <c r="B134" t="s">
        <v>313</v>
      </c>
      <c r="C134" s="14" t="str">
        <f>VLOOKUP(B134,Table4[],2,FALSE)</f>
        <v xml:space="preserve"> Kulina Lasteaed</v>
      </c>
      <c r="D134" s="39" t="str">
        <f>VLOOKUP(Table1[[#This Row],[Tegevusala]],Table4[[Tegevusala kood]:[Tegevusala alanimetus]],4,FALSE)</f>
        <v>Alusharidus</v>
      </c>
      <c r="E134" s="14" t="str">
        <f>VLOOKUP(C134,Table4[[Tegevusala nimetus]:[Tegevusala koondnimetus]],2,FALSE)</f>
        <v>Haridus</v>
      </c>
      <c r="F134" s="14" t="s">
        <v>1293</v>
      </c>
      <c r="G134" s="14" t="s">
        <v>1246</v>
      </c>
      <c r="H134" s="14">
        <v>0.25</v>
      </c>
      <c r="I134" s="14"/>
      <c r="J134" s="14">
        <v>1183.5</v>
      </c>
      <c r="K134" s="41">
        <f t="shared" si="13"/>
        <v>295.875</v>
      </c>
      <c r="L134" s="14">
        <v>12</v>
      </c>
      <c r="M134" s="14"/>
      <c r="N134" s="44">
        <f>(K134*Table1[[#This Row],[Ühik2]])+M134</f>
        <v>3550.5</v>
      </c>
      <c r="O134" s="44">
        <f>Table1[[#This Row],[2020. EA ]]*0.338</f>
        <v>1200.0690000000002</v>
      </c>
      <c r="P134" s="14"/>
    </row>
    <row r="135" spans="1:16" x14ac:dyDescent="0.25">
      <c r="A135" s="14" t="str">
        <f t="shared" si="14"/>
        <v>09</v>
      </c>
      <c r="B135" t="s">
        <v>313</v>
      </c>
      <c r="C135" s="14" t="str">
        <f>VLOOKUP(B135,Table4[],2,FALSE)</f>
        <v xml:space="preserve"> Kulina Lasteaed</v>
      </c>
      <c r="D135" s="39" t="str">
        <f>VLOOKUP(Table1[[#This Row],[Tegevusala]],Table4[[Tegevusala kood]:[Tegevusala alanimetus]],4,FALSE)</f>
        <v>Alusharidus</v>
      </c>
      <c r="E135" s="14" t="str">
        <f>VLOOKUP(C135,Table4[[Tegevusala nimetus]:[Tegevusala koondnimetus]],2,FALSE)</f>
        <v>Haridus</v>
      </c>
      <c r="F135" s="14" t="s">
        <v>1293</v>
      </c>
      <c r="G135" s="14" t="s">
        <v>1249</v>
      </c>
      <c r="H135" s="14">
        <v>1</v>
      </c>
      <c r="I135" s="14"/>
      <c r="J135" s="14">
        <v>652</v>
      </c>
      <c r="K135" s="14">
        <f t="shared" si="13"/>
        <v>652</v>
      </c>
      <c r="L135" s="14">
        <v>12</v>
      </c>
      <c r="M135" s="14"/>
      <c r="N135" s="44">
        <f>(K135*Table1[[#This Row],[Ühik2]])+M135</f>
        <v>7824</v>
      </c>
      <c r="O135" s="44">
        <f>Table1[[#This Row],[2020. EA ]]*0.338</f>
        <v>2644.5120000000002</v>
      </c>
      <c r="P135" s="14"/>
    </row>
    <row r="136" spans="1:16" x14ac:dyDescent="0.25">
      <c r="A136" s="14" t="str">
        <f t="shared" si="14"/>
        <v>09</v>
      </c>
      <c r="B136" t="s">
        <v>313</v>
      </c>
      <c r="C136" s="14" t="str">
        <f>VLOOKUP(B136,Table4[],2,FALSE)</f>
        <v xml:space="preserve"> Kulina Lasteaed</v>
      </c>
      <c r="D136" s="39" t="str">
        <f>VLOOKUP(Table1[[#This Row],[Tegevusala]],Table4[[Tegevusala kood]:[Tegevusala alanimetus]],4,FALSE)</f>
        <v>Alusharidus</v>
      </c>
      <c r="E136" s="14" t="str">
        <f>VLOOKUP(C136,Table4[[Tegevusala nimetus]:[Tegevusala koondnimetus]],2,FALSE)</f>
        <v>Haridus</v>
      </c>
      <c r="F136" s="14" t="s">
        <v>1293</v>
      </c>
      <c r="G136" s="14" t="s">
        <v>1249</v>
      </c>
      <c r="H136" s="14">
        <v>0.8</v>
      </c>
      <c r="I136" s="14"/>
      <c r="J136" s="14">
        <v>652.5</v>
      </c>
      <c r="K136" s="14">
        <f t="shared" si="13"/>
        <v>522</v>
      </c>
      <c r="L136" s="14">
        <v>12</v>
      </c>
      <c r="M136" s="14"/>
      <c r="N136" s="44">
        <f>(K136*Table1[[#This Row],[Ühik2]])+M136</f>
        <v>6264</v>
      </c>
      <c r="O136" s="44">
        <f>Table1[[#This Row],[2020. EA ]]*0.338</f>
        <v>2117.232</v>
      </c>
      <c r="P136" s="14"/>
    </row>
    <row r="137" spans="1:16" x14ac:dyDescent="0.25">
      <c r="A137" s="14" t="str">
        <f t="shared" si="14"/>
        <v>09</v>
      </c>
      <c r="B137" t="s">
        <v>313</v>
      </c>
      <c r="C137" s="14" t="str">
        <f>VLOOKUP(B137,Table4[],2,FALSE)</f>
        <v xml:space="preserve"> Kulina Lasteaed</v>
      </c>
      <c r="D137" s="39" t="str">
        <f>VLOOKUP(Table1[[#This Row],[Tegevusala]],Table4[[Tegevusala kood]:[Tegevusala alanimetus]],4,FALSE)</f>
        <v>Alusharidus</v>
      </c>
      <c r="E137" s="14" t="str">
        <f>VLOOKUP(C137,Table4[[Tegevusala nimetus]:[Tegevusala koondnimetus]],2,FALSE)</f>
        <v>Haridus</v>
      </c>
      <c r="F137" s="14" t="s">
        <v>1293</v>
      </c>
      <c r="G137" s="14" t="s">
        <v>1249</v>
      </c>
      <c r="H137" s="14">
        <v>0.2</v>
      </c>
      <c r="I137" s="14"/>
      <c r="J137" s="14">
        <v>650</v>
      </c>
      <c r="K137" s="14">
        <f t="shared" si="13"/>
        <v>130</v>
      </c>
      <c r="L137" s="14">
        <v>12</v>
      </c>
      <c r="M137" s="14"/>
      <c r="N137" s="44">
        <f>(K137*Table1[[#This Row],[Ühik2]])+M137</f>
        <v>1560</v>
      </c>
      <c r="O137" s="44">
        <f>Table1[[#This Row],[2020. EA ]]*0.338</f>
        <v>527.28000000000009</v>
      </c>
      <c r="P137" s="14"/>
    </row>
    <row r="138" spans="1:16" x14ac:dyDescent="0.25">
      <c r="A138" s="90" t="str">
        <f t="shared" si="14"/>
        <v>09</v>
      </c>
      <c r="B138" s="91" t="s">
        <v>313</v>
      </c>
      <c r="C138" s="90" t="str">
        <f>VLOOKUP(B138,Table4[],2,FALSE)</f>
        <v xml:space="preserve"> Kulina Lasteaed</v>
      </c>
      <c r="D138" s="94" t="str">
        <f>VLOOKUP(Table1[[#This Row],[Tegevusala]],Table4[[Tegevusala kood]:[Tegevusala alanimetus]],4,FALSE)</f>
        <v>Alusharidus</v>
      </c>
      <c r="E138" s="90" t="str">
        <f>VLOOKUP(C138,Table4[[Tegevusala nimetus]:[Tegevusala koondnimetus]],2,FALSE)</f>
        <v>Haridus</v>
      </c>
      <c r="F138" s="90" t="s">
        <v>1293</v>
      </c>
      <c r="G138" s="90" t="s">
        <v>1288</v>
      </c>
      <c r="H138" s="90">
        <v>0.5</v>
      </c>
      <c r="I138" s="90"/>
      <c r="J138" s="90">
        <v>584</v>
      </c>
      <c r="K138" s="90">
        <f t="shared" si="13"/>
        <v>292</v>
      </c>
      <c r="L138" s="90">
        <v>12</v>
      </c>
      <c r="M138" s="90"/>
      <c r="N138" s="92">
        <f>(K138*Table1[[#This Row],[Ühik2]])+M138</f>
        <v>3504</v>
      </c>
      <c r="O138" s="92">
        <f>Table1[[#This Row],[2020. EA ]]*0.338</f>
        <v>1184.3520000000001</v>
      </c>
      <c r="P138" s="90"/>
    </row>
    <row r="139" spans="1:16" x14ac:dyDescent="0.25">
      <c r="A139" s="14" t="str">
        <f t="shared" si="14"/>
        <v>09</v>
      </c>
      <c r="B139" t="s">
        <v>313</v>
      </c>
      <c r="C139" s="14" t="str">
        <f>VLOOKUP(B139,Table4[],2,FALSE)</f>
        <v xml:space="preserve"> Kulina Lasteaed</v>
      </c>
      <c r="D139" s="39" t="str">
        <f>VLOOKUP(Table1[[#This Row],[Tegevusala]],Table4[[Tegevusala kood]:[Tegevusala alanimetus]],4,FALSE)</f>
        <v>Alusharidus</v>
      </c>
      <c r="E139" s="14" t="str">
        <f>VLOOKUP(C139,Table4[[Tegevusala nimetus]:[Tegevusala koondnimetus]],2,FALSE)</f>
        <v>Haridus</v>
      </c>
      <c r="F139" s="14" t="s">
        <v>1293</v>
      </c>
      <c r="G139" s="14" t="s">
        <v>466</v>
      </c>
      <c r="H139" s="14">
        <v>1</v>
      </c>
      <c r="I139" s="14"/>
      <c r="J139" s="14">
        <v>652</v>
      </c>
      <c r="K139" s="14">
        <f t="shared" si="13"/>
        <v>652</v>
      </c>
      <c r="L139" s="14">
        <v>12</v>
      </c>
      <c r="M139" s="14"/>
      <c r="N139" s="44">
        <f>(K139*Table1[[#This Row],[Ühik2]])+M139</f>
        <v>7824</v>
      </c>
      <c r="O139" s="44">
        <f>Table1[[#This Row],[2020. EA ]]*0.338</f>
        <v>2644.5120000000002</v>
      </c>
      <c r="P139" s="14"/>
    </row>
    <row r="140" spans="1:16" x14ac:dyDescent="0.25">
      <c r="A140" s="90" t="str">
        <f t="shared" si="14"/>
        <v>09</v>
      </c>
      <c r="B140" s="91" t="s">
        <v>313</v>
      </c>
      <c r="C140" s="90" t="str">
        <f>VLOOKUP(B140,Table4[],2,FALSE)</f>
        <v xml:space="preserve"> Kulina Lasteaed</v>
      </c>
      <c r="D140" s="94" t="str">
        <f>VLOOKUP(Table1[[#This Row],[Tegevusala]],Table4[[Tegevusala kood]:[Tegevusala alanimetus]],4,FALSE)</f>
        <v>Alusharidus</v>
      </c>
      <c r="E140" s="90" t="str">
        <f>VLOOKUP(C140,Table4[[Tegevusala nimetus]:[Tegevusala koondnimetus]],2,FALSE)</f>
        <v>Haridus</v>
      </c>
      <c r="F140" s="90" t="s">
        <v>1293</v>
      </c>
      <c r="G140" s="90" t="s">
        <v>1289</v>
      </c>
      <c r="H140" s="90">
        <v>1</v>
      </c>
      <c r="I140" s="90"/>
      <c r="J140" s="90">
        <v>584</v>
      </c>
      <c r="K140" s="90">
        <f t="shared" si="13"/>
        <v>584</v>
      </c>
      <c r="L140" s="90">
        <v>12</v>
      </c>
      <c r="M140" s="90"/>
      <c r="N140" s="92">
        <f>(K140*Table1[[#This Row],[Ühik2]])+M140</f>
        <v>7008</v>
      </c>
      <c r="O140" s="92">
        <f>Table1[[#This Row],[2020. EA ]]*0.338</f>
        <v>2368.7040000000002</v>
      </c>
      <c r="P140" s="90"/>
    </row>
    <row r="141" spans="1:16" x14ac:dyDescent="0.25">
      <c r="A141" s="14" t="str">
        <f t="shared" si="14"/>
        <v>09</v>
      </c>
      <c r="B141" t="s">
        <v>313</v>
      </c>
      <c r="C141" s="14" t="str">
        <f>VLOOKUP(B141,Table4[],2,FALSE)</f>
        <v xml:space="preserve"> Kulina Lasteaed</v>
      </c>
      <c r="D141" s="39" t="str">
        <f>VLOOKUP(Table1[[#This Row],[Tegevusala]],Table4[[Tegevusala kood]:[Tegevusala alanimetus]],4,FALSE)</f>
        <v>Alusharidus</v>
      </c>
      <c r="E141" s="14" t="str">
        <f>VLOOKUP(C141,Table4[[Tegevusala nimetus]:[Tegevusala koondnimetus]],2,FALSE)</f>
        <v>Haridus</v>
      </c>
      <c r="F141" s="14" t="s">
        <v>1293</v>
      </c>
      <c r="G141" s="14" t="s">
        <v>1290</v>
      </c>
      <c r="H141" s="14">
        <v>0.2</v>
      </c>
      <c r="I141" s="14"/>
      <c r="J141" s="14">
        <v>1315</v>
      </c>
      <c r="K141" s="14">
        <f t="shared" si="13"/>
        <v>263</v>
      </c>
      <c r="L141" s="14">
        <v>12</v>
      </c>
      <c r="M141" s="14"/>
      <c r="N141" s="44">
        <f>(K141*Table1[[#This Row],[Ühik2]])+M141</f>
        <v>3156</v>
      </c>
      <c r="O141" s="44">
        <f>Table1[[#This Row],[2020. EA ]]*0.338</f>
        <v>1066.7280000000001</v>
      </c>
      <c r="P141" s="14"/>
    </row>
    <row r="142" spans="1:16" x14ac:dyDescent="0.25">
      <c r="A142" s="14" t="str">
        <f>LEFT(B142,2)</f>
        <v>09</v>
      </c>
      <c r="B142" t="s">
        <v>313</v>
      </c>
      <c r="C142" s="14" t="str">
        <f>VLOOKUP(B142,Table4[],2,FALSE)</f>
        <v xml:space="preserve"> Kulina Lasteaed</v>
      </c>
      <c r="D142" s="39" t="str">
        <f>VLOOKUP(Table1[[#This Row],[Tegevusala]],Table4[[Tegevusala kood]:[Tegevusala alanimetus]],4,FALSE)</f>
        <v>Alusharidus</v>
      </c>
      <c r="E142" s="14" t="str">
        <f>VLOOKUP(C142,Table4[[Tegevusala nimetus]:[Tegevusala koondnimetus]],2,FALSE)</f>
        <v>Haridus</v>
      </c>
      <c r="F142" s="14" t="s">
        <v>1293</v>
      </c>
      <c r="G142" s="14" t="s">
        <v>916</v>
      </c>
      <c r="H142" s="14">
        <v>1</v>
      </c>
      <c r="I142" s="14" t="s">
        <v>2005</v>
      </c>
      <c r="J142" s="14">
        <v>80</v>
      </c>
      <c r="K142" s="14">
        <f t="shared" si="13"/>
        <v>80</v>
      </c>
      <c r="L142" s="14">
        <v>7</v>
      </c>
      <c r="M142" s="14"/>
      <c r="N142" s="44">
        <f>(K142*Table1[[#This Row],[Ühik2]])+M142</f>
        <v>560</v>
      </c>
      <c r="O142" s="44">
        <f>Table1[[#This Row],[2020. EA ]]*0.338</f>
        <v>189.28</v>
      </c>
      <c r="P142" s="14"/>
    </row>
    <row r="143" spans="1:16" x14ac:dyDescent="0.25">
      <c r="A143" s="14" t="str">
        <f>LEFT(B143,2)</f>
        <v>09</v>
      </c>
      <c r="B143" t="s">
        <v>313</v>
      </c>
      <c r="C143" s="14" t="str">
        <f>VLOOKUP(B143,Table4[],2,FALSE)</f>
        <v xml:space="preserve"> Kulina Lasteaed</v>
      </c>
      <c r="D143" s="39" t="str">
        <f>VLOOKUP(Table1[[#This Row],[Tegevusala]],Table4[[Tegevusala kood]:[Tegevusala alanimetus]],4,FALSE)</f>
        <v>Alusharidus</v>
      </c>
      <c r="E143" s="14" t="str">
        <f>VLOOKUP(C143,Table4[[Tegevusala nimetus]:[Tegevusala koondnimetus]],2,FALSE)</f>
        <v>Haridus</v>
      </c>
      <c r="F143" s="14" t="s">
        <v>1293</v>
      </c>
      <c r="G143" s="14" t="s">
        <v>1292</v>
      </c>
      <c r="H143" s="14">
        <v>1</v>
      </c>
      <c r="I143" s="14"/>
      <c r="J143" s="14"/>
      <c r="K143" s="14">
        <f t="shared" si="13"/>
        <v>0</v>
      </c>
      <c r="L143" s="14">
        <v>1</v>
      </c>
      <c r="M143" s="14">
        <v>1700</v>
      </c>
      <c r="N143" s="44">
        <f>(K143*Table1[[#This Row],[Ühik2]])+M143</f>
        <v>1700</v>
      </c>
      <c r="O143" s="44">
        <f>Table1[[#This Row],[2020. EA ]]*0.338</f>
        <v>574.6</v>
      </c>
      <c r="P143" s="14"/>
    </row>
    <row r="144" spans="1:16" x14ac:dyDescent="0.25">
      <c r="A144" s="14" t="str">
        <f t="shared" ref="A144:A149" si="15">LEFT(B144,2)</f>
        <v>09</v>
      </c>
      <c r="B144" t="s">
        <v>317</v>
      </c>
      <c r="C144" s="14" t="str">
        <f>VLOOKUP(B144,Table4[],2,FALSE)</f>
        <v xml:space="preserve"> Ulvi Lasteaed</v>
      </c>
      <c r="D144" s="39" t="str">
        <f>VLOOKUP(Table1[[#This Row],[Tegevusala]],Table4[[Tegevusala kood]:[Tegevusala alanimetus]],4,FALSE)</f>
        <v>Alusharidus</v>
      </c>
      <c r="E144" s="14" t="str">
        <f>VLOOKUP(C144,Table4[[Tegevusala nimetus]:[Tegevusala koondnimetus]],2,FALSE)</f>
        <v>Haridus</v>
      </c>
      <c r="F144" s="14" t="s">
        <v>1353</v>
      </c>
      <c r="G144" s="14" t="s">
        <v>1349</v>
      </c>
      <c r="H144" s="14">
        <v>4</v>
      </c>
      <c r="I144" s="14"/>
      <c r="J144" s="14">
        <v>1183.5</v>
      </c>
      <c r="K144" s="14">
        <f t="shared" si="13"/>
        <v>4734</v>
      </c>
      <c r="L144" s="14">
        <v>12</v>
      </c>
      <c r="M144" s="14"/>
      <c r="N144" s="44">
        <f>(K144*Table1[[#This Row],[Ühik2]])+M144</f>
        <v>56808</v>
      </c>
      <c r="O144" s="44">
        <f>Table1[[#This Row],[2020. EA ]]*0.338</f>
        <v>19201.104000000003</v>
      </c>
      <c r="P144" s="14"/>
    </row>
    <row r="145" spans="1:18" x14ac:dyDescent="0.25">
      <c r="A145" s="14" t="str">
        <f t="shared" si="15"/>
        <v>09</v>
      </c>
      <c r="B145" t="s">
        <v>317</v>
      </c>
      <c r="C145" s="14" t="str">
        <f>VLOOKUP(B145,Table4[],2,FALSE)</f>
        <v xml:space="preserve"> Ulvi Lasteaed</v>
      </c>
      <c r="D145" s="39" t="str">
        <f>VLOOKUP(Table1[[#This Row],[Tegevusala]],Table4[[Tegevusala kood]:[Tegevusala alanimetus]],4,FALSE)</f>
        <v>Alusharidus</v>
      </c>
      <c r="E145" s="14" t="str">
        <f>VLOOKUP(C145,Table4[[Tegevusala nimetus]:[Tegevusala koondnimetus]],2,FALSE)</f>
        <v>Haridus</v>
      </c>
      <c r="F145" s="14" t="s">
        <v>1353</v>
      </c>
      <c r="G145" s="14" t="s">
        <v>1350</v>
      </c>
      <c r="H145" s="14">
        <v>2</v>
      </c>
      <c r="I145" s="14"/>
      <c r="J145" s="14">
        <v>630</v>
      </c>
      <c r="K145" s="14">
        <f t="shared" si="13"/>
        <v>1260</v>
      </c>
      <c r="L145" s="14">
        <v>12</v>
      </c>
      <c r="M145" s="14"/>
      <c r="N145" s="44">
        <f>(K145*Table1[[#This Row],[Ühik2]])+M145</f>
        <v>15120</v>
      </c>
      <c r="O145" s="44">
        <f>Table1[[#This Row],[2020. EA ]]*0.338</f>
        <v>5110.5600000000004</v>
      </c>
      <c r="P145" s="14"/>
    </row>
    <row r="146" spans="1:18" x14ac:dyDescent="0.25">
      <c r="A146" s="14" t="str">
        <f t="shared" si="15"/>
        <v>09</v>
      </c>
      <c r="B146" t="s">
        <v>317</v>
      </c>
      <c r="C146" s="14" t="str">
        <f>VLOOKUP(B146,Table4[],2,FALSE)</f>
        <v xml:space="preserve"> Ulvi Lasteaed</v>
      </c>
      <c r="D146" s="39" t="str">
        <f>VLOOKUP(Table1[[#This Row],[Tegevusala]],Table4[[Tegevusala kood]:[Tegevusala alanimetus]],4,FALSE)</f>
        <v>Alusharidus</v>
      </c>
      <c r="E146" s="14" t="str">
        <f>VLOOKUP(C146,Table4[[Tegevusala nimetus]:[Tegevusala koondnimetus]],2,FALSE)</f>
        <v>Haridus</v>
      </c>
      <c r="F146" s="14" t="s">
        <v>1353</v>
      </c>
      <c r="G146" s="14" t="s">
        <v>1246</v>
      </c>
      <c r="H146" s="14">
        <v>0.15</v>
      </c>
      <c r="I146" s="14"/>
      <c r="J146" s="14">
        <v>973.5</v>
      </c>
      <c r="K146" s="14">
        <f t="shared" si="13"/>
        <v>146.02500000000001</v>
      </c>
      <c r="L146" s="14">
        <v>12</v>
      </c>
      <c r="M146" s="14"/>
      <c r="N146" s="44">
        <f>(K146*Table1[[#This Row],[Ühik2]])+M146</f>
        <v>1752.3000000000002</v>
      </c>
      <c r="O146" s="44">
        <f>Table1[[#This Row],[2020. EA ]]*0.338</f>
        <v>592.27740000000006</v>
      </c>
      <c r="P146" s="14"/>
    </row>
    <row r="147" spans="1:18" x14ac:dyDescent="0.25">
      <c r="A147" s="14" t="str">
        <f t="shared" si="15"/>
        <v>09</v>
      </c>
      <c r="B147" t="s">
        <v>317</v>
      </c>
      <c r="C147" s="14" t="str">
        <f>VLOOKUP(B147,Table4[],2,FALSE)</f>
        <v xml:space="preserve"> Ulvi Lasteaed</v>
      </c>
      <c r="D147" s="39" t="str">
        <f>VLOOKUP(Table1[[#This Row],[Tegevusala]],Table4[[Tegevusala kood]:[Tegevusala alanimetus]],4,FALSE)</f>
        <v>Alusharidus</v>
      </c>
      <c r="E147" s="14" t="str">
        <f>VLOOKUP(C147,Table4[[Tegevusala nimetus]:[Tegevusala koondnimetus]],2,FALSE)</f>
        <v>Haridus</v>
      </c>
      <c r="F147" s="14" t="s">
        <v>1353</v>
      </c>
      <c r="G147" s="14" t="s">
        <v>466</v>
      </c>
      <c r="H147" s="14">
        <v>1</v>
      </c>
      <c r="I147" s="14"/>
      <c r="J147" s="14">
        <v>648</v>
      </c>
      <c r="K147" s="14">
        <f t="shared" si="13"/>
        <v>648</v>
      </c>
      <c r="L147" s="14">
        <v>12</v>
      </c>
      <c r="M147" s="14"/>
      <c r="N147" s="44">
        <f>(K147*Table1[[#This Row],[Ühik2]])+M147</f>
        <v>7776</v>
      </c>
      <c r="O147" s="44">
        <f>Table1[[#This Row],[2020. EA ]]*0.338</f>
        <v>2628.288</v>
      </c>
      <c r="P147" s="14"/>
    </row>
    <row r="148" spans="1:18" x14ac:dyDescent="0.25">
      <c r="A148" s="90" t="str">
        <f t="shared" si="15"/>
        <v>09</v>
      </c>
      <c r="B148" s="91" t="s">
        <v>317</v>
      </c>
      <c r="C148" s="90" t="str">
        <f>VLOOKUP(B148,Table4[],2,FALSE)</f>
        <v xml:space="preserve"> Ulvi Lasteaed</v>
      </c>
      <c r="D148" s="94" t="str">
        <f>VLOOKUP(Table1[[#This Row],[Tegevusala]],Table4[[Tegevusala kood]:[Tegevusala alanimetus]],4,FALSE)</f>
        <v>Alusharidus</v>
      </c>
      <c r="E148" s="90" t="str">
        <f>VLOOKUP(C148,Table4[[Tegevusala nimetus]:[Tegevusala koondnimetus]],2,FALSE)</f>
        <v>Haridus</v>
      </c>
      <c r="F148" s="90" t="s">
        <v>1353</v>
      </c>
      <c r="G148" s="90" t="s">
        <v>1351</v>
      </c>
      <c r="H148" s="90">
        <v>0.5</v>
      </c>
      <c r="I148" s="90"/>
      <c r="J148" s="90">
        <v>324</v>
      </c>
      <c r="K148" s="90">
        <f t="shared" si="13"/>
        <v>162</v>
      </c>
      <c r="L148" s="90">
        <v>12</v>
      </c>
      <c r="M148" s="90"/>
      <c r="N148" s="92">
        <f>(K148*Table1[[#This Row],[Ühik2]])+M148</f>
        <v>1944</v>
      </c>
      <c r="O148" s="92">
        <f>Table1[[#This Row],[2020. EA ]]*0.338</f>
        <v>657.072</v>
      </c>
      <c r="P148" s="90"/>
    </row>
    <row r="149" spans="1:18" x14ac:dyDescent="0.25">
      <c r="A149" s="90" t="str">
        <f t="shared" si="15"/>
        <v>09</v>
      </c>
      <c r="B149" s="91" t="s">
        <v>317</v>
      </c>
      <c r="C149" s="90" t="str">
        <f>VLOOKUP(B149,Table4[],2,FALSE)</f>
        <v xml:space="preserve"> Ulvi Lasteaed</v>
      </c>
      <c r="D149" s="94" t="str">
        <f>VLOOKUP(Table1[[#This Row],[Tegevusala]],Table4[[Tegevusala kood]:[Tegevusala alanimetus]],4,FALSE)</f>
        <v>Alusharidus</v>
      </c>
      <c r="E149" s="90" t="str">
        <f>VLOOKUP(C149,Table4[[Tegevusala nimetus]:[Tegevusala koondnimetus]],2,FALSE)</f>
        <v>Haridus</v>
      </c>
      <c r="F149" s="90" t="s">
        <v>1353</v>
      </c>
      <c r="G149" s="90" t="s">
        <v>461</v>
      </c>
      <c r="H149" s="90">
        <v>0.25</v>
      </c>
      <c r="I149" s="90"/>
      <c r="J149" s="90">
        <v>584</v>
      </c>
      <c r="K149" s="90">
        <f t="shared" si="13"/>
        <v>146</v>
      </c>
      <c r="L149" s="90">
        <v>12</v>
      </c>
      <c r="M149" s="90">
        <v>1620</v>
      </c>
      <c r="N149" s="92">
        <f>(K149*Table1[[#This Row],[Ühik2]])+M149</f>
        <v>3372</v>
      </c>
      <c r="O149" s="92">
        <f>Table1[[#This Row],[2020. EA ]]*0.338</f>
        <v>1139.7360000000001</v>
      </c>
      <c r="P149" s="90" t="s">
        <v>1352</v>
      </c>
    </row>
    <row r="150" spans="1:18" x14ac:dyDescent="0.25">
      <c r="A150" s="90" t="str">
        <f t="shared" ref="A150:A181" si="16">LEFT(B150,2)</f>
        <v>09</v>
      </c>
      <c r="B150" s="91" t="s">
        <v>329</v>
      </c>
      <c r="C150" s="90" t="str">
        <f>VLOOKUP(B150,Table4[],2,FALSE)</f>
        <v xml:space="preserve"> Vinni-Pajusti Gümnaasium</v>
      </c>
      <c r="D150" s="94" t="str">
        <f>VLOOKUP(Table1[[#This Row],[Tegevusala]],Table4[[Tegevusala kood]:[Tegevusala alanimetus]],4,FALSE)</f>
        <v>Põhihariduse otsekulud</v>
      </c>
      <c r="E150" s="90" t="str">
        <f>VLOOKUP(C150,Table4[[Tegevusala nimetus]:[Tegevusala koondnimetus]],2,FALSE)</f>
        <v>Haridus</v>
      </c>
      <c r="F150" s="90" t="s">
        <v>1428</v>
      </c>
      <c r="G150" s="90" t="s">
        <v>238</v>
      </c>
      <c r="H150" s="90">
        <v>0.25</v>
      </c>
      <c r="I150" s="90"/>
      <c r="J150" s="90">
        <v>584</v>
      </c>
      <c r="K150" s="90">
        <f t="shared" si="13"/>
        <v>146</v>
      </c>
      <c r="L150" s="90">
        <v>12</v>
      </c>
      <c r="M150" s="90"/>
      <c r="N150" s="92">
        <f>(K150*Table1[[#This Row],[Ühik2]])+M150</f>
        <v>1752</v>
      </c>
      <c r="O150" s="92">
        <f>Table1[[#This Row],[2020. EA ]]*0.338</f>
        <v>592.17600000000004</v>
      </c>
      <c r="P150" s="90"/>
      <c r="R150" t="s">
        <v>2184</v>
      </c>
    </row>
    <row r="151" spans="1:18" x14ac:dyDescent="0.25">
      <c r="A151" s="14" t="str">
        <f t="shared" si="16"/>
        <v>09</v>
      </c>
      <c r="B151" t="s">
        <v>329</v>
      </c>
      <c r="C151" s="14" t="str">
        <f>VLOOKUP(B151,Table4[],2,FALSE)</f>
        <v xml:space="preserve"> Vinni-Pajusti Gümnaasium</v>
      </c>
      <c r="D151" s="39" t="str">
        <f>VLOOKUP(Table1[[#This Row],[Tegevusala]],Table4[[Tegevusala kood]:[Tegevusala alanimetus]],4,FALSE)</f>
        <v>Põhihariduse otsekulud</v>
      </c>
      <c r="E151" s="14" t="str">
        <f>VLOOKUP(C151,Table4[[Tegevusala nimetus]:[Tegevusala koondnimetus]],2,FALSE)</f>
        <v>Haridus</v>
      </c>
      <c r="F151" s="14" t="s">
        <v>1428</v>
      </c>
      <c r="G151" s="14" t="s">
        <v>452</v>
      </c>
      <c r="H151" s="14">
        <v>1</v>
      </c>
      <c r="I151" s="14"/>
      <c r="J151" s="14">
        <v>1315</v>
      </c>
      <c r="K151" s="14">
        <f t="shared" si="13"/>
        <v>1315</v>
      </c>
      <c r="L151" s="14">
        <v>12</v>
      </c>
      <c r="M151" s="14"/>
      <c r="N151" s="44">
        <f>(K151*Table1[[#This Row],[Ühik2]])+M151</f>
        <v>15780</v>
      </c>
      <c r="O151" s="44">
        <f>Table1[[#This Row],[2020. EA ]]*0.338</f>
        <v>5333.64</v>
      </c>
      <c r="P151" s="14"/>
    </row>
    <row r="152" spans="1:18" x14ac:dyDescent="0.25">
      <c r="A152" s="90" t="str">
        <f t="shared" si="16"/>
        <v>09</v>
      </c>
      <c r="B152" s="91" t="s">
        <v>329</v>
      </c>
      <c r="C152" s="90" t="str">
        <f>VLOOKUP(B152,Table4[],2,FALSE)</f>
        <v xml:space="preserve"> Vinni-Pajusti Gümnaasium</v>
      </c>
      <c r="D152" s="94" t="str">
        <f>VLOOKUP(Table1[[#This Row],[Tegevusala]],Table4[[Tegevusala kood]:[Tegevusala alanimetus]],4,FALSE)</f>
        <v>Põhihariduse otsekulud</v>
      </c>
      <c r="E152" s="90" t="str">
        <f>VLOOKUP(C152,Table4[[Tegevusala nimetus]:[Tegevusala koondnimetus]],2,FALSE)</f>
        <v>Haridus</v>
      </c>
      <c r="F152" s="90" t="s">
        <v>1428</v>
      </c>
      <c r="G152" s="90" t="s">
        <v>2185</v>
      </c>
      <c r="H152" s="90">
        <v>1</v>
      </c>
      <c r="I152" s="90"/>
      <c r="J152" s="90">
        <v>1450</v>
      </c>
      <c r="K152" s="90">
        <f t="shared" si="13"/>
        <v>1450</v>
      </c>
      <c r="L152" s="90">
        <v>12</v>
      </c>
      <c r="M152" s="90"/>
      <c r="N152" s="92">
        <f>(K152*Table1[[#This Row],[Ühik2]])+M152</f>
        <v>17400</v>
      </c>
      <c r="O152" s="92">
        <f>Table1[[#This Row],[2020. EA ]]*0.338</f>
        <v>5881.2000000000007</v>
      </c>
      <c r="P152" s="90"/>
    </row>
    <row r="153" spans="1:18" x14ac:dyDescent="0.25">
      <c r="A153" s="14" t="str">
        <f t="shared" si="16"/>
        <v>09</v>
      </c>
      <c r="B153" t="s">
        <v>329</v>
      </c>
      <c r="C153" s="14" t="str">
        <f>VLOOKUP(B153,Table4[],2,FALSE)</f>
        <v xml:space="preserve"> Vinni-Pajusti Gümnaasium</v>
      </c>
      <c r="D153" s="39" t="str">
        <f>VLOOKUP(Table1[[#This Row],[Tegevusala]],Table4[[Tegevusala kood]:[Tegevusala alanimetus]],4,FALSE)</f>
        <v>Põhihariduse otsekulud</v>
      </c>
      <c r="E153" s="14" t="str">
        <f>VLOOKUP(C153,Table4[[Tegevusala nimetus]:[Tegevusala koondnimetus]],2,FALSE)</f>
        <v>Haridus</v>
      </c>
      <c r="F153" s="14" t="s">
        <v>1428</v>
      </c>
      <c r="G153" s="14" t="s">
        <v>1378</v>
      </c>
      <c r="H153" s="14">
        <v>1</v>
      </c>
      <c r="I153" s="14"/>
      <c r="J153" s="14">
        <v>1315</v>
      </c>
      <c r="K153" s="14">
        <f t="shared" si="13"/>
        <v>1315</v>
      </c>
      <c r="L153" s="14">
        <v>12</v>
      </c>
      <c r="M153" s="14"/>
      <c r="N153" s="44">
        <f>(K153*Table1[[#This Row],[Ühik2]])+M153</f>
        <v>15780</v>
      </c>
      <c r="O153" s="44">
        <f>Table1[[#This Row],[2020. EA ]]*0.338</f>
        <v>5333.64</v>
      </c>
      <c r="P153" s="14"/>
    </row>
    <row r="154" spans="1:18" x14ac:dyDescent="0.25">
      <c r="A154" s="14" t="str">
        <f t="shared" si="16"/>
        <v>09</v>
      </c>
      <c r="B154" t="s">
        <v>329</v>
      </c>
      <c r="C154" s="14" t="str">
        <f>VLOOKUP(B154,Table4[],2,FALSE)</f>
        <v xml:space="preserve"> Vinni-Pajusti Gümnaasium</v>
      </c>
      <c r="D154" s="39" t="str">
        <f>VLOOKUP(Table1[[#This Row],[Tegevusala]],Table4[[Tegevusala kood]:[Tegevusala alanimetus]],4,FALSE)</f>
        <v>Põhihariduse otsekulud</v>
      </c>
      <c r="E154" s="14" t="str">
        <f>VLOOKUP(C154,Table4[[Tegevusala nimetus]:[Tegevusala koondnimetus]],2,FALSE)</f>
        <v>Haridus</v>
      </c>
      <c r="F154" s="14" t="s">
        <v>1428</v>
      </c>
      <c r="G154" s="14" t="s">
        <v>1379</v>
      </c>
      <c r="H154" s="14">
        <v>0.5</v>
      </c>
      <c r="I154" s="14"/>
      <c r="J154" s="14">
        <v>700</v>
      </c>
      <c r="K154" s="14">
        <f t="shared" si="13"/>
        <v>350</v>
      </c>
      <c r="L154" s="14">
        <v>4</v>
      </c>
      <c r="M154" s="14"/>
      <c r="N154" s="44">
        <f>(K154*Table1[[#This Row],[Ühik2]])+M154</f>
        <v>1400</v>
      </c>
      <c r="O154" s="44">
        <f>Table1[[#This Row],[2020. EA ]]*0.338</f>
        <v>473.20000000000005</v>
      </c>
      <c r="P154" s="14" t="s">
        <v>2186</v>
      </c>
    </row>
    <row r="155" spans="1:18" x14ac:dyDescent="0.25">
      <c r="A155" s="14" t="str">
        <f t="shared" si="16"/>
        <v>09</v>
      </c>
      <c r="B155" t="s">
        <v>329</v>
      </c>
      <c r="C155" s="14" t="str">
        <f>VLOOKUP(B155,Table4[],2,FALSE)</f>
        <v xml:space="preserve"> Vinni-Pajusti Gümnaasium</v>
      </c>
      <c r="D155" s="39" t="str">
        <f>VLOOKUP(Table1[[#This Row],[Tegevusala]],Table4[[Tegevusala kood]:[Tegevusala alanimetus]],4,FALSE)</f>
        <v>Põhihariduse otsekulud</v>
      </c>
      <c r="E155" s="14" t="str">
        <f>VLOOKUP(C155,Table4[[Tegevusala nimetus]:[Tegevusala koondnimetus]],2,FALSE)</f>
        <v>Haridus</v>
      </c>
      <c r="F155" s="14" t="s">
        <v>1428</v>
      </c>
      <c r="G155" s="14" t="s">
        <v>466</v>
      </c>
      <c r="H155" s="14">
        <v>1</v>
      </c>
      <c r="I155" s="14"/>
      <c r="J155" s="14">
        <v>770</v>
      </c>
      <c r="K155" s="14">
        <f t="shared" si="13"/>
        <v>770</v>
      </c>
      <c r="L155" s="14">
        <v>12</v>
      </c>
      <c r="M155" s="14"/>
      <c r="N155" s="44">
        <f>(K155*Table1[[#This Row],[Ühik2]])+M155</f>
        <v>9240</v>
      </c>
      <c r="O155" s="44">
        <f>Table1[[#This Row],[2020. EA ]]*0.338</f>
        <v>3123.1200000000003</v>
      </c>
      <c r="P155" s="14"/>
    </row>
    <row r="156" spans="1:18" x14ac:dyDescent="0.25">
      <c r="A156" s="14" t="str">
        <f t="shared" si="16"/>
        <v>09</v>
      </c>
      <c r="B156" t="s">
        <v>329</v>
      </c>
      <c r="C156" s="14" t="str">
        <f>VLOOKUP(B156,Table4[],2,FALSE)</f>
        <v xml:space="preserve"> Vinni-Pajusti Gümnaasium</v>
      </c>
      <c r="D156" s="39" t="str">
        <f>VLOOKUP(Table1[[#This Row],[Tegevusala]],Table4[[Tegevusala kood]:[Tegevusala alanimetus]],4,FALSE)</f>
        <v>Põhihariduse otsekulud</v>
      </c>
      <c r="E156" s="14" t="str">
        <f>VLOOKUP(C156,Table4[[Tegevusala nimetus]:[Tegevusala koondnimetus]],2,FALSE)</f>
        <v>Haridus</v>
      </c>
      <c r="F156" s="14" t="s">
        <v>1428</v>
      </c>
      <c r="G156" s="14" t="s">
        <v>1380</v>
      </c>
      <c r="H156" s="14">
        <v>0.5</v>
      </c>
      <c r="I156" s="14"/>
      <c r="J156" s="14">
        <v>650</v>
      </c>
      <c r="K156" s="14">
        <f t="shared" si="13"/>
        <v>325</v>
      </c>
      <c r="L156" s="14">
        <v>12</v>
      </c>
      <c r="M156" s="14"/>
      <c r="N156" s="44">
        <f>(K156*Table1[[#This Row],[Ühik2]])+M156</f>
        <v>3900</v>
      </c>
      <c r="O156" s="44">
        <f>Table1[[#This Row],[2020. EA ]]*0.338</f>
        <v>1318.2</v>
      </c>
      <c r="P156" s="14"/>
    </row>
    <row r="157" spans="1:18" x14ac:dyDescent="0.25">
      <c r="A157" s="90" t="str">
        <f t="shared" si="16"/>
        <v>09</v>
      </c>
      <c r="B157" s="91" t="s">
        <v>329</v>
      </c>
      <c r="C157" s="90" t="str">
        <f>VLOOKUP(B157,Table4[],2,FALSE)</f>
        <v xml:space="preserve"> Vinni-Pajusti Gümnaasium</v>
      </c>
      <c r="D157" s="94" t="str">
        <f>VLOOKUP(Table1[[#This Row],[Tegevusala]],Table4[[Tegevusala kood]:[Tegevusala alanimetus]],4,FALSE)</f>
        <v>Põhihariduse otsekulud</v>
      </c>
      <c r="E157" s="90" t="str">
        <f>VLOOKUP(C157,Table4[[Tegevusala nimetus]:[Tegevusala koondnimetus]],2,FALSE)</f>
        <v>Haridus</v>
      </c>
      <c r="F157" s="90" t="s">
        <v>1428</v>
      </c>
      <c r="G157" s="90" t="s">
        <v>1381</v>
      </c>
      <c r="H157" s="90">
        <v>6</v>
      </c>
      <c r="I157" s="90"/>
      <c r="J157" s="90">
        <v>584</v>
      </c>
      <c r="K157" s="90">
        <f t="shared" si="13"/>
        <v>3504</v>
      </c>
      <c r="L157" s="90">
        <v>12</v>
      </c>
      <c r="M157" s="90"/>
      <c r="N157" s="92">
        <f>(K157*Table1[[#This Row],[Ühik2]])+M157</f>
        <v>42048</v>
      </c>
      <c r="O157" s="92">
        <f>Table1[[#This Row],[2020. EA ]]*0.338</f>
        <v>14212.224</v>
      </c>
      <c r="P157" s="90"/>
    </row>
    <row r="158" spans="1:18" x14ac:dyDescent="0.25">
      <c r="A158" s="14" t="str">
        <f t="shared" si="16"/>
        <v>09</v>
      </c>
      <c r="B158" t="s">
        <v>329</v>
      </c>
      <c r="C158" s="14" t="str">
        <f>VLOOKUP(B158,Table4[],2,FALSE)</f>
        <v xml:space="preserve"> Vinni-Pajusti Gümnaasium</v>
      </c>
      <c r="D158" s="39" t="str">
        <f>VLOOKUP(Table1[[#This Row],[Tegevusala]],Table4[[Tegevusala kood]:[Tegevusala alanimetus]],4,FALSE)</f>
        <v>Põhihariduse otsekulud</v>
      </c>
      <c r="E158" s="14" t="str">
        <f>VLOOKUP(C158,Table4[[Tegevusala nimetus]:[Tegevusala koondnimetus]],2,FALSE)</f>
        <v>Haridus</v>
      </c>
      <c r="F158" s="14" t="s">
        <v>1428</v>
      </c>
      <c r="G158" s="14" t="s">
        <v>468</v>
      </c>
      <c r="H158" s="14">
        <v>2</v>
      </c>
      <c r="I158" s="14"/>
      <c r="J158" s="14">
        <v>590</v>
      </c>
      <c r="K158" s="14">
        <f t="shared" si="13"/>
        <v>1180</v>
      </c>
      <c r="L158" s="14">
        <v>12</v>
      </c>
      <c r="M158" s="14"/>
      <c r="N158" s="44">
        <f>(K158*Table1[[#This Row],[Ühik2]])+M158</f>
        <v>14160</v>
      </c>
      <c r="O158" s="44">
        <f>Table1[[#This Row],[2020. EA ]]*0.338</f>
        <v>4786.08</v>
      </c>
      <c r="P158" s="14"/>
    </row>
    <row r="159" spans="1:18" x14ac:dyDescent="0.25">
      <c r="A159" s="90" t="str">
        <f t="shared" si="16"/>
        <v>09</v>
      </c>
      <c r="B159" s="91" t="s">
        <v>329</v>
      </c>
      <c r="C159" s="90" t="str">
        <f>VLOOKUP(B159,Table4[],2,FALSE)</f>
        <v xml:space="preserve"> Vinni-Pajusti Gümnaasium</v>
      </c>
      <c r="D159" s="94" t="str">
        <f>VLOOKUP(Table1[[#This Row],[Tegevusala]],Table4[[Tegevusala kood]:[Tegevusala alanimetus]],4,FALSE)</f>
        <v>Põhihariduse otsekulud</v>
      </c>
      <c r="E159" s="90" t="str">
        <f>VLOOKUP(C159,Table4[[Tegevusala nimetus]:[Tegevusala koondnimetus]],2,FALSE)</f>
        <v>Haridus</v>
      </c>
      <c r="F159" s="90" t="s">
        <v>1428</v>
      </c>
      <c r="G159" s="90" t="s">
        <v>1382</v>
      </c>
      <c r="H159" s="90">
        <v>0.12</v>
      </c>
      <c r="I159" s="90"/>
      <c r="J159" s="90">
        <v>584</v>
      </c>
      <c r="K159" s="90">
        <f t="shared" si="13"/>
        <v>70.08</v>
      </c>
      <c r="L159" s="90">
        <v>12</v>
      </c>
      <c r="M159" s="90"/>
      <c r="N159" s="92">
        <f>(K159*Table1[[#This Row],[Ühik2]])+M159</f>
        <v>840.96</v>
      </c>
      <c r="O159" s="92">
        <f>Table1[[#This Row],[2020. EA ]]*0.338</f>
        <v>284.24448000000001</v>
      </c>
      <c r="P159" s="90"/>
    </row>
    <row r="160" spans="1:18" x14ac:dyDescent="0.25">
      <c r="A160" s="90" t="str">
        <f t="shared" si="16"/>
        <v>09</v>
      </c>
      <c r="B160" s="91" t="s">
        <v>329</v>
      </c>
      <c r="C160" s="90" t="str">
        <f>VLOOKUP(B160,Table4[],2,FALSE)</f>
        <v xml:space="preserve"> Vinni-Pajusti Gümnaasium</v>
      </c>
      <c r="D160" s="94" t="str">
        <f>VLOOKUP(Table1[[#This Row],[Tegevusala]],Table4[[Tegevusala kood]:[Tegevusala alanimetus]],4,FALSE)</f>
        <v>Põhihariduse otsekulud</v>
      </c>
      <c r="E160" s="90" t="str">
        <f>VLOOKUP(C160,Table4[[Tegevusala nimetus]:[Tegevusala koondnimetus]],2,FALSE)</f>
        <v>Haridus</v>
      </c>
      <c r="F160" s="90" t="s">
        <v>1428</v>
      </c>
      <c r="G160" s="90" t="s">
        <v>1382</v>
      </c>
      <c r="H160" s="90">
        <v>0.13</v>
      </c>
      <c r="I160" s="90"/>
      <c r="J160" s="90">
        <v>584</v>
      </c>
      <c r="K160" s="90">
        <f t="shared" si="13"/>
        <v>75.92</v>
      </c>
      <c r="L160" s="90">
        <v>12</v>
      </c>
      <c r="M160" s="90"/>
      <c r="N160" s="92">
        <f>(K160*Table1[[#This Row],[Ühik2]])+M160</f>
        <v>911.04</v>
      </c>
      <c r="O160" s="92">
        <f>Table1[[#This Row],[2020. EA ]]*0.338</f>
        <v>307.93152000000003</v>
      </c>
      <c r="P160" s="90"/>
    </row>
    <row r="161" spans="1:18" x14ac:dyDescent="0.25">
      <c r="A161" s="90" t="str">
        <f t="shared" si="16"/>
        <v>09</v>
      </c>
      <c r="B161" s="91" t="s">
        <v>329</v>
      </c>
      <c r="C161" s="90" t="str">
        <f>VLOOKUP(B161,Table4[],2,FALSE)</f>
        <v xml:space="preserve"> Vinni-Pajusti Gümnaasium</v>
      </c>
      <c r="D161" s="94" t="str">
        <f>VLOOKUP(Table1[[#This Row],[Tegevusala]],Table4[[Tegevusala kood]:[Tegevusala alanimetus]],4,FALSE)</f>
        <v>Põhihariduse otsekulud</v>
      </c>
      <c r="E161" s="90" t="str">
        <f>VLOOKUP(C161,Table4[[Tegevusala nimetus]:[Tegevusala koondnimetus]],2,FALSE)</f>
        <v>Haridus</v>
      </c>
      <c r="F161" s="90" t="s">
        <v>1428</v>
      </c>
      <c r="G161" s="90" t="s">
        <v>1382</v>
      </c>
      <c r="H161" s="90">
        <v>0.25</v>
      </c>
      <c r="I161" s="90"/>
      <c r="J161" s="90">
        <v>584</v>
      </c>
      <c r="K161" s="90">
        <f t="shared" si="13"/>
        <v>146</v>
      </c>
      <c r="L161" s="90">
        <v>12</v>
      </c>
      <c r="M161" s="90"/>
      <c r="N161" s="92">
        <f>(K161*Table1[[#This Row],[Ühik2]])+M161</f>
        <v>1752</v>
      </c>
      <c r="O161" s="92">
        <f>Table1[[#This Row],[2020. EA ]]*0.338</f>
        <v>592.17600000000004</v>
      </c>
      <c r="P161" s="90"/>
      <c r="R161" t="s">
        <v>2184</v>
      </c>
    </row>
    <row r="162" spans="1:18" x14ac:dyDescent="0.25">
      <c r="A162" s="90" t="str">
        <f t="shared" si="16"/>
        <v>09</v>
      </c>
      <c r="B162" s="91" t="s">
        <v>329</v>
      </c>
      <c r="C162" s="90" t="str">
        <f>VLOOKUP(B162,Table4[],2,FALSE)</f>
        <v xml:space="preserve"> Vinni-Pajusti Gümnaasium</v>
      </c>
      <c r="D162" s="94" t="str">
        <f>VLOOKUP(Table1[[#This Row],[Tegevusala]],Table4[[Tegevusala kood]:[Tegevusala alanimetus]],4,FALSE)</f>
        <v>Põhihariduse otsekulud</v>
      </c>
      <c r="E162" s="90" t="str">
        <f>VLOOKUP(C162,Table4[[Tegevusala nimetus]:[Tegevusala koondnimetus]],2,FALSE)</f>
        <v>Haridus</v>
      </c>
      <c r="F162" s="90" t="s">
        <v>1428</v>
      </c>
      <c r="G162" s="90" t="s">
        <v>1382</v>
      </c>
      <c r="H162" s="90">
        <v>0.25</v>
      </c>
      <c r="I162" s="90"/>
      <c r="J162" s="90">
        <v>584</v>
      </c>
      <c r="K162" s="90">
        <f t="shared" si="13"/>
        <v>146</v>
      </c>
      <c r="L162" s="90">
        <v>12</v>
      </c>
      <c r="M162" s="90"/>
      <c r="N162" s="92">
        <f>(K162*Table1[[#This Row],[Ühik2]])+M162</f>
        <v>1752</v>
      </c>
      <c r="O162" s="92">
        <f>Table1[[#This Row],[2020. EA ]]*0.338</f>
        <v>592.17600000000004</v>
      </c>
      <c r="P162" s="90"/>
    </row>
    <row r="163" spans="1:18" x14ac:dyDescent="0.25">
      <c r="A163" s="90" t="str">
        <f t="shared" si="16"/>
        <v>09</v>
      </c>
      <c r="B163" s="91" t="s">
        <v>329</v>
      </c>
      <c r="C163" s="90" t="str">
        <f>VLOOKUP(B163,Table4[],2,FALSE)</f>
        <v xml:space="preserve"> Vinni-Pajusti Gümnaasium</v>
      </c>
      <c r="D163" s="94" t="str">
        <f>VLOOKUP(Table1[[#This Row],[Tegevusala]],Table4[[Tegevusala kood]:[Tegevusala alanimetus]],4,FALSE)</f>
        <v>Põhihariduse otsekulud</v>
      </c>
      <c r="E163" s="90" t="str">
        <f>VLOOKUP(C163,Table4[[Tegevusala nimetus]:[Tegevusala koondnimetus]],2,FALSE)</f>
        <v>Haridus</v>
      </c>
      <c r="F163" s="90" t="s">
        <v>1428</v>
      </c>
      <c r="G163" s="90" t="s">
        <v>1382</v>
      </c>
      <c r="H163" s="90">
        <v>1</v>
      </c>
      <c r="I163" s="90"/>
      <c r="J163" s="90">
        <v>584</v>
      </c>
      <c r="K163" s="90">
        <f t="shared" si="13"/>
        <v>584</v>
      </c>
      <c r="L163" s="90">
        <v>12</v>
      </c>
      <c r="M163" s="90"/>
      <c r="N163" s="92">
        <f>(K163*Table1[[#This Row],[Ühik2]])+M163</f>
        <v>7008</v>
      </c>
      <c r="O163" s="92">
        <f>Table1[[#This Row],[2020. EA ]]*0.338</f>
        <v>2368.7040000000002</v>
      </c>
      <c r="P163" s="90"/>
    </row>
    <row r="164" spans="1:18" x14ac:dyDescent="0.25">
      <c r="A164" s="90" t="str">
        <f t="shared" si="16"/>
        <v>09</v>
      </c>
      <c r="B164" s="91" t="s">
        <v>329</v>
      </c>
      <c r="C164" s="90" t="str">
        <f>VLOOKUP(B164,Table4[],2,FALSE)</f>
        <v xml:space="preserve"> Vinni-Pajusti Gümnaasium</v>
      </c>
      <c r="D164" s="94" t="str">
        <f>VLOOKUP(Table1[[#This Row],[Tegevusala]],Table4[[Tegevusala kood]:[Tegevusala alanimetus]],4,FALSE)</f>
        <v>Põhihariduse otsekulud</v>
      </c>
      <c r="E164" s="90" t="str">
        <f>VLOOKUP(C164,Table4[[Tegevusala nimetus]:[Tegevusala koondnimetus]],2,FALSE)</f>
        <v>Haridus</v>
      </c>
      <c r="F164" s="90" t="s">
        <v>1428</v>
      </c>
      <c r="G164" s="90" t="s">
        <v>1383</v>
      </c>
      <c r="H164" s="90">
        <v>1</v>
      </c>
      <c r="I164" s="90"/>
      <c r="J164" s="90">
        <v>584</v>
      </c>
      <c r="K164" s="90">
        <f t="shared" si="13"/>
        <v>584</v>
      </c>
      <c r="L164" s="90">
        <v>12</v>
      </c>
      <c r="M164" s="90"/>
      <c r="N164" s="92">
        <f>(K164*Table1[[#This Row],[Ühik2]])+M164</f>
        <v>7008</v>
      </c>
      <c r="O164" s="92">
        <f>Table1[[#This Row],[2020. EA ]]*0.338</f>
        <v>2368.7040000000002</v>
      </c>
      <c r="P164" s="90"/>
    </row>
    <row r="165" spans="1:18" x14ac:dyDescent="0.25">
      <c r="A165" s="14" t="str">
        <f t="shared" si="16"/>
        <v>09</v>
      </c>
      <c r="B165" t="s">
        <v>329</v>
      </c>
      <c r="C165" s="14" t="str">
        <f>VLOOKUP(B165,Table4[],2,FALSE)</f>
        <v xml:space="preserve"> Vinni-Pajusti Gümnaasium</v>
      </c>
      <c r="D165" s="39" t="str">
        <f>VLOOKUP(Table1[[#This Row],[Tegevusala]],Table4[[Tegevusala kood]:[Tegevusala alanimetus]],4,FALSE)</f>
        <v>Põhihariduse otsekulud</v>
      </c>
      <c r="E165" s="14" t="str">
        <f>VLOOKUP(C165,Table4[[Tegevusala nimetus]:[Tegevusala koondnimetus]],2,FALSE)</f>
        <v>Haridus</v>
      </c>
      <c r="F165" s="14" t="s">
        <v>1428</v>
      </c>
      <c r="G165" s="14" t="s">
        <v>1290</v>
      </c>
      <c r="H165" s="14">
        <v>0.3</v>
      </c>
      <c r="I165" s="14"/>
      <c r="J165" s="14">
        <v>1315</v>
      </c>
      <c r="K165" s="14">
        <f t="shared" si="13"/>
        <v>394.5</v>
      </c>
      <c r="L165" s="14">
        <v>12</v>
      </c>
      <c r="M165" s="14"/>
      <c r="N165" s="44">
        <f>(K165*Table1[[#This Row],[Ühik2]])+M165</f>
        <v>4734</v>
      </c>
      <c r="O165" s="44">
        <f>Table1[[#This Row],[2020. EA ]]*0.338</f>
        <v>1600.0920000000001</v>
      </c>
      <c r="P165" s="14"/>
    </row>
    <row r="166" spans="1:18" x14ac:dyDescent="0.25">
      <c r="A166" s="14" t="str">
        <f t="shared" si="16"/>
        <v>09</v>
      </c>
      <c r="B166" t="s">
        <v>329</v>
      </c>
      <c r="C166" s="14" t="str">
        <f>VLOOKUP(B166,Table4[],2,FALSE)</f>
        <v xml:space="preserve"> Vinni-Pajusti Gümnaasium</v>
      </c>
      <c r="D166" s="39" t="str">
        <f>VLOOKUP(Table1[[#This Row],[Tegevusala]],Table4[[Tegevusala kood]:[Tegevusala alanimetus]],4,FALSE)</f>
        <v>Põhihariduse otsekulud</v>
      </c>
      <c r="E166" s="14" t="str">
        <f>VLOOKUP(C166,Table4[[Tegevusala nimetus]:[Tegevusala koondnimetus]],2,FALSE)</f>
        <v>Haridus</v>
      </c>
      <c r="F166" s="14" t="s">
        <v>1428</v>
      </c>
      <c r="G166" s="14" t="s">
        <v>1290</v>
      </c>
      <c r="H166" s="14">
        <v>1</v>
      </c>
      <c r="I166" s="14"/>
      <c r="J166" s="14">
        <v>1450</v>
      </c>
      <c r="K166" s="14">
        <f t="shared" si="13"/>
        <v>1450</v>
      </c>
      <c r="L166" s="14">
        <v>12</v>
      </c>
      <c r="M166" s="14"/>
      <c r="N166" s="44">
        <f>(K166*Table1[[#This Row],[Ühik2]])+M166</f>
        <v>17400</v>
      </c>
      <c r="O166" s="44">
        <f>Table1[[#This Row],[2020. EA ]]*0.338</f>
        <v>5881.2000000000007</v>
      </c>
      <c r="P166" s="14"/>
    </row>
    <row r="167" spans="1:18" x14ac:dyDescent="0.25">
      <c r="A167" s="90" t="str">
        <f t="shared" si="16"/>
        <v>09</v>
      </c>
      <c r="B167" s="91" t="s">
        <v>329</v>
      </c>
      <c r="C167" s="90" t="str">
        <f>VLOOKUP(B167,Table4[],2,FALSE)</f>
        <v xml:space="preserve"> Vinni-Pajusti Gümnaasium</v>
      </c>
      <c r="D167" s="94" t="str">
        <f>VLOOKUP(Table1[[#This Row],[Tegevusala]],Table4[[Tegevusala kood]:[Tegevusala alanimetus]],4,FALSE)</f>
        <v>Põhihariduse otsekulud</v>
      </c>
      <c r="E167" s="90" t="str">
        <f>VLOOKUP(C167,Table4[[Tegevusala nimetus]:[Tegevusala koondnimetus]],2,FALSE)</f>
        <v>Haridus</v>
      </c>
      <c r="F167" s="90" t="s">
        <v>1428</v>
      </c>
      <c r="G167" s="90" t="s">
        <v>461</v>
      </c>
      <c r="H167" s="90">
        <v>0.5</v>
      </c>
      <c r="I167" s="90"/>
      <c r="J167" s="90">
        <v>584</v>
      </c>
      <c r="K167" s="90">
        <f t="shared" si="13"/>
        <v>292</v>
      </c>
      <c r="L167" s="90">
        <v>12</v>
      </c>
      <c r="M167" s="90"/>
      <c r="N167" s="92">
        <f>(K167*Table1[[#This Row],[Ühik2]])+M167</f>
        <v>3504</v>
      </c>
      <c r="O167" s="92">
        <f>Table1[[#This Row],[2020. EA ]]*0.338</f>
        <v>1184.3520000000001</v>
      </c>
      <c r="P167" s="90"/>
    </row>
    <row r="168" spans="1:18" x14ac:dyDescent="0.25">
      <c r="A168" s="90" t="str">
        <f t="shared" si="16"/>
        <v>09</v>
      </c>
      <c r="B168" s="91" t="s">
        <v>329</v>
      </c>
      <c r="C168" s="90" t="str">
        <f>VLOOKUP(B168,Table4[],2,FALSE)</f>
        <v xml:space="preserve"> Vinni-Pajusti Gümnaasium</v>
      </c>
      <c r="D168" s="94" t="str">
        <f>VLOOKUP(Table1[[#This Row],[Tegevusala]],Table4[[Tegevusala kood]:[Tegevusala alanimetus]],4,FALSE)</f>
        <v>Põhihariduse otsekulud</v>
      </c>
      <c r="E168" s="90" t="str">
        <f>VLOOKUP(C168,Table4[[Tegevusala nimetus]:[Tegevusala koondnimetus]],2,FALSE)</f>
        <v>Haridus</v>
      </c>
      <c r="F168" s="90" t="s">
        <v>1428</v>
      </c>
      <c r="G168" s="90" t="s">
        <v>461</v>
      </c>
      <c r="H168" s="90">
        <v>0.5</v>
      </c>
      <c r="I168" s="90"/>
      <c r="J168" s="90">
        <v>584</v>
      </c>
      <c r="K168" s="90">
        <f t="shared" si="13"/>
        <v>292</v>
      </c>
      <c r="L168" s="90">
        <v>12</v>
      </c>
      <c r="M168" s="90"/>
      <c r="N168" s="92">
        <f>(K168*Table1[[#This Row],[Ühik2]])+M168</f>
        <v>3504</v>
      </c>
      <c r="O168" s="92">
        <f>Table1[[#This Row],[2020. EA ]]*0.338</f>
        <v>1184.3520000000001</v>
      </c>
      <c r="P168" s="90"/>
    </row>
    <row r="169" spans="1:18" x14ac:dyDescent="0.25">
      <c r="A169" s="14" t="str">
        <f t="shared" si="16"/>
        <v>09</v>
      </c>
      <c r="B169" t="s">
        <v>329</v>
      </c>
      <c r="C169" s="14" t="str">
        <f>VLOOKUP(B169,Table4[],2,FALSE)</f>
        <v xml:space="preserve"> Vinni-Pajusti Gümnaasium</v>
      </c>
      <c r="D169" s="39" t="str">
        <f>VLOOKUP(Table1[[#This Row],[Tegevusala]],Table4[[Tegevusala kood]:[Tegevusala alanimetus]],4,FALSE)</f>
        <v>Põhihariduse otsekulud</v>
      </c>
      <c r="E169" s="14" t="str">
        <f>VLOOKUP(C169,Table4[[Tegevusala nimetus]:[Tegevusala koondnimetus]],2,FALSE)</f>
        <v>Haridus</v>
      </c>
      <c r="F169" s="14" t="s">
        <v>1428</v>
      </c>
      <c r="G169" s="14" t="s">
        <v>1351</v>
      </c>
      <c r="H169" s="14">
        <v>1</v>
      </c>
      <c r="I169" s="14"/>
      <c r="J169" s="14">
        <v>1100</v>
      </c>
      <c r="K169" s="14">
        <f t="shared" si="13"/>
        <v>1100</v>
      </c>
      <c r="L169" s="14">
        <v>12</v>
      </c>
      <c r="M169" s="14"/>
      <c r="N169" s="44">
        <f>(K169*Table1[[#This Row],[Ühik2]])+M169</f>
        <v>13200</v>
      </c>
      <c r="O169" s="44">
        <f>Table1[[#This Row],[2020. EA ]]*0.338</f>
        <v>4461.6000000000004</v>
      </c>
      <c r="P169" s="14"/>
    </row>
    <row r="170" spans="1:18" x14ac:dyDescent="0.25">
      <c r="A170" s="14" t="str">
        <f t="shared" si="16"/>
        <v>09</v>
      </c>
      <c r="B170" t="s">
        <v>329</v>
      </c>
      <c r="C170" s="14" t="str">
        <f>VLOOKUP(B170,Table4[],2,FALSE)</f>
        <v xml:space="preserve"> Vinni-Pajusti Gümnaasium</v>
      </c>
      <c r="D170" s="39" t="str">
        <f>VLOOKUP(Table1[[#This Row],[Tegevusala]],Table4[[Tegevusala kood]:[Tegevusala alanimetus]],4,FALSE)</f>
        <v>Põhihariduse otsekulud</v>
      </c>
      <c r="E170" s="14" t="str">
        <f>VLOOKUP(C170,Table4[[Tegevusala nimetus]:[Tegevusala koondnimetus]],2,FALSE)</f>
        <v>Haridus</v>
      </c>
      <c r="F170" s="14" t="s">
        <v>1428</v>
      </c>
      <c r="G170" s="14" t="s">
        <v>1384</v>
      </c>
      <c r="H170" s="14">
        <v>0.5</v>
      </c>
      <c r="I170" s="14"/>
      <c r="J170" s="14">
        <v>700</v>
      </c>
      <c r="K170" s="14">
        <f t="shared" si="13"/>
        <v>350</v>
      </c>
      <c r="L170" s="14">
        <v>12</v>
      </c>
      <c r="M170" s="14"/>
      <c r="N170" s="44">
        <f>(K170*Table1[[#This Row],[Ühik2]])+M170</f>
        <v>4200</v>
      </c>
      <c r="O170" s="44">
        <f>Table1[[#This Row],[2020. EA ]]*0.338</f>
        <v>1419.6000000000001</v>
      </c>
      <c r="P170" s="14"/>
    </row>
    <row r="171" spans="1:18" x14ac:dyDescent="0.25">
      <c r="A171" s="14" t="str">
        <f t="shared" si="16"/>
        <v>09</v>
      </c>
      <c r="B171" t="s">
        <v>329</v>
      </c>
      <c r="C171" s="14" t="str">
        <f>VLOOKUP(B171,Table4[],2,FALSE)</f>
        <v xml:space="preserve"> Vinni-Pajusti Gümnaasium</v>
      </c>
      <c r="D171" s="39" t="str">
        <f>VLOOKUP(Table1[[#This Row],[Tegevusala]],Table4[[Tegevusala kood]:[Tegevusala alanimetus]],4,FALSE)</f>
        <v>Põhihariduse otsekulud</v>
      </c>
      <c r="E171" s="14" t="str">
        <f>VLOOKUP(C171,Table4[[Tegevusala nimetus]:[Tegevusala koondnimetus]],2,FALSE)</f>
        <v>Haridus</v>
      </c>
      <c r="F171" s="14" t="s">
        <v>1428</v>
      </c>
      <c r="G171" s="14" t="s">
        <v>1385</v>
      </c>
      <c r="H171" s="14">
        <v>0.05</v>
      </c>
      <c r="I171" s="14"/>
      <c r="J171" s="14">
        <v>1315</v>
      </c>
      <c r="K171" s="14">
        <f t="shared" si="13"/>
        <v>65.75</v>
      </c>
      <c r="L171" s="14">
        <v>12</v>
      </c>
      <c r="M171" s="14"/>
      <c r="N171" s="44">
        <f>(K171*Table1[[#This Row],[Ühik2]])+M171</f>
        <v>789</v>
      </c>
      <c r="O171" s="44">
        <f>Table1[[#This Row],[2020. EA ]]*0.338</f>
        <v>266.68200000000002</v>
      </c>
      <c r="P171" s="14"/>
    </row>
    <row r="172" spans="1:18" x14ac:dyDescent="0.25">
      <c r="A172" s="14" t="str">
        <f t="shared" si="16"/>
        <v>09</v>
      </c>
      <c r="B172" t="s">
        <v>329</v>
      </c>
      <c r="C172" s="14" t="str">
        <f>VLOOKUP(B172,Table4[],2,FALSE)</f>
        <v xml:space="preserve"> Vinni-Pajusti Gümnaasium</v>
      </c>
      <c r="D172" s="39" t="str">
        <f>VLOOKUP(Table1[[#This Row],[Tegevusala]],Table4[[Tegevusala kood]:[Tegevusala alanimetus]],4,FALSE)</f>
        <v>Põhihariduse otsekulud</v>
      </c>
      <c r="E172" s="14" t="str">
        <f>VLOOKUP(C172,Table4[[Tegevusala nimetus]:[Tegevusala koondnimetus]],2,FALSE)</f>
        <v>Haridus</v>
      </c>
      <c r="F172" s="14" t="s">
        <v>1428</v>
      </c>
      <c r="G172" s="14" t="s">
        <v>1386</v>
      </c>
      <c r="H172" s="14">
        <v>0.05</v>
      </c>
      <c r="I172" s="14"/>
      <c r="J172" s="14">
        <v>700</v>
      </c>
      <c r="K172" s="14">
        <f t="shared" si="13"/>
        <v>35</v>
      </c>
      <c r="L172" s="37">
        <v>10</v>
      </c>
      <c r="M172" s="14"/>
      <c r="N172" s="44">
        <f>(K172*Table1[[#This Row],[Ühik2]])+M172</f>
        <v>350</v>
      </c>
      <c r="O172" s="44">
        <f>Table1[[#This Row],[2020. EA ]]*0.338</f>
        <v>118.30000000000001</v>
      </c>
      <c r="P172" s="14"/>
    </row>
    <row r="173" spans="1:18" x14ac:dyDescent="0.25">
      <c r="A173" s="14" t="str">
        <f t="shared" si="16"/>
        <v>09</v>
      </c>
      <c r="B173" t="s">
        <v>329</v>
      </c>
      <c r="C173" s="14" t="str">
        <f>VLOOKUP(B173,Table4[],2,FALSE)</f>
        <v xml:space="preserve"> Vinni-Pajusti Gümnaasium</v>
      </c>
      <c r="D173" s="39" t="str">
        <f>VLOOKUP(Table1[[#This Row],[Tegevusala]],Table4[[Tegevusala kood]:[Tegevusala alanimetus]],4,FALSE)</f>
        <v>Põhihariduse otsekulud</v>
      </c>
      <c r="E173" s="14" t="str">
        <f>VLOOKUP(C173,Table4[[Tegevusala nimetus]:[Tegevusala koondnimetus]],2,FALSE)</f>
        <v>Haridus</v>
      </c>
      <c r="F173" s="14" t="s">
        <v>1428</v>
      </c>
      <c r="G173" s="14" t="s">
        <v>1386</v>
      </c>
      <c r="H173" s="14">
        <v>0.05</v>
      </c>
      <c r="I173" s="14"/>
      <c r="J173" s="14">
        <v>700</v>
      </c>
      <c r="K173" s="14">
        <f t="shared" si="13"/>
        <v>35</v>
      </c>
      <c r="L173" s="37">
        <v>10</v>
      </c>
      <c r="M173" s="14"/>
      <c r="N173" s="44">
        <f>(K173*Table1[[#This Row],[Ühik2]])+M173</f>
        <v>350</v>
      </c>
      <c r="O173" s="44">
        <f>Table1[[#This Row],[2020. EA ]]*0.338</f>
        <v>118.30000000000001</v>
      </c>
      <c r="P173" s="14"/>
    </row>
    <row r="174" spans="1:18" x14ac:dyDescent="0.25">
      <c r="A174" s="14" t="str">
        <f t="shared" si="16"/>
        <v>09</v>
      </c>
      <c r="B174" t="s">
        <v>329</v>
      </c>
      <c r="C174" s="14" t="str">
        <f>VLOOKUP(B174,Table4[],2,FALSE)</f>
        <v xml:space="preserve"> Vinni-Pajusti Gümnaasium</v>
      </c>
      <c r="D174" s="39" t="str">
        <f>VLOOKUP(Table1[[#This Row],[Tegevusala]],Table4[[Tegevusala kood]:[Tegevusala alanimetus]],4,FALSE)</f>
        <v>Põhihariduse otsekulud</v>
      </c>
      <c r="E174" s="14" t="str">
        <f>VLOOKUP(C174,Table4[[Tegevusala nimetus]:[Tegevusala koondnimetus]],2,FALSE)</f>
        <v>Haridus</v>
      </c>
      <c r="F174" s="14" t="s">
        <v>1428</v>
      </c>
      <c r="G174" s="14" t="s">
        <v>1386</v>
      </c>
      <c r="H174" s="14">
        <v>7.0000000000000007E-2</v>
      </c>
      <c r="I174" s="14"/>
      <c r="J174" s="14">
        <v>700</v>
      </c>
      <c r="K174" s="14">
        <f t="shared" si="13"/>
        <v>49.000000000000007</v>
      </c>
      <c r="L174" s="37">
        <v>10</v>
      </c>
      <c r="M174" s="14"/>
      <c r="N174" s="44">
        <f>(K174*Table1[[#This Row],[Ühik2]])+M174</f>
        <v>490.00000000000006</v>
      </c>
      <c r="O174" s="44">
        <f>Table1[[#This Row],[2020. EA ]]*0.338</f>
        <v>165.62000000000003</v>
      </c>
      <c r="P174" s="14"/>
    </row>
    <row r="175" spans="1:18" x14ac:dyDescent="0.25">
      <c r="A175" s="14" t="str">
        <f t="shared" si="16"/>
        <v>09</v>
      </c>
      <c r="B175" t="s">
        <v>329</v>
      </c>
      <c r="C175" s="14" t="str">
        <f>VLOOKUP(B175,Table4[],2,FALSE)</f>
        <v xml:space="preserve"> Vinni-Pajusti Gümnaasium</v>
      </c>
      <c r="D175" s="39" t="str">
        <f>VLOOKUP(Table1[[#This Row],[Tegevusala]],Table4[[Tegevusala kood]:[Tegevusala alanimetus]],4,FALSE)</f>
        <v>Põhihariduse otsekulud</v>
      </c>
      <c r="E175" s="14" t="str">
        <f>VLOOKUP(C175,Table4[[Tegevusala nimetus]:[Tegevusala koondnimetus]],2,FALSE)</f>
        <v>Haridus</v>
      </c>
      <c r="F175" s="14" t="s">
        <v>1428</v>
      </c>
      <c r="G175" s="14" t="s">
        <v>1386</v>
      </c>
      <c r="H175" s="14">
        <v>0.09</v>
      </c>
      <c r="I175" s="14"/>
      <c r="J175" s="14">
        <v>700</v>
      </c>
      <c r="K175" s="14">
        <f t="shared" si="13"/>
        <v>63</v>
      </c>
      <c r="L175" s="37">
        <v>10</v>
      </c>
      <c r="M175" s="14"/>
      <c r="N175" s="44">
        <f>(K175*Table1[[#This Row],[Ühik2]])+M175</f>
        <v>630</v>
      </c>
      <c r="O175" s="44">
        <f>Table1[[#This Row],[2020. EA ]]*0.338</f>
        <v>212.94000000000003</v>
      </c>
      <c r="P175" s="14"/>
    </row>
    <row r="176" spans="1:18" x14ac:dyDescent="0.25">
      <c r="A176" s="14" t="str">
        <f t="shared" si="16"/>
        <v>09</v>
      </c>
      <c r="B176" t="s">
        <v>329</v>
      </c>
      <c r="C176" s="14" t="str">
        <f>VLOOKUP(B176,Table4[],2,FALSE)</f>
        <v xml:space="preserve"> Vinni-Pajusti Gümnaasium</v>
      </c>
      <c r="D176" s="39" t="str">
        <f>VLOOKUP(Table1[[#This Row],[Tegevusala]],Table4[[Tegevusala kood]:[Tegevusala alanimetus]],4,FALSE)</f>
        <v>Põhihariduse otsekulud</v>
      </c>
      <c r="E176" s="14" t="str">
        <f>VLOOKUP(C176,Table4[[Tegevusala nimetus]:[Tegevusala koondnimetus]],2,FALSE)</f>
        <v>Haridus</v>
      </c>
      <c r="F176" s="14" t="s">
        <v>1428</v>
      </c>
      <c r="G176" s="14" t="s">
        <v>1386</v>
      </c>
      <c r="H176" s="14">
        <v>0.09</v>
      </c>
      <c r="I176" s="14"/>
      <c r="J176" s="14">
        <v>700</v>
      </c>
      <c r="K176" s="14">
        <f t="shared" si="13"/>
        <v>63</v>
      </c>
      <c r="L176" s="37">
        <v>10</v>
      </c>
      <c r="M176" s="14"/>
      <c r="N176" s="44">
        <f>(K176*Table1[[#This Row],[Ühik2]])+M176</f>
        <v>630</v>
      </c>
      <c r="O176" s="44">
        <f>Table1[[#This Row],[2020. EA ]]*0.338</f>
        <v>212.94000000000003</v>
      </c>
      <c r="P176" s="14"/>
    </row>
    <row r="177" spans="1:18" x14ac:dyDescent="0.25">
      <c r="A177" s="14" t="str">
        <f t="shared" si="16"/>
        <v>09</v>
      </c>
      <c r="B177" t="s">
        <v>329</v>
      </c>
      <c r="C177" s="14" t="str">
        <f>VLOOKUP(B177,Table4[],2,FALSE)</f>
        <v xml:space="preserve"> Vinni-Pajusti Gümnaasium</v>
      </c>
      <c r="D177" s="39" t="str">
        <f>VLOOKUP(Table1[[#This Row],[Tegevusala]],Table4[[Tegevusala kood]:[Tegevusala alanimetus]],4,FALSE)</f>
        <v>Põhihariduse otsekulud</v>
      </c>
      <c r="E177" s="14" t="str">
        <f>VLOOKUP(C177,Table4[[Tegevusala nimetus]:[Tegevusala koondnimetus]],2,FALSE)</f>
        <v>Haridus</v>
      </c>
      <c r="F177" s="14" t="s">
        <v>1428</v>
      </c>
      <c r="G177" s="14" t="s">
        <v>1386</v>
      </c>
      <c r="H177" s="14">
        <v>0.09</v>
      </c>
      <c r="I177" s="14"/>
      <c r="J177" s="14">
        <v>700</v>
      </c>
      <c r="K177" s="14">
        <f t="shared" si="13"/>
        <v>63</v>
      </c>
      <c r="L177" s="37">
        <v>10</v>
      </c>
      <c r="M177" s="14"/>
      <c r="N177" s="44">
        <f>(K177*Table1[[#This Row],[Ühik2]])+M177</f>
        <v>630</v>
      </c>
      <c r="O177" s="44">
        <f>Table1[[#This Row],[2020. EA ]]*0.338</f>
        <v>212.94000000000003</v>
      </c>
      <c r="P177" s="14"/>
    </row>
    <row r="178" spans="1:18" x14ac:dyDescent="0.25">
      <c r="A178" s="14" t="str">
        <f t="shared" si="16"/>
        <v>09</v>
      </c>
      <c r="B178" t="s">
        <v>329</v>
      </c>
      <c r="C178" s="14" t="str">
        <f>VLOOKUP(B178,Table4[],2,FALSE)</f>
        <v xml:space="preserve"> Vinni-Pajusti Gümnaasium</v>
      </c>
      <c r="D178" s="39" t="str">
        <f>VLOOKUP(Table1[[#This Row],[Tegevusala]],Table4[[Tegevusala kood]:[Tegevusala alanimetus]],4,FALSE)</f>
        <v>Põhihariduse otsekulud</v>
      </c>
      <c r="E178" s="14" t="str">
        <f>VLOOKUP(C178,Table4[[Tegevusala nimetus]:[Tegevusala koondnimetus]],2,FALSE)</f>
        <v>Haridus</v>
      </c>
      <c r="F178" s="14" t="s">
        <v>1428</v>
      </c>
      <c r="G178" s="14" t="s">
        <v>1386</v>
      </c>
      <c r="H178" s="14">
        <v>0.11</v>
      </c>
      <c r="I178" s="14"/>
      <c r="J178" s="14">
        <v>700</v>
      </c>
      <c r="K178" s="14">
        <f t="shared" si="13"/>
        <v>77</v>
      </c>
      <c r="L178" s="37">
        <v>10</v>
      </c>
      <c r="M178" s="14"/>
      <c r="N178" s="44">
        <f>(K178*Table1[[#This Row],[Ühik2]])+M178</f>
        <v>770</v>
      </c>
      <c r="O178" s="44">
        <f>Table1[[#This Row],[2020. EA ]]*0.338</f>
        <v>260.26</v>
      </c>
      <c r="P178" s="14"/>
    </row>
    <row r="179" spans="1:18" x14ac:dyDescent="0.25">
      <c r="A179" s="14" t="str">
        <f t="shared" si="16"/>
        <v>09</v>
      </c>
      <c r="B179" t="s">
        <v>329</v>
      </c>
      <c r="C179" s="14" t="str">
        <f>VLOOKUP(B179,Table4[],2,FALSE)</f>
        <v xml:space="preserve"> Vinni-Pajusti Gümnaasium</v>
      </c>
      <c r="D179" s="39" t="str">
        <f>VLOOKUP(Table1[[#This Row],[Tegevusala]],Table4[[Tegevusala kood]:[Tegevusala alanimetus]],4,FALSE)</f>
        <v>Põhihariduse otsekulud</v>
      </c>
      <c r="E179" s="14" t="str">
        <f>VLOOKUP(C179,Table4[[Tegevusala nimetus]:[Tegevusala koondnimetus]],2,FALSE)</f>
        <v>Haridus</v>
      </c>
      <c r="F179" s="14" t="s">
        <v>1428</v>
      </c>
      <c r="G179" s="14" t="s">
        <v>1386</v>
      </c>
      <c r="H179" s="14">
        <v>0.14000000000000001</v>
      </c>
      <c r="I179" s="14"/>
      <c r="J179" s="14">
        <v>700</v>
      </c>
      <c r="K179" s="14">
        <f t="shared" si="13"/>
        <v>98.000000000000014</v>
      </c>
      <c r="L179" s="37">
        <v>10</v>
      </c>
      <c r="M179" s="14"/>
      <c r="N179" s="44">
        <f>(K179*Table1[[#This Row],[Ühik2]])+M179</f>
        <v>980.00000000000011</v>
      </c>
      <c r="O179" s="44">
        <f>Table1[[#This Row],[2020. EA ]]*0.338</f>
        <v>331.24000000000007</v>
      </c>
      <c r="P179" s="14"/>
    </row>
    <row r="180" spans="1:18" x14ac:dyDescent="0.25">
      <c r="A180" s="14" t="str">
        <f t="shared" si="16"/>
        <v>09</v>
      </c>
      <c r="B180" t="s">
        <v>329</v>
      </c>
      <c r="C180" s="14" t="str">
        <f>VLOOKUP(B180,Table4[],2,FALSE)</f>
        <v xml:space="preserve"> Vinni-Pajusti Gümnaasium</v>
      </c>
      <c r="D180" s="39" t="str">
        <f>VLOOKUP(Table1[[#This Row],[Tegevusala]],Table4[[Tegevusala kood]:[Tegevusala alanimetus]],4,FALSE)</f>
        <v>Põhihariduse otsekulud</v>
      </c>
      <c r="E180" s="14" t="str">
        <f>VLOOKUP(C180,Table4[[Tegevusala nimetus]:[Tegevusala koondnimetus]],2,FALSE)</f>
        <v>Haridus</v>
      </c>
      <c r="F180" s="14" t="s">
        <v>1428</v>
      </c>
      <c r="G180" s="14" t="s">
        <v>1386</v>
      </c>
      <c r="H180" s="14">
        <v>0.14000000000000001</v>
      </c>
      <c r="I180" s="14"/>
      <c r="J180" s="14">
        <v>700</v>
      </c>
      <c r="K180" s="14">
        <f t="shared" si="13"/>
        <v>98.000000000000014</v>
      </c>
      <c r="L180" s="37">
        <v>10</v>
      </c>
      <c r="M180" s="14"/>
      <c r="N180" s="44">
        <f>(K180*Table1[[#This Row],[Ühik2]])+M180</f>
        <v>980.00000000000011</v>
      </c>
      <c r="O180" s="44">
        <f>Table1[[#This Row],[2020. EA ]]*0.338</f>
        <v>331.24000000000007</v>
      </c>
      <c r="P180" s="14"/>
    </row>
    <row r="181" spans="1:18" x14ac:dyDescent="0.25">
      <c r="A181" s="14" t="str">
        <f t="shared" si="16"/>
        <v>09</v>
      </c>
      <c r="B181" t="s">
        <v>329</v>
      </c>
      <c r="C181" s="14" t="str">
        <f>VLOOKUP(B181,Table4[],2,FALSE)</f>
        <v xml:space="preserve"> Vinni-Pajusti Gümnaasium</v>
      </c>
      <c r="D181" s="39" t="str">
        <f>VLOOKUP(Table1[[#This Row],[Tegevusala]],Table4[[Tegevusala kood]:[Tegevusala alanimetus]],4,FALSE)</f>
        <v>Põhihariduse otsekulud</v>
      </c>
      <c r="E181" s="14" t="str">
        <f>VLOOKUP(C181,Table4[[Tegevusala nimetus]:[Tegevusala koondnimetus]],2,FALSE)</f>
        <v>Haridus</v>
      </c>
      <c r="F181" s="14" t="s">
        <v>1428</v>
      </c>
      <c r="G181" s="14" t="s">
        <v>1386</v>
      </c>
      <c r="H181" s="14">
        <v>0.14000000000000001</v>
      </c>
      <c r="I181" s="14"/>
      <c r="J181" s="14">
        <v>700</v>
      </c>
      <c r="K181" s="14">
        <f t="shared" si="13"/>
        <v>98.000000000000014</v>
      </c>
      <c r="L181" s="37">
        <v>10</v>
      </c>
      <c r="M181" s="14"/>
      <c r="N181" s="44">
        <f>(K181*Table1[[#This Row],[Ühik2]])+M181</f>
        <v>980.00000000000011</v>
      </c>
      <c r="O181" s="44">
        <f>Table1[[#This Row],[2020. EA ]]*0.338</f>
        <v>331.24000000000007</v>
      </c>
      <c r="P181" s="14"/>
    </row>
    <row r="182" spans="1:18" x14ac:dyDescent="0.25">
      <c r="A182" s="14" t="str">
        <f t="shared" ref="A182:A213" si="17">LEFT(B182,2)</f>
        <v>09</v>
      </c>
      <c r="B182" t="s">
        <v>329</v>
      </c>
      <c r="C182" s="14" t="str">
        <f>VLOOKUP(B182,Table4[],2,FALSE)</f>
        <v xml:space="preserve"> Vinni-Pajusti Gümnaasium</v>
      </c>
      <c r="D182" s="39" t="str">
        <f>VLOOKUP(Table1[[#This Row],[Tegevusala]],Table4[[Tegevusala kood]:[Tegevusala alanimetus]],4,FALSE)</f>
        <v>Põhihariduse otsekulud</v>
      </c>
      <c r="E182" s="14" t="str">
        <f>VLOOKUP(C182,Table4[[Tegevusala nimetus]:[Tegevusala koondnimetus]],2,FALSE)</f>
        <v>Haridus</v>
      </c>
      <c r="F182" s="14" t="s">
        <v>1428</v>
      </c>
      <c r="G182" s="14" t="s">
        <v>1386</v>
      </c>
      <c r="H182" s="14">
        <v>0.14000000000000001</v>
      </c>
      <c r="I182" s="14"/>
      <c r="J182" s="14">
        <v>700</v>
      </c>
      <c r="K182" s="14">
        <f t="shared" si="13"/>
        <v>98.000000000000014</v>
      </c>
      <c r="L182" s="37">
        <v>10</v>
      </c>
      <c r="M182" s="14"/>
      <c r="N182" s="44">
        <f>(K182*Table1[[#This Row],[Ühik2]])+M182</f>
        <v>980.00000000000011</v>
      </c>
      <c r="O182" s="44">
        <f>Table1[[#This Row],[2020. EA ]]*0.338</f>
        <v>331.24000000000007</v>
      </c>
      <c r="P182" s="14"/>
    </row>
    <row r="183" spans="1:18" x14ac:dyDescent="0.25">
      <c r="A183" s="14" t="str">
        <f t="shared" si="17"/>
        <v>09</v>
      </c>
      <c r="B183" t="s">
        <v>329</v>
      </c>
      <c r="C183" s="14" t="str">
        <f>VLOOKUP(B183,Table4[],2,FALSE)</f>
        <v xml:space="preserve"> Vinni-Pajusti Gümnaasium</v>
      </c>
      <c r="D183" s="39" t="str">
        <f>VLOOKUP(Table1[[#This Row],[Tegevusala]],Table4[[Tegevusala kood]:[Tegevusala alanimetus]],4,FALSE)</f>
        <v>Põhihariduse otsekulud</v>
      </c>
      <c r="E183" s="14" t="str">
        <f>VLOOKUP(C183,Table4[[Tegevusala nimetus]:[Tegevusala koondnimetus]],2,FALSE)</f>
        <v>Haridus</v>
      </c>
      <c r="F183" s="14" t="s">
        <v>1428</v>
      </c>
      <c r="G183" s="14" t="s">
        <v>1386</v>
      </c>
      <c r="H183" s="14">
        <v>0.23</v>
      </c>
      <c r="I183" s="14"/>
      <c r="J183" s="14">
        <v>700</v>
      </c>
      <c r="K183" s="14">
        <f t="shared" si="13"/>
        <v>161</v>
      </c>
      <c r="L183" s="37">
        <v>10</v>
      </c>
      <c r="M183" s="14"/>
      <c r="N183" s="44">
        <f>(K183*Table1[[#This Row],[Ühik2]])+M183</f>
        <v>1610</v>
      </c>
      <c r="O183" s="44">
        <f>Table1[[#This Row],[2020. EA ]]*0.338</f>
        <v>544.18000000000006</v>
      </c>
      <c r="P183" s="14"/>
    </row>
    <row r="184" spans="1:18" x14ac:dyDescent="0.25">
      <c r="A184" s="14" t="str">
        <f t="shared" si="17"/>
        <v>09</v>
      </c>
      <c r="B184" t="s">
        <v>329</v>
      </c>
      <c r="C184" s="14" t="str">
        <f>VLOOKUP(B184,Table4[],2,FALSE)</f>
        <v xml:space="preserve"> Vinni-Pajusti Gümnaasium</v>
      </c>
      <c r="D184" s="39" t="str">
        <f>VLOOKUP(Table1[[#This Row],[Tegevusala]],Table4[[Tegevusala kood]:[Tegevusala alanimetus]],4,FALSE)</f>
        <v>Põhihariduse otsekulud</v>
      </c>
      <c r="E184" s="14" t="str">
        <f>VLOOKUP(C184,Table4[[Tegevusala nimetus]:[Tegevusala koondnimetus]],2,FALSE)</f>
        <v>Haridus</v>
      </c>
      <c r="F184" s="14" t="s">
        <v>1428</v>
      </c>
      <c r="G184" s="14" t="s">
        <v>1386</v>
      </c>
      <c r="H184" s="14">
        <v>0.27</v>
      </c>
      <c r="I184" s="14"/>
      <c r="J184" s="14">
        <v>700</v>
      </c>
      <c r="K184" s="14">
        <f t="shared" si="13"/>
        <v>189</v>
      </c>
      <c r="L184" s="37">
        <v>10</v>
      </c>
      <c r="M184" s="14"/>
      <c r="N184" s="44">
        <f>(K184*Table1[[#This Row],[Ühik2]])+M184</f>
        <v>1890</v>
      </c>
      <c r="O184" s="44">
        <f>Table1[[#This Row],[2020. EA ]]*0.338</f>
        <v>638.82000000000005</v>
      </c>
      <c r="P184" s="14"/>
    </row>
    <row r="185" spans="1:18" x14ac:dyDescent="0.25">
      <c r="A185" s="14" t="str">
        <f t="shared" si="17"/>
        <v>09</v>
      </c>
      <c r="B185" t="s">
        <v>329</v>
      </c>
      <c r="C185" s="14" t="str">
        <f>VLOOKUP(B185,Table4[],2,FALSE)</f>
        <v xml:space="preserve"> Vinni-Pajusti Gümnaasium</v>
      </c>
      <c r="D185" s="39" t="str">
        <f>VLOOKUP(Table1[[#This Row],[Tegevusala]],Table4[[Tegevusala kood]:[Tegevusala alanimetus]],4,FALSE)</f>
        <v>Põhihariduse otsekulud</v>
      </c>
      <c r="E185" s="14" t="str">
        <f>VLOOKUP(C185,Table4[[Tegevusala nimetus]:[Tegevusala koondnimetus]],2,FALSE)</f>
        <v>Haridus</v>
      </c>
      <c r="F185" s="14" t="s">
        <v>1428</v>
      </c>
      <c r="G185" s="14" t="s">
        <v>1387</v>
      </c>
      <c r="H185" s="14">
        <v>1</v>
      </c>
      <c r="I185" s="14"/>
      <c r="J185" s="14">
        <v>1315</v>
      </c>
      <c r="K185" s="14">
        <f t="shared" si="13"/>
        <v>1315</v>
      </c>
      <c r="L185" s="14">
        <v>12</v>
      </c>
      <c r="M185" s="14"/>
      <c r="N185" s="44">
        <f>(K185*Table1[[#This Row],[Ühik2]])+M185</f>
        <v>15780</v>
      </c>
      <c r="O185" s="44">
        <f>Table1[[#This Row],[2020. EA ]]*0.338</f>
        <v>5333.64</v>
      </c>
      <c r="P185" s="14"/>
    </row>
    <row r="186" spans="1:18" x14ac:dyDescent="0.25">
      <c r="A186" s="14" t="str">
        <f t="shared" si="17"/>
        <v>09</v>
      </c>
      <c r="B186" t="s">
        <v>329</v>
      </c>
      <c r="C186" s="14" t="str">
        <f>VLOOKUP(B186,Table4[],2,FALSE)</f>
        <v xml:space="preserve"> Vinni-Pajusti Gümnaasium</v>
      </c>
      <c r="D186" s="39" t="str">
        <f>VLOOKUP(Table1[[#This Row],[Tegevusala]],Table4[[Tegevusala kood]:[Tegevusala alanimetus]],4,FALSE)</f>
        <v>Põhihariduse otsekulud</v>
      </c>
      <c r="E186" s="14" t="str">
        <f>VLOOKUP(C186,Table4[[Tegevusala nimetus]:[Tegevusala koondnimetus]],2,FALSE)</f>
        <v>Haridus</v>
      </c>
      <c r="F186" s="14" t="s">
        <v>1428</v>
      </c>
      <c r="G186" s="14" t="s">
        <v>510</v>
      </c>
      <c r="H186" s="14">
        <v>1</v>
      </c>
      <c r="I186" s="14"/>
      <c r="J186" s="14">
        <v>700</v>
      </c>
      <c r="K186" s="14">
        <f t="shared" si="13"/>
        <v>700</v>
      </c>
      <c r="L186" s="14">
        <v>12</v>
      </c>
      <c r="M186" s="14"/>
      <c r="N186" s="44">
        <f>(K186*Table1[[#This Row],[Ühik2]])+M186</f>
        <v>8400</v>
      </c>
      <c r="O186" s="44">
        <f>Table1[[#This Row],[2020. EA ]]*0.338</f>
        <v>2839.2000000000003</v>
      </c>
      <c r="P186" s="14"/>
    </row>
    <row r="187" spans="1:18" x14ac:dyDescent="0.25">
      <c r="A187" s="90" t="str">
        <f t="shared" si="17"/>
        <v>09</v>
      </c>
      <c r="B187" s="91" t="s">
        <v>329</v>
      </c>
      <c r="C187" s="90" t="str">
        <f>VLOOKUP(B187,Table4[],2,FALSE)</f>
        <v xml:space="preserve"> Vinni-Pajusti Gümnaasium</v>
      </c>
      <c r="D187" s="94" t="str">
        <f>VLOOKUP(Table1[[#This Row],[Tegevusala]],Table4[[Tegevusala kood]:[Tegevusala alanimetus]],4,FALSE)</f>
        <v>Põhihariduse otsekulud</v>
      </c>
      <c r="E187" s="90" t="str">
        <f>VLOOKUP(C187,Table4[[Tegevusala nimetus]:[Tegevusala koondnimetus]],2,FALSE)</f>
        <v>Haridus</v>
      </c>
      <c r="F187" s="90" t="s">
        <v>1428</v>
      </c>
      <c r="G187" s="90" t="s">
        <v>463</v>
      </c>
      <c r="H187" s="90">
        <v>1</v>
      </c>
      <c r="I187" s="90"/>
      <c r="J187" s="90">
        <v>584</v>
      </c>
      <c r="K187" s="90">
        <f t="shared" si="13"/>
        <v>584</v>
      </c>
      <c r="L187" s="90">
        <v>12</v>
      </c>
      <c r="M187" s="90"/>
      <c r="N187" s="92">
        <f>(K187*Table1[[#This Row],[Ühik2]])+M187</f>
        <v>7008</v>
      </c>
      <c r="O187" s="92">
        <f>Table1[[#This Row],[2020. EA ]]*0.338</f>
        <v>2368.7040000000002</v>
      </c>
      <c r="P187" s="90"/>
    </row>
    <row r="188" spans="1:18" x14ac:dyDescent="0.25">
      <c r="A188" s="14" t="str">
        <f t="shared" si="17"/>
        <v>09</v>
      </c>
      <c r="B188" t="s">
        <v>329</v>
      </c>
      <c r="C188" s="14" t="str">
        <f>VLOOKUP(B188,Table4[],2,FALSE)</f>
        <v xml:space="preserve"> Vinni-Pajusti Gümnaasium</v>
      </c>
      <c r="D188" s="39" t="str">
        <f>VLOOKUP(Table1[[#This Row],[Tegevusala]],Table4[[Tegevusala kood]:[Tegevusala alanimetus]],4,FALSE)</f>
        <v>Põhihariduse otsekulud</v>
      </c>
      <c r="E188" s="14" t="str">
        <f>VLOOKUP(C188,Table4[[Tegevusala nimetus]:[Tegevusala koondnimetus]],2,FALSE)</f>
        <v>Haridus</v>
      </c>
      <c r="F188" s="14" t="s">
        <v>1428</v>
      </c>
      <c r="G188" s="14" t="s">
        <v>1388</v>
      </c>
      <c r="H188" s="14">
        <v>0.09</v>
      </c>
      <c r="I188" s="14"/>
      <c r="J188" s="14">
        <v>700</v>
      </c>
      <c r="K188" s="14">
        <f t="shared" si="13"/>
        <v>63</v>
      </c>
      <c r="L188" s="37">
        <v>10</v>
      </c>
      <c r="M188" s="14"/>
      <c r="N188" s="44">
        <f>(K188*Table1[[#This Row],[Ühik2]])+M188</f>
        <v>630</v>
      </c>
      <c r="O188" s="44">
        <f>Table1[[#This Row],[2020. EA ]]*0.338</f>
        <v>212.94000000000003</v>
      </c>
      <c r="P188" s="14"/>
    </row>
    <row r="189" spans="1:18" x14ac:dyDescent="0.25">
      <c r="A189" s="14" t="str">
        <f t="shared" si="17"/>
        <v>09</v>
      </c>
      <c r="B189" t="s">
        <v>329</v>
      </c>
      <c r="C189" s="14" t="str">
        <f>VLOOKUP(B189,Table4[],2,FALSE)</f>
        <v xml:space="preserve"> Vinni-Pajusti Gümnaasium</v>
      </c>
      <c r="D189" s="39" t="str">
        <f>VLOOKUP(Table1[[#This Row],[Tegevusala]],Table4[[Tegevusala kood]:[Tegevusala alanimetus]],4,FALSE)</f>
        <v>Põhihariduse otsekulud</v>
      </c>
      <c r="E189" s="14" t="str">
        <f>VLOOKUP(C189,Table4[[Tegevusala nimetus]:[Tegevusala koondnimetus]],2,FALSE)</f>
        <v>Haridus</v>
      </c>
      <c r="F189" s="14" t="s">
        <v>1428</v>
      </c>
      <c r="G189" s="14" t="s">
        <v>1389</v>
      </c>
      <c r="H189" s="14">
        <v>0.27</v>
      </c>
      <c r="I189" s="14"/>
      <c r="J189" s="14">
        <v>700</v>
      </c>
      <c r="K189" s="14">
        <f t="shared" si="13"/>
        <v>189</v>
      </c>
      <c r="L189" s="37">
        <v>10</v>
      </c>
      <c r="M189" s="14"/>
      <c r="N189" s="44">
        <f>(K189*Table1[[#This Row],[Ühik2]])+M189</f>
        <v>1890</v>
      </c>
      <c r="O189" s="44">
        <f>Table1[[#This Row],[2020. EA ]]*0.338</f>
        <v>638.82000000000005</v>
      </c>
      <c r="P189" s="14"/>
    </row>
    <row r="190" spans="1:18" x14ac:dyDescent="0.25">
      <c r="A190" s="14" t="str">
        <f t="shared" si="17"/>
        <v>09</v>
      </c>
      <c r="B190" t="s">
        <v>329</v>
      </c>
      <c r="C190" s="14" t="str">
        <f>VLOOKUP(B190,Table4[],2,FALSE)</f>
        <v xml:space="preserve"> Vinni-Pajusti Gümnaasium</v>
      </c>
      <c r="D190" s="39" t="str">
        <f>VLOOKUP(Table1[[#This Row],[Tegevusala]],Table4[[Tegevusala kood]:[Tegevusala alanimetus]],4,FALSE)</f>
        <v>Põhihariduse otsekulud</v>
      </c>
      <c r="E190" s="14" t="str">
        <f>VLOOKUP(C190,Table4[[Tegevusala nimetus]:[Tegevusala koondnimetus]],2,FALSE)</f>
        <v>Haridus</v>
      </c>
      <c r="F190" s="14" t="s">
        <v>1428</v>
      </c>
      <c r="G190" s="14" t="s">
        <v>1390</v>
      </c>
      <c r="H190" s="14">
        <v>0.27</v>
      </c>
      <c r="I190" s="14"/>
      <c r="J190" s="14">
        <v>700</v>
      </c>
      <c r="K190" s="14">
        <f t="shared" si="13"/>
        <v>189</v>
      </c>
      <c r="L190" s="37">
        <v>10</v>
      </c>
      <c r="M190" s="14"/>
      <c r="N190" s="44">
        <f>(K190*Table1[[#This Row],[Ühik2]])+M190</f>
        <v>1890</v>
      </c>
      <c r="O190" s="44">
        <f>Table1[[#This Row],[2020. EA ]]*0.338</f>
        <v>638.82000000000005</v>
      </c>
      <c r="P190" s="14"/>
      <c r="R190" t="s">
        <v>2040</v>
      </c>
    </row>
    <row r="191" spans="1:18" x14ac:dyDescent="0.25">
      <c r="A191" s="14" t="str">
        <f t="shared" si="17"/>
        <v>09</v>
      </c>
      <c r="B191" t="s">
        <v>329</v>
      </c>
      <c r="C191" s="14" t="str">
        <f>VLOOKUP(B191,Table4[],2,FALSE)</f>
        <v xml:space="preserve"> Vinni-Pajusti Gümnaasium</v>
      </c>
      <c r="D191" s="39" t="str">
        <f>VLOOKUP(Table1[[#This Row],[Tegevusala]],Table4[[Tegevusala kood]:[Tegevusala alanimetus]],4,FALSE)</f>
        <v>Põhihariduse otsekulud</v>
      </c>
      <c r="E191" s="14" t="str">
        <f>VLOOKUP(C191,Table4[[Tegevusala nimetus]:[Tegevusala koondnimetus]],2,FALSE)</f>
        <v>Haridus</v>
      </c>
      <c r="F191" s="14" t="s">
        <v>1428</v>
      </c>
      <c r="G191" s="14" t="s">
        <v>1391</v>
      </c>
      <c r="H191" s="14">
        <v>0.09</v>
      </c>
      <c r="I191" s="14"/>
      <c r="J191" s="14">
        <v>700</v>
      </c>
      <c r="K191" s="14">
        <f t="shared" ref="K191:K254" si="18">H191*J191</f>
        <v>63</v>
      </c>
      <c r="L191" s="37">
        <v>10</v>
      </c>
      <c r="M191" s="14"/>
      <c r="N191" s="44">
        <f>(K191*Table1[[#This Row],[Ühik2]])+M191</f>
        <v>630</v>
      </c>
      <c r="O191" s="44">
        <f>Table1[[#This Row],[2020. EA ]]*0.338</f>
        <v>212.94000000000003</v>
      </c>
      <c r="P191" s="14"/>
    </row>
    <row r="192" spans="1:18" x14ac:dyDescent="0.25">
      <c r="A192" s="14" t="str">
        <f t="shared" si="17"/>
        <v>09</v>
      </c>
      <c r="B192" t="s">
        <v>329</v>
      </c>
      <c r="C192" s="14" t="str">
        <f>VLOOKUP(B192,Table4[],2,FALSE)</f>
        <v xml:space="preserve"> Vinni-Pajusti Gümnaasium</v>
      </c>
      <c r="D192" s="39" t="str">
        <f>VLOOKUP(Table1[[#This Row],[Tegevusala]],Table4[[Tegevusala kood]:[Tegevusala alanimetus]],4,FALSE)</f>
        <v>Põhihariduse otsekulud</v>
      </c>
      <c r="E192" s="14" t="str">
        <f>VLOOKUP(C192,Table4[[Tegevusala nimetus]:[Tegevusala koondnimetus]],2,FALSE)</f>
        <v>Haridus</v>
      </c>
      <c r="F192" s="14" t="s">
        <v>1428</v>
      </c>
      <c r="G192" s="14" t="s">
        <v>1392</v>
      </c>
      <c r="H192" s="14">
        <v>1</v>
      </c>
      <c r="I192" s="14"/>
      <c r="J192" s="14">
        <v>700</v>
      </c>
      <c r="K192" s="14">
        <f t="shared" si="18"/>
        <v>700</v>
      </c>
      <c r="L192" s="37">
        <v>10</v>
      </c>
      <c r="M192" s="14"/>
      <c r="N192" s="44">
        <f>(K192*Table1[[#This Row],[Ühik2]])+M192</f>
        <v>7000</v>
      </c>
      <c r="O192" s="44">
        <f>Table1[[#This Row],[2020. EA ]]*0.338</f>
        <v>2366</v>
      </c>
      <c r="P192" s="14"/>
    </row>
    <row r="193" spans="1:18" x14ac:dyDescent="0.25">
      <c r="A193" s="14" t="str">
        <f t="shared" si="17"/>
        <v>09</v>
      </c>
      <c r="B193" t="s">
        <v>329</v>
      </c>
      <c r="C193" s="14" t="str">
        <f>VLOOKUP(B193,Table4[],2,FALSE)</f>
        <v xml:space="preserve"> Vinni-Pajusti Gümnaasium</v>
      </c>
      <c r="D193" s="39" t="str">
        <f>VLOOKUP(Table1[[#This Row],[Tegevusala]],Table4[[Tegevusala kood]:[Tegevusala alanimetus]],4,FALSE)</f>
        <v>Põhihariduse otsekulud</v>
      </c>
      <c r="E193" s="14" t="str">
        <f>VLOOKUP(C193,Table4[[Tegevusala nimetus]:[Tegevusala koondnimetus]],2,FALSE)</f>
        <v>Haridus</v>
      </c>
      <c r="F193" s="14" t="s">
        <v>1428</v>
      </c>
      <c r="G193" s="14" t="s">
        <v>1392</v>
      </c>
      <c r="H193" s="14">
        <v>0.45</v>
      </c>
      <c r="I193" s="14"/>
      <c r="J193" s="14">
        <v>700</v>
      </c>
      <c r="K193" s="14">
        <f t="shared" si="18"/>
        <v>315</v>
      </c>
      <c r="L193" s="37">
        <v>10</v>
      </c>
      <c r="M193" s="14"/>
      <c r="N193" s="44">
        <f>(K193*Table1[[#This Row],[Ühik2]])+M193</f>
        <v>3150</v>
      </c>
      <c r="O193" s="44">
        <f>Table1[[#This Row],[2020. EA ]]*0.338</f>
        <v>1064.7</v>
      </c>
      <c r="P193" s="14"/>
    </row>
    <row r="194" spans="1:18" x14ac:dyDescent="0.25">
      <c r="A194" s="14" t="str">
        <f t="shared" si="17"/>
        <v>09</v>
      </c>
      <c r="B194" t="s">
        <v>329</v>
      </c>
      <c r="C194" s="14" t="str">
        <f>VLOOKUP(B194,Table4[],2,FALSE)</f>
        <v xml:space="preserve"> Vinni-Pajusti Gümnaasium</v>
      </c>
      <c r="D194" s="39" t="str">
        <f>VLOOKUP(Table1[[#This Row],[Tegevusala]],Table4[[Tegevusala kood]:[Tegevusala alanimetus]],4,FALSE)</f>
        <v>Põhihariduse otsekulud</v>
      </c>
      <c r="E194" s="14" t="str">
        <f>VLOOKUP(C194,Table4[[Tegevusala nimetus]:[Tegevusala koondnimetus]],2,FALSE)</f>
        <v>Haridus</v>
      </c>
      <c r="F194" s="14" t="s">
        <v>1428</v>
      </c>
      <c r="G194" s="14" t="s">
        <v>1393</v>
      </c>
      <c r="H194" s="14">
        <v>0.5</v>
      </c>
      <c r="I194" s="14"/>
      <c r="J194" s="14">
        <v>700</v>
      </c>
      <c r="K194" s="14">
        <f t="shared" si="18"/>
        <v>350</v>
      </c>
      <c r="L194" s="37">
        <v>10</v>
      </c>
      <c r="M194" s="14"/>
      <c r="N194" s="44">
        <f>(K194*Table1[[#This Row],[Ühik2]])+M194</f>
        <v>3500</v>
      </c>
      <c r="O194" s="44">
        <f>Table1[[#This Row],[2020. EA ]]*0.338</f>
        <v>1183</v>
      </c>
      <c r="P194" s="14" t="s">
        <v>2187</v>
      </c>
    </row>
    <row r="195" spans="1:18" x14ac:dyDescent="0.25">
      <c r="A195" s="14" t="str">
        <f t="shared" si="17"/>
        <v>09</v>
      </c>
      <c r="B195" t="s">
        <v>329</v>
      </c>
      <c r="C195" s="14" t="str">
        <f>VLOOKUP(B195,Table4[],2,FALSE)</f>
        <v xml:space="preserve"> Vinni-Pajusti Gümnaasium</v>
      </c>
      <c r="D195" s="39" t="str">
        <f>VLOOKUP(Table1[[#This Row],[Tegevusala]],Table4[[Tegevusala kood]:[Tegevusala alanimetus]],4,FALSE)</f>
        <v>Põhihariduse otsekulud</v>
      </c>
      <c r="E195" s="14" t="str">
        <f>VLOOKUP(C195,Table4[[Tegevusala nimetus]:[Tegevusala koondnimetus]],2,FALSE)</f>
        <v>Haridus</v>
      </c>
      <c r="F195" s="14" t="s">
        <v>1428</v>
      </c>
      <c r="G195" s="14" t="s">
        <v>1394</v>
      </c>
      <c r="H195" s="14">
        <v>0.09</v>
      </c>
      <c r="I195" s="14"/>
      <c r="J195" s="14">
        <v>700</v>
      </c>
      <c r="K195" s="14">
        <f t="shared" si="18"/>
        <v>63</v>
      </c>
      <c r="L195" s="37">
        <v>10</v>
      </c>
      <c r="M195" s="14"/>
      <c r="N195" s="44">
        <f>(K195*Table1[[#This Row],[Ühik2]])+M195</f>
        <v>630</v>
      </c>
      <c r="O195" s="44">
        <f>Table1[[#This Row],[2020. EA ]]*0.338</f>
        <v>212.94000000000003</v>
      </c>
      <c r="P195" s="14"/>
    </row>
    <row r="196" spans="1:18" x14ac:dyDescent="0.25">
      <c r="A196" s="14" t="str">
        <f t="shared" si="17"/>
        <v>09</v>
      </c>
      <c r="B196" t="s">
        <v>329</v>
      </c>
      <c r="C196" s="14" t="str">
        <f>VLOOKUP(B196,Table4[],2,FALSE)</f>
        <v xml:space="preserve"> Vinni-Pajusti Gümnaasium</v>
      </c>
      <c r="D196" s="39" t="str">
        <f>VLOOKUP(Table1[[#This Row],[Tegevusala]],Table4[[Tegevusala kood]:[Tegevusala alanimetus]],4,FALSE)</f>
        <v>Põhihariduse otsekulud</v>
      </c>
      <c r="E196" s="14" t="str">
        <f>VLOOKUP(C196,Table4[[Tegevusala nimetus]:[Tegevusala koondnimetus]],2,FALSE)</f>
        <v>Haridus</v>
      </c>
      <c r="F196" s="14" t="s">
        <v>1428</v>
      </c>
      <c r="G196" s="14" t="s">
        <v>1395</v>
      </c>
      <c r="H196" s="14">
        <v>0.05</v>
      </c>
      <c r="I196" s="14"/>
      <c r="J196" s="14">
        <v>700</v>
      </c>
      <c r="K196" s="14">
        <f t="shared" si="18"/>
        <v>35</v>
      </c>
      <c r="L196" s="37">
        <v>10</v>
      </c>
      <c r="M196" s="14"/>
      <c r="N196" s="44">
        <f>(K196*Table1[[#This Row],[Ühik2]])+M196</f>
        <v>350</v>
      </c>
      <c r="O196" s="44">
        <f>Table1[[#This Row],[2020. EA ]]*0.338</f>
        <v>118.30000000000001</v>
      </c>
      <c r="P196" s="14"/>
    </row>
    <row r="197" spans="1:18" x14ac:dyDescent="0.25">
      <c r="A197" s="14" t="str">
        <f t="shared" si="17"/>
        <v>09</v>
      </c>
      <c r="B197" t="s">
        <v>329</v>
      </c>
      <c r="C197" s="14" t="str">
        <f>VLOOKUP(B197,Table4[],2,FALSE)</f>
        <v xml:space="preserve"> Vinni-Pajusti Gümnaasium</v>
      </c>
      <c r="D197" s="39" t="str">
        <f>VLOOKUP(Table1[[#This Row],[Tegevusala]],Table4[[Tegevusala kood]:[Tegevusala alanimetus]],4,FALSE)</f>
        <v>Põhihariduse otsekulud</v>
      </c>
      <c r="E197" s="14" t="str">
        <f>VLOOKUP(C197,Table4[[Tegevusala nimetus]:[Tegevusala koondnimetus]],2,FALSE)</f>
        <v>Haridus</v>
      </c>
      <c r="F197" s="14" t="s">
        <v>1428</v>
      </c>
      <c r="G197" s="14" t="s">
        <v>1396</v>
      </c>
      <c r="H197" s="14">
        <v>0.09</v>
      </c>
      <c r="I197" s="14"/>
      <c r="J197" s="14">
        <v>700</v>
      </c>
      <c r="K197" s="14">
        <f t="shared" si="18"/>
        <v>63</v>
      </c>
      <c r="L197" s="37">
        <v>10</v>
      </c>
      <c r="M197" s="14"/>
      <c r="N197" s="44">
        <f>(K197*Table1[[#This Row],[Ühik2]])+M197</f>
        <v>630</v>
      </c>
      <c r="O197" s="44">
        <f>Table1[[#This Row],[2020. EA ]]*0.338</f>
        <v>212.94000000000003</v>
      </c>
      <c r="P197" s="14"/>
      <c r="R197" t="s">
        <v>2183</v>
      </c>
    </row>
    <row r="198" spans="1:18" x14ac:dyDescent="0.25">
      <c r="A198" s="14" t="str">
        <f t="shared" si="17"/>
        <v>09</v>
      </c>
      <c r="B198" t="s">
        <v>329</v>
      </c>
      <c r="C198" s="14" t="str">
        <f>VLOOKUP(B198,Table4[],2,FALSE)</f>
        <v xml:space="preserve"> Vinni-Pajusti Gümnaasium</v>
      </c>
      <c r="D198" s="39" t="str">
        <f>VLOOKUP(Table1[[#This Row],[Tegevusala]],Table4[[Tegevusala kood]:[Tegevusala alanimetus]],4,FALSE)</f>
        <v>Põhihariduse otsekulud</v>
      </c>
      <c r="E198" s="14" t="str">
        <f>VLOOKUP(C198,Table4[[Tegevusala nimetus]:[Tegevusala koondnimetus]],2,FALSE)</f>
        <v>Haridus</v>
      </c>
      <c r="F198" s="14" t="s">
        <v>1428</v>
      </c>
      <c r="G198" s="14" t="s">
        <v>1397</v>
      </c>
      <c r="H198" s="14">
        <v>0.09</v>
      </c>
      <c r="I198" s="14"/>
      <c r="J198" s="14">
        <v>700</v>
      </c>
      <c r="K198" s="14">
        <f t="shared" si="18"/>
        <v>63</v>
      </c>
      <c r="L198" s="37">
        <v>4</v>
      </c>
      <c r="M198" s="14"/>
      <c r="N198" s="44">
        <f>(K198*Table1[[#This Row],[Ühik2]])+M198</f>
        <v>252</v>
      </c>
      <c r="O198" s="44">
        <f>Table1[[#This Row],[2020. EA ]]*0.338</f>
        <v>85.176000000000002</v>
      </c>
      <c r="P198" s="14" t="s">
        <v>2186</v>
      </c>
    </row>
    <row r="199" spans="1:18" x14ac:dyDescent="0.25">
      <c r="A199" s="14" t="str">
        <f t="shared" si="17"/>
        <v>09</v>
      </c>
      <c r="B199" t="s">
        <v>329</v>
      </c>
      <c r="C199" s="14" t="str">
        <f>VLOOKUP(B199,Table4[],2,FALSE)</f>
        <v xml:space="preserve"> Vinni-Pajusti Gümnaasium</v>
      </c>
      <c r="D199" s="39" t="str">
        <f>VLOOKUP(Table1[[#This Row],[Tegevusala]],Table4[[Tegevusala kood]:[Tegevusala alanimetus]],4,FALSE)</f>
        <v>Põhihariduse otsekulud</v>
      </c>
      <c r="E199" s="14" t="str">
        <f>VLOOKUP(C199,Table4[[Tegevusala nimetus]:[Tegevusala koondnimetus]],2,FALSE)</f>
        <v>Haridus</v>
      </c>
      <c r="F199" s="14" t="s">
        <v>1428</v>
      </c>
      <c r="G199" s="14" t="s">
        <v>1398</v>
      </c>
      <c r="H199" s="14">
        <v>0.14000000000000001</v>
      </c>
      <c r="I199" s="14"/>
      <c r="J199" s="14">
        <v>700</v>
      </c>
      <c r="K199" s="14">
        <f t="shared" si="18"/>
        <v>98.000000000000014</v>
      </c>
      <c r="L199" s="37">
        <v>4</v>
      </c>
      <c r="M199" s="14"/>
      <c r="N199" s="44">
        <f>(K199*Table1[[#This Row],[Ühik2]])+M199</f>
        <v>392.00000000000006</v>
      </c>
      <c r="O199" s="44">
        <f>Table1[[#This Row],[2020. EA ]]*0.338</f>
        <v>132.49600000000004</v>
      </c>
      <c r="P199" s="14" t="s">
        <v>2186</v>
      </c>
    </row>
    <row r="200" spans="1:18" x14ac:dyDescent="0.25">
      <c r="A200" s="14" t="str">
        <f t="shared" si="17"/>
        <v>09</v>
      </c>
      <c r="B200" t="s">
        <v>329</v>
      </c>
      <c r="C200" s="14" t="str">
        <f>VLOOKUP(B200,Table4[],2,FALSE)</f>
        <v xml:space="preserve"> Vinni-Pajusti Gümnaasium</v>
      </c>
      <c r="D200" s="39" t="str">
        <f>VLOOKUP(Table1[[#This Row],[Tegevusala]],Table4[[Tegevusala kood]:[Tegevusala alanimetus]],4,FALSE)</f>
        <v>Põhihariduse otsekulud</v>
      </c>
      <c r="E200" s="14" t="str">
        <f>VLOOKUP(C200,Table4[[Tegevusala nimetus]:[Tegevusala koondnimetus]],2,FALSE)</f>
        <v>Haridus</v>
      </c>
      <c r="F200" s="14" t="s">
        <v>1428</v>
      </c>
      <c r="G200" s="14" t="s">
        <v>1398</v>
      </c>
      <c r="H200" s="14">
        <v>0.32</v>
      </c>
      <c r="I200" s="14"/>
      <c r="J200" s="14">
        <v>700</v>
      </c>
      <c r="K200" s="14">
        <f t="shared" si="18"/>
        <v>224</v>
      </c>
      <c r="L200" s="37">
        <v>4</v>
      </c>
      <c r="M200" s="14"/>
      <c r="N200" s="44">
        <f>(K200*Table1[[#This Row],[Ühik2]])+M200</f>
        <v>896</v>
      </c>
      <c r="O200" s="44">
        <f>Table1[[#This Row],[2020. EA ]]*0.338</f>
        <v>302.84800000000001</v>
      </c>
      <c r="P200" s="14" t="s">
        <v>2186</v>
      </c>
    </row>
    <row r="201" spans="1:18" x14ac:dyDescent="0.25">
      <c r="A201" s="14" t="str">
        <f t="shared" si="17"/>
        <v>09</v>
      </c>
      <c r="B201" t="s">
        <v>329</v>
      </c>
      <c r="C201" s="14" t="str">
        <f>VLOOKUP(B201,Table4[],2,FALSE)</f>
        <v xml:space="preserve"> Vinni-Pajusti Gümnaasium</v>
      </c>
      <c r="D201" s="39" t="str">
        <f>VLOOKUP(Table1[[#This Row],[Tegevusala]],Table4[[Tegevusala kood]:[Tegevusala alanimetus]],4,FALSE)</f>
        <v>Põhihariduse otsekulud</v>
      </c>
      <c r="E201" s="14" t="str">
        <f>VLOOKUP(C201,Table4[[Tegevusala nimetus]:[Tegevusala koondnimetus]],2,FALSE)</f>
        <v>Haridus</v>
      </c>
      <c r="F201" s="14" t="s">
        <v>1428</v>
      </c>
      <c r="G201" s="14" t="s">
        <v>1399</v>
      </c>
      <c r="H201" s="14">
        <v>0.36</v>
      </c>
      <c r="I201" s="14"/>
      <c r="J201" s="14">
        <v>700</v>
      </c>
      <c r="K201" s="14">
        <f t="shared" si="18"/>
        <v>252</v>
      </c>
      <c r="L201" s="37">
        <v>10</v>
      </c>
      <c r="M201" s="14"/>
      <c r="N201" s="44">
        <f>(K201*Table1[[#This Row],[Ühik2]])+M201</f>
        <v>2520</v>
      </c>
      <c r="O201" s="44">
        <f>Table1[[#This Row],[2020. EA ]]*0.338</f>
        <v>851.7600000000001</v>
      </c>
      <c r="P201" s="14"/>
    </row>
    <row r="202" spans="1:18" x14ac:dyDescent="0.25">
      <c r="A202" s="14" t="str">
        <f t="shared" si="17"/>
        <v>09</v>
      </c>
      <c r="B202" t="s">
        <v>329</v>
      </c>
      <c r="C202" s="14" t="str">
        <f>VLOOKUP(B202,Table4[],2,FALSE)</f>
        <v xml:space="preserve"> Vinni-Pajusti Gümnaasium</v>
      </c>
      <c r="D202" s="39" t="str">
        <f>VLOOKUP(Table1[[#This Row],[Tegevusala]],Table4[[Tegevusala kood]:[Tegevusala alanimetus]],4,FALSE)</f>
        <v>Põhihariduse otsekulud</v>
      </c>
      <c r="E202" s="14" t="str">
        <f>VLOOKUP(C202,Table4[[Tegevusala nimetus]:[Tegevusala koondnimetus]],2,FALSE)</f>
        <v>Haridus</v>
      </c>
      <c r="F202" s="14" t="s">
        <v>1428</v>
      </c>
      <c r="G202" s="14" t="s">
        <v>1400</v>
      </c>
      <c r="H202" s="14">
        <v>0.09</v>
      </c>
      <c r="I202" s="14"/>
      <c r="J202" s="14">
        <v>700</v>
      </c>
      <c r="K202" s="14">
        <f t="shared" si="18"/>
        <v>63</v>
      </c>
      <c r="L202" s="37">
        <v>10</v>
      </c>
      <c r="M202" s="14"/>
      <c r="N202" s="44">
        <f>(K202*Table1[[#This Row],[Ühik2]])+M202</f>
        <v>630</v>
      </c>
      <c r="O202" s="44">
        <f>Table1[[#This Row],[2020. EA ]]*0.338</f>
        <v>212.94000000000003</v>
      </c>
      <c r="P202" s="14" t="s">
        <v>2188</v>
      </c>
    </row>
    <row r="203" spans="1:18" x14ac:dyDescent="0.25">
      <c r="A203" s="14" t="str">
        <f t="shared" si="17"/>
        <v>09</v>
      </c>
      <c r="B203" t="s">
        <v>329</v>
      </c>
      <c r="C203" s="14" t="str">
        <f>VLOOKUP(B203,Table4[],2,FALSE)</f>
        <v xml:space="preserve"> Vinni-Pajusti Gümnaasium</v>
      </c>
      <c r="D203" s="39" t="str">
        <f>VLOOKUP(Table1[[#This Row],[Tegevusala]],Table4[[Tegevusala kood]:[Tegevusala alanimetus]],4,FALSE)</f>
        <v>Põhihariduse otsekulud</v>
      </c>
      <c r="E203" s="14" t="str">
        <f>VLOOKUP(C203,Table4[[Tegevusala nimetus]:[Tegevusala koondnimetus]],2,FALSE)</f>
        <v>Haridus</v>
      </c>
      <c r="F203" s="14" t="s">
        <v>1428</v>
      </c>
      <c r="G203" s="14" t="s">
        <v>1401</v>
      </c>
      <c r="H203" s="14">
        <v>0.36</v>
      </c>
      <c r="I203" s="14"/>
      <c r="J203" s="14">
        <v>700</v>
      </c>
      <c r="K203" s="14">
        <f t="shared" si="18"/>
        <v>252</v>
      </c>
      <c r="L203" s="37">
        <v>10</v>
      </c>
      <c r="M203" s="14"/>
      <c r="N203" s="44">
        <f>(K203*Table1[[#This Row],[Ühik2]])+M203</f>
        <v>2520</v>
      </c>
      <c r="O203" s="44">
        <f>Table1[[#This Row],[2020. EA ]]*0.338</f>
        <v>851.7600000000001</v>
      </c>
      <c r="P203" s="14"/>
    </row>
    <row r="204" spans="1:18" x14ac:dyDescent="0.25">
      <c r="A204" s="14" t="str">
        <f t="shared" si="17"/>
        <v>09</v>
      </c>
      <c r="B204" t="s">
        <v>329</v>
      </c>
      <c r="C204" s="14" t="str">
        <f>VLOOKUP(B204,Table4[],2,FALSE)</f>
        <v xml:space="preserve"> Vinni-Pajusti Gümnaasium</v>
      </c>
      <c r="D204" s="39" t="str">
        <f>VLOOKUP(Table1[[#This Row],[Tegevusala]],Table4[[Tegevusala kood]:[Tegevusala alanimetus]],4,FALSE)</f>
        <v>Põhihariduse otsekulud</v>
      </c>
      <c r="E204" s="14" t="str">
        <f>VLOOKUP(C204,Table4[[Tegevusala nimetus]:[Tegevusala koondnimetus]],2,FALSE)</f>
        <v>Haridus</v>
      </c>
      <c r="F204" s="14" t="s">
        <v>1428</v>
      </c>
      <c r="G204" s="14" t="s">
        <v>1402</v>
      </c>
      <c r="H204" s="14">
        <v>0.09</v>
      </c>
      <c r="I204" s="14"/>
      <c r="J204" s="14">
        <v>700</v>
      </c>
      <c r="K204" s="14">
        <f t="shared" si="18"/>
        <v>63</v>
      </c>
      <c r="L204" s="37">
        <v>10</v>
      </c>
      <c r="M204" s="14"/>
      <c r="N204" s="44">
        <f>(K204*Table1[[#This Row],[Ühik2]])+M204</f>
        <v>630</v>
      </c>
      <c r="O204" s="44">
        <f>Table1[[#This Row],[2020. EA ]]*0.338</f>
        <v>212.94000000000003</v>
      </c>
      <c r="P204" s="14" t="s">
        <v>2189</v>
      </c>
    </row>
    <row r="205" spans="1:18" x14ac:dyDescent="0.25">
      <c r="A205" s="14" t="str">
        <f t="shared" si="17"/>
        <v>09</v>
      </c>
      <c r="B205" t="s">
        <v>329</v>
      </c>
      <c r="C205" s="14" t="str">
        <f>VLOOKUP(B205,Table4[],2,FALSE)</f>
        <v xml:space="preserve"> Vinni-Pajusti Gümnaasium</v>
      </c>
      <c r="D205" s="39" t="str">
        <f>VLOOKUP(Table1[[#This Row],[Tegevusala]],Table4[[Tegevusala kood]:[Tegevusala alanimetus]],4,FALSE)</f>
        <v>Põhihariduse otsekulud</v>
      </c>
      <c r="E205" s="14" t="str">
        <f>VLOOKUP(C205,Table4[[Tegevusala nimetus]:[Tegevusala koondnimetus]],2,FALSE)</f>
        <v>Haridus</v>
      </c>
      <c r="F205" s="14" t="s">
        <v>1428</v>
      </c>
      <c r="G205" s="14" t="s">
        <v>1402</v>
      </c>
      <c r="H205" s="14">
        <v>0.09</v>
      </c>
      <c r="I205" s="14"/>
      <c r="J205" s="14">
        <v>700</v>
      </c>
      <c r="K205" s="14">
        <f t="shared" si="18"/>
        <v>63</v>
      </c>
      <c r="L205" s="37">
        <v>10</v>
      </c>
      <c r="M205" s="14"/>
      <c r="N205" s="44">
        <f>(K205*Table1[[#This Row],[Ühik2]])+M205</f>
        <v>630</v>
      </c>
      <c r="O205" s="44">
        <f>Table1[[#This Row],[2020. EA ]]*0.338</f>
        <v>212.94000000000003</v>
      </c>
      <c r="P205" s="14" t="s">
        <v>2189</v>
      </c>
    </row>
    <row r="206" spans="1:18" x14ac:dyDescent="0.25">
      <c r="A206" s="14" t="str">
        <f t="shared" si="17"/>
        <v>09</v>
      </c>
      <c r="B206" t="s">
        <v>329</v>
      </c>
      <c r="C206" s="14" t="str">
        <f>VLOOKUP(B206,Table4[],2,FALSE)</f>
        <v xml:space="preserve"> Vinni-Pajusti Gümnaasium</v>
      </c>
      <c r="D206" s="39" t="str">
        <f>VLOOKUP(Table1[[#This Row],[Tegevusala]],Table4[[Tegevusala kood]:[Tegevusala alanimetus]],4,FALSE)</f>
        <v>Põhihariduse otsekulud</v>
      </c>
      <c r="E206" s="14" t="str">
        <f>VLOOKUP(C206,Table4[[Tegevusala nimetus]:[Tegevusala koondnimetus]],2,FALSE)</f>
        <v>Haridus</v>
      </c>
      <c r="F206" s="14" t="s">
        <v>1428</v>
      </c>
      <c r="G206" s="14" t="s">
        <v>1403</v>
      </c>
      <c r="H206" s="14">
        <v>0.09</v>
      </c>
      <c r="I206" s="14"/>
      <c r="J206" s="14">
        <v>700</v>
      </c>
      <c r="K206" s="14">
        <f t="shared" si="18"/>
        <v>63</v>
      </c>
      <c r="L206" s="37">
        <v>4</v>
      </c>
      <c r="M206" s="14"/>
      <c r="N206" s="44">
        <f>(K206*Table1[[#This Row],[Ühik2]])+M206</f>
        <v>252</v>
      </c>
      <c r="O206" s="44">
        <f>Table1[[#This Row],[2020. EA ]]*0.338</f>
        <v>85.176000000000002</v>
      </c>
      <c r="P206" s="14" t="s">
        <v>2186</v>
      </c>
    </row>
    <row r="207" spans="1:18" x14ac:dyDescent="0.25">
      <c r="A207" s="14" t="str">
        <f t="shared" si="17"/>
        <v>09</v>
      </c>
      <c r="B207" t="s">
        <v>329</v>
      </c>
      <c r="C207" s="14" t="str">
        <f>VLOOKUP(B207,Table4[],2,FALSE)</f>
        <v xml:space="preserve"> Vinni-Pajusti Gümnaasium</v>
      </c>
      <c r="D207" s="39" t="str">
        <f>VLOOKUP(Table1[[#This Row],[Tegevusala]],Table4[[Tegevusala kood]:[Tegevusala alanimetus]],4,FALSE)</f>
        <v>Põhihariduse otsekulud</v>
      </c>
      <c r="E207" s="14" t="str">
        <f>VLOOKUP(C207,Table4[[Tegevusala nimetus]:[Tegevusala koondnimetus]],2,FALSE)</f>
        <v>Haridus</v>
      </c>
      <c r="F207" s="14" t="s">
        <v>1428</v>
      </c>
      <c r="G207" s="14" t="s">
        <v>1404</v>
      </c>
      <c r="H207" s="14">
        <v>0.18</v>
      </c>
      <c r="I207" s="14"/>
      <c r="J207" s="14">
        <v>700</v>
      </c>
      <c r="K207" s="14">
        <f t="shared" si="18"/>
        <v>126</v>
      </c>
      <c r="L207" s="37">
        <v>10</v>
      </c>
      <c r="M207" s="14"/>
      <c r="N207" s="44">
        <f>(K207*Table1[[#This Row],[Ühik2]])+M207</f>
        <v>1260</v>
      </c>
      <c r="O207" s="44">
        <f>Table1[[#This Row],[2020. EA ]]*0.338</f>
        <v>425.88000000000005</v>
      </c>
      <c r="P207" s="14"/>
      <c r="R207" t="s">
        <v>2180</v>
      </c>
    </row>
    <row r="208" spans="1:18" x14ac:dyDescent="0.25">
      <c r="A208" s="14" t="str">
        <f t="shared" si="17"/>
        <v>09</v>
      </c>
      <c r="B208" t="s">
        <v>329</v>
      </c>
      <c r="C208" s="14" t="str">
        <f>VLOOKUP(B208,Table4[],2,FALSE)</f>
        <v xml:space="preserve"> Vinni-Pajusti Gümnaasium</v>
      </c>
      <c r="D208" s="39" t="str">
        <f>VLOOKUP(Table1[[#This Row],[Tegevusala]],Table4[[Tegevusala kood]:[Tegevusala alanimetus]],4,FALSE)</f>
        <v>Põhihariduse otsekulud</v>
      </c>
      <c r="E208" s="14" t="str">
        <f>VLOOKUP(C208,Table4[[Tegevusala nimetus]:[Tegevusala koondnimetus]],2,FALSE)</f>
        <v>Haridus</v>
      </c>
      <c r="F208" s="14" t="s">
        <v>1428</v>
      </c>
      <c r="G208" s="14" t="s">
        <v>1405</v>
      </c>
      <c r="H208" s="14">
        <v>0.09</v>
      </c>
      <c r="I208" s="14"/>
      <c r="J208" s="14">
        <v>700</v>
      </c>
      <c r="K208" s="14">
        <f t="shared" si="18"/>
        <v>63</v>
      </c>
      <c r="L208" s="37">
        <v>4</v>
      </c>
      <c r="M208" s="14"/>
      <c r="N208" s="44">
        <f>(K208*Table1[[#This Row],[Ühik2]])+M208</f>
        <v>252</v>
      </c>
      <c r="O208" s="44">
        <f>Table1[[#This Row],[2020. EA ]]*0.338</f>
        <v>85.176000000000002</v>
      </c>
      <c r="P208" s="14" t="s">
        <v>2186</v>
      </c>
    </row>
    <row r="209" spans="1:16" x14ac:dyDescent="0.25">
      <c r="A209" s="14" t="str">
        <f t="shared" si="17"/>
        <v>09</v>
      </c>
      <c r="B209" t="s">
        <v>329</v>
      </c>
      <c r="C209" s="14" t="str">
        <f>VLOOKUP(B209,Table4[],2,FALSE)</f>
        <v xml:space="preserve"> Vinni-Pajusti Gümnaasium</v>
      </c>
      <c r="D209" s="39" t="str">
        <f>VLOOKUP(Table1[[#This Row],[Tegevusala]],Table4[[Tegevusala kood]:[Tegevusala alanimetus]],4,FALSE)</f>
        <v>Põhihariduse otsekulud</v>
      </c>
      <c r="E209" s="14" t="str">
        <f>VLOOKUP(C209,Table4[[Tegevusala nimetus]:[Tegevusala koondnimetus]],2,FALSE)</f>
        <v>Haridus</v>
      </c>
      <c r="F209" s="14" t="s">
        <v>1428</v>
      </c>
      <c r="G209" s="14" t="s">
        <v>1405</v>
      </c>
      <c r="H209" s="14">
        <v>0.45</v>
      </c>
      <c r="I209" s="14"/>
      <c r="J209" s="14">
        <v>700</v>
      </c>
      <c r="K209" s="14">
        <f t="shared" si="18"/>
        <v>315</v>
      </c>
      <c r="L209" s="37">
        <v>10</v>
      </c>
      <c r="M209" s="14"/>
      <c r="N209" s="44">
        <f>(K209*Table1[[#This Row],[Ühik2]])+M209</f>
        <v>3150</v>
      </c>
      <c r="O209" s="44">
        <f>Table1[[#This Row],[2020. EA ]]*0.338</f>
        <v>1064.7</v>
      </c>
      <c r="P209" s="14"/>
    </row>
    <row r="210" spans="1:16" x14ac:dyDescent="0.25">
      <c r="A210" s="14" t="str">
        <f t="shared" si="17"/>
        <v>09</v>
      </c>
      <c r="B210" t="s">
        <v>329</v>
      </c>
      <c r="C210" s="14" t="str">
        <f>VLOOKUP(B210,Table4[],2,FALSE)</f>
        <v xml:space="preserve"> Vinni-Pajusti Gümnaasium</v>
      </c>
      <c r="D210" s="39" t="str">
        <f>VLOOKUP(Table1[[#This Row],[Tegevusala]],Table4[[Tegevusala kood]:[Tegevusala alanimetus]],4,FALSE)</f>
        <v>Põhihariduse otsekulud</v>
      </c>
      <c r="E210" s="14" t="str">
        <f>VLOOKUP(C210,Table4[[Tegevusala nimetus]:[Tegevusala koondnimetus]],2,FALSE)</f>
        <v>Haridus</v>
      </c>
      <c r="F210" s="14" t="s">
        <v>1428</v>
      </c>
      <c r="G210" s="14" t="s">
        <v>1406</v>
      </c>
      <c r="H210" s="14">
        <v>0.18</v>
      </c>
      <c r="I210" s="14"/>
      <c r="J210" s="14">
        <v>700</v>
      </c>
      <c r="K210" s="14">
        <f t="shared" si="18"/>
        <v>126</v>
      </c>
      <c r="L210" s="37">
        <v>10</v>
      </c>
      <c r="M210" s="14"/>
      <c r="N210" s="44">
        <f>(K210*Table1[[#This Row],[Ühik2]])+M210</f>
        <v>1260</v>
      </c>
      <c r="O210" s="44">
        <f>Table1[[#This Row],[2020. EA ]]*0.338</f>
        <v>425.88000000000005</v>
      </c>
      <c r="P210" s="14"/>
    </row>
    <row r="211" spans="1:16" x14ac:dyDescent="0.25">
      <c r="A211" s="14" t="str">
        <f t="shared" si="17"/>
        <v>09</v>
      </c>
      <c r="B211" t="s">
        <v>329</v>
      </c>
      <c r="C211" s="14" t="str">
        <f>VLOOKUP(B211,Table4[],2,FALSE)</f>
        <v xml:space="preserve"> Vinni-Pajusti Gümnaasium</v>
      </c>
      <c r="D211" s="39" t="str">
        <f>VLOOKUP(Table1[[#This Row],[Tegevusala]],Table4[[Tegevusala kood]:[Tegevusala alanimetus]],4,FALSE)</f>
        <v>Põhihariduse otsekulud</v>
      </c>
      <c r="E211" s="14" t="str">
        <f>VLOOKUP(C211,Table4[[Tegevusala nimetus]:[Tegevusala koondnimetus]],2,FALSE)</f>
        <v>Haridus</v>
      </c>
      <c r="F211" s="14" t="s">
        <v>1428</v>
      </c>
      <c r="G211" s="14" t="s">
        <v>1407</v>
      </c>
      <c r="H211" s="14">
        <v>0.05</v>
      </c>
      <c r="I211" s="14"/>
      <c r="J211" s="14">
        <v>700</v>
      </c>
      <c r="K211" s="14">
        <f t="shared" si="18"/>
        <v>35</v>
      </c>
      <c r="L211" s="37">
        <v>10</v>
      </c>
      <c r="M211" s="14"/>
      <c r="N211" s="44">
        <f>(K211*Table1[[#This Row],[Ühik2]])+M211</f>
        <v>350</v>
      </c>
      <c r="O211" s="44">
        <f>Table1[[#This Row],[2020. EA ]]*0.338</f>
        <v>118.30000000000001</v>
      </c>
      <c r="P211" s="14" t="s">
        <v>2188</v>
      </c>
    </row>
    <row r="212" spans="1:16" x14ac:dyDescent="0.25">
      <c r="A212" s="14" t="str">
        <f t="shared" si="17"/>
        <v>09</v>
      </c>
      <c r="B212" t="s">
        <v>329</v>
      </c>
      <c r="C212" s="14" t="str">
        <f>VLOOKUP(B212,Table4[],2,FALSE)</f>
        <v xml:space="preserve"> Vinni-Pajusti Gümnaasium</v>
      </c>
      <c r="D212" s="39" t="str">
        <f>VLOOKUP(Table1[[#This Row],[Tegevusala]],Table4[[Tegevusala kood]:[Tegevusala alanimetus]],4,FALSE)</f>
        <v>Põhihariduse otsekulud</v>
      </c>
      <c r="E212" s="14" t="str">
        <f>VLOOKUP(C212,Table4[[Tegevusala nimetus]:[Tegevusala koondnimetus]],2,FALSE)</f>
        <v>Haridus</v>
      </c>
      <c r="F212" s="14" t="s">
        <v>1428</v>
      </c>
      <c r="G212" s="14" t="s">
        <v>1408</v>
      </c>
      <c r="H212" s="14">
        <v>0.05</v>
      </c>
      <c r="I212" s="14"/>
      <c r="J212" s="14">
        <v>700</v>
      </c>
      <c r="K212" s="14">
        <f t="shared" si="18"/>
        <v>35</v>
      </c>
      <c r="L212" s="37">
        <v>10</v>
      </c>
      <c r="M212" s="14"/>
      <c r="N212" s="44">
        <f>(K212*Table1[[#This Row],[Ühik2]])+M212</f>
        <v>350</v>
      </c>
      <c r="O212" s="44">
        <f>Table1[[#This Row],[2020. EA ]]*0.338</f>
        <v>118.30000000000001</v>
      </c>
      <c r="P212" s="14"/>
    </row>
    <row r="213" spans="1:16" x14ac:dyDescent="0.25">
      <c r="A213" s="14" t="str">
        <f t="shared" si="17"/>
        <v>09</v>
      </c>
      <c r="B213" t="s">
        <v>329</v>
      </c>
      <c r="C213" s="14" t="str">
        <f>VLOOKUP(B213,Table4[],2,FALSE)</f>
        <v xml:space="preserve"> Vinni-Pajusti Gümnaasium</v>
      </c>
      <c r="D213" s="39" t="str">
        <f>VLOOKUP(Table1[[#This Row],[Tegevusala]],Table4[[Tegevusala kood]:[Tegevusala alanimetus]],4,FALSE)</f>
        <v>Põhihariduse otsekulud</v>
      </c>
      <c r="E213" s="14" t="str">
        <f>VLOOKUP(C213,Table4[[Tegevusala nimetus]:[Tegevusala koondnimetus]],2,FALSE)</f>
        <v>Haridus</v>
      </c>
      <c r="F213" s="14" t="s">
        <v>1428</v>
      </c>
      <c r="G213" s="14" t="s">
        <v>1408</v>
      </c>
      <c r="H213" s="14">
        <v>0.09</v>
      </c>
      <c r="I213" s="14"/>
      <c r="J213" s="14">
        <v>700</v>
      </c>
      <c r="K213" s="14">
        <f t="shared" si="18"/>
        <v>63</v>
      </c>
      <c r="L213" s="37">
        <v>10</v>
      </c>
      <c r="M213" s="14"/>
      <c r="N213" s="44">
        <f>(K213*Table1[[#This Row],[Ühik2]])+M213</f>
        <v>630</v>
      </c>
      <c r="O213" s="44">
        <f>Table1[[#This Row],[2020. EA ]]*0.338</f>
        <v>212.94000000000003</v>
      </c>
      <c r="P213" s="14"/>
    </row>
    <row r="214" spans="1:16" x14ac:dyDescent="0.25">
      <c r="A214" s="14" t="str">
        <f t="shared" ref="A214:A233" si="19">LEFT(B214,2)</f>
        <v>09</v>
      </c>
      <c r="B214" t="s">
        <v>329</v>
      </c>
      <c r="C214" s="14" t="str">
        <f>VLOOKUP(B214,Table4[],2,FALSE)</f>
        <v xml:space="preserve"> Vinni-Pajusti Gümnaasium</v>
      </c>
      <c r="D214" s="39" t="str">
        <f>VLOOKUP(Table1[[#This Row],[Tegevusala]],Table4[[Tegevusala kood]:[Tegevusala alanimetus]],4,FALSE)</f>
        <v>Põhihariduse otsekulud</v>
      </c>
      <c r="E214" s="14" t="str">
        <f>VLOOKUP(C214,Table4[[Tegevusala nimetus]:[Tegevusala koondnimetus]],2,FALSE)</f>
        <v>Haridus</v>
      </c>
      <c r="F214" s="14" t="s">
        <v>1428</v>
      </c>
      <c r="G214" s="14" t="s">
        <v>1409</v>
      </c>
      <c r="H214" s="14">
        <v>0.09</v>
      </c>
      <c r="I214" s="14"/>
      <c r="J214" s="14">
        <v>700</v>
      </c>
      <c r="K214" s="14">
        <f t="shared" si="18"/>
        <v>63</v>
      </c>
      <c r="L214" s="37">
        <v>10</v>
      </c>
      <c r="M214" s="14"/>
      <c r="N214" s="44">
        <f>(K214*Table1[[#This Row],[Ühik2]])+M214</f>
        <v>630</v>
      </c>
      <c r="O214" s="44">
        <f>Table1[[#This Row],[2020. EA ]]*0.338</f>
        <v>212.94000000000003</v>
      </c>
      <c r="P214" s="14"/>
    </row>
    <row r="215" spans="1:16" x14ac:dyDescent="0.25">
      <c r="A215" s="14" t="str">
        <f t="shared" si="19"/>
        <v>09</v>
      </c>
      <c r="B215" t="s">
        <v>329</v>
      </c>
      <c r="C215" s="14" t="str">
        <f>VLOOKUP(B215,Table4[],2,FALSE)</f>
        <v xml:space="preserve"> Vinni-Pajusti Gümnaasium</v>
      </c>
      <c r="D215" s="39" t="str">
        <f>VLOOKUP(Table1[[#This Row],[Tegevusala]],Table4[[Tegevusala kood]:[Tegevusala alanimetus]],4,FALSE)</f>
        <v>Põhihariduse otsekulud</v>
      </c>
      <c r="E215" s="14" t="str">
        <f>VLOOKUP(C215,Table4[[Tegevusala nimetus]:[Tegevusala koondnimetus]],2,FALSE)</f>
        <v>Haridus</v>
      </c>
      <c r="F215" s="14" t="s">
        <v>1428</v>
      </c>
      <c r="G215" s="14" t="s">
        <v>1410</v>
      </c>
      <c r="H215" s="14">
        <v>0.18</v>
      </c>
      <c r="I215" s="14"/>
      <c r="J215" s="14">
        <v>700</v>
      </c>
      <c r="K215" s="14">
        <f t="shared" si="18"/>
        <v>126</v>
      </c>
      <c r="L215" s="37">
        <v>4</v>
      </c>
      <c r="M215" s="14"/>
      <c r="N215" s="44">
        <f>(K215*Table1[[#This Row],[Ühik2]])+M215</f>
        <v>504</v>
      </c>
      <c r="O215" s="44">
        <f>Table1[[#This Row],[2020. EA ]]*0.338</f>
        <v>170.352</v>
      </c>
      <c r="P215" s="14" t="s">
        <v>2186</v>
      </c>
    </row>
    <row r="216" spans="1:16" x14ac:dyDescent="0.25">
      <c r="A216" s="14" t="str">
        <f t="shared" si="19"/>
        <v>09</v>
      </c>
      <c r="B216" t="s">
        <v>329</v>
      </c>
      <c r="C216" s="14" t="str">
        <f>VLOOKUP(B216,Table4[],2,FALSE)</f>
        <v xml:space="preserve"> Vinni-Pajusti Gümnaasium</v>
      </c>
      <c r="D216" s="39" t="str">
        <f>VLOOKUP(Table1[[#This Row],[Tegevusala]],Table4[[Tegevusala kood]:[Tegevusala alanimetus]],4,FALSE)</f>
        <v>Põhihariduse otsekulud</v>
      </c>
      <c r="E216" s="14" t="str">
        <f>VLOOKUP(C216,Table4[[Tegevusala nimetus]:[Tegevusala koondnimetus]],2,FALSE)</f>
        <v>Haridus</v>
      </c>
      <c r="F216" s="14" t="s">
        <v>1428</v>
      </c>
      <c r="G216" s="14" t="s">
        <v>1411</v>
      </c>
      <c r="H216" s="14">
        <v>0.36</v>
      </c>
      <c r="I216" s="14"/>
      <c r="J216" s="14">
        <v>700</v>
      </c>
      <c r="K216" s="14">
        <f t="shared" si="18"/>
        <v>252</v>
      </c>
      <c r="L216" s="37">
        <v>10</v>
      </c>
      <c r="M216" s="14"/>
      <c r="N216" s="44">
        <f>(K216*Table1[[#This Row],[Ühik2]])+M216</f>
        <v>2520</v>
      </c>
      <c r="O216" s="44">
        <f>Table1[[#This Row],[2020. EA ]]*0.338</f>
        <v>851.7600000000001</v>
      </c>
      <c r="P216" s="14"/>
    </row>
    <row r="217" spans="1:16" x14ac:dyDescent="0.25">
      <c r="A217" s="14" t="str">
        <f t="shared" si="19"/>
        <v>09</v>
      </c>
      <c r="B217" t="s">
        <v>329</v>
      </c>
      <c r="C217" s="14" t="str">
        <f>VLOOKUP(B217,Table4[],2,FALSE)</f>
        <v xml:space="preserve"> Vinni-Pajusti Gümnaasium</v>
      </c>
      <c r="D217" s="39" t="str">
        <f>VLOOKUP(Table1[[#This Row],[Tegevusala]],Table4[[Tegevusala kood]:[Tegevusala alanimetus]],4,FALSE)</f>
        <v>Põhihariduse otsekulud</v>
      </c>
      <c r="E217" s="14" t="str">
        <f>VLOOKUP(C217,Table4[[Tegevusala nimetus]:[Tegevusala koondnimetus]],2,FALSE)</f>
        <v>Haridus</v>
      </c>
      <c r="F217" s="14" t="s">
        <v>1428</v>
      </c>
      <c r="G217" s="14" t="s">
        <v>1412</v>
      </c>
      <c r="H217" s="14">
        <v>0.09</v>
      </c>
      <c r="I217" s="14"/>
      <c r="J217" s="14">
        <v>700</v>
      </c>
      <c r="K217" s="14">
        <f t="shared" si="18"/>
        <v>63</v>
      </c>
      <c r="L217" s="37">
        <v>10</v>
      </c>
      <c r="M217" s="14"/>
      <c r="N217" s="44">
        <f>(K217*Table1[[#This Row],[Ühik2]])+M217</f>
        <v>630</v>
      </c>
      <c r="O217" s="44">
        <f>Table1[[#This Row],[2020. EA ]]*0.338</f>
        <v>212.94000000000003</v>
      </c>
      <c r="P217" s="14" t="s">
        <v>2188</v>
      </c>
    </row>
    <row r="218" spans="1:16" x14ac:dyDescent="0.25">
      <c r="A218" s="14" t="str">
        <f t="shared" si="19"/>
        <v>09</v>
      </c>
      <c r="B218" t="s">
        <v>329</v>
      </c>
      <c r="C218" s="14" t="str">
        <f>VLOOKUP(B218,Table4[],2,FALSE)</f>
        <v xml:space="preserve"> Vinni-Pajusti Gümnaasium</v>
      </c>
      <c r="D218" s="39" t="str">
        <f>VLOOKUP(Table1[[#This Row],[Tegevusala]],Table4[[Tegevusala kood]:[Tegevusala alanimetus]],4,FALSE)</f>
        <v>Põhihariduse otsekulud</v>
      </c>
      <c r="E218" s="14" t="str">
        <f>VLOOKUP(C218,Table4[[Tegevusala nimetus]:[Tegevusala koondnimetus]],2,FALSE)</f>
        <v>Haridus</v>
      </c>
      <c r="F218" s="14" t="s">
        <v>1428</v>
      </c>
      <c r="G218" s="14" t="s">
        <v>1413</v>
      </c>
      <c r="H218" s="14">
        <v>0.45</v>
      </c>
      <c r="I218" s="14"/>
      <c r="J218" s="14">
        <v>700</v>
      </c>
      <c r="K218" s="14">
        <f t="shared" si="18"/>
        <v>315</v>
      </c>
      <c r="L218" s="37">
        <v>10</v>
      </c>
      <c r="M218" s="14"/>
      <c r="N218" s="44">
        <f>(K218*Table1[[#This Row],[Ühik2]])+M218</f>
        <v>3150</v>
      </c>
      <c r="O218" s="44">
        <f>Table1[[#This Row],[2020. EA ]]*0.338</f>
        <v>1064.7</v>
      </c>
      <c r="P218" s="14"/>
    </row>
    <row r="219" spans="1:16" x14ac:dyDescent="0.25">
      <c r="A219" s="14" t="str">
        <f t="shared" si="19"/>
        <v>09</v>
      </c>
      <c r="B219" t="s">
        <v>329</v>
      </c>
      <c r="C219" s="14" t="str">
        <f>VLOOKUP(B219,Table4[],2,FALSE)</f>
        <v xml:space="preserve"> Vinni-Pajusti Gümnaasium</v>
      </c>
      <c r="D219" s="39" t="str">
        <f>VLOOKUP(Table1[[#This Row],[Tegevusala]],Table4[[Tegevusala kood]:[Tegevusala alanimetus]],4,FALSE)</f>
        <v>Põhihariduse otsekulud</v>
      </c>
      <c r="E219" s="14" t="str">
        <f>VLOOKUP(C219,Table4[[Tegevusala nimetus]:[Tegevusala koondnimetus]],2,FALSE)</f>
        <v>Haridus</v>
      </c>
      <c r="F219" s="14" t="s">
        <v>1428</v>
      </c>
      <c r="G219" s="14" t="s">
        <v>1414</v>
      </c>
      <c r="H219" s="14">
        <v>0.09</v>
      </c>
      <c r="I219" s="14"/>
      <c r="J219" s="14">
        <v>700</v>
      </c>
      <c r="K219" s="14">
        <f t="shared" si="18"/>
        <v>63</v>
      </c>
      <c r="L219" s="37">
        <v>10</v>
      </c>
      <c r="M219" s="14"/>
      <c r="N219" s="44">
        <f>(K219*Table1[[#This Row],[Ühik2]])+M219</f>
        <v>630</v>
      </c>
      <c r="O219" s="44">
        <f>Table1[[#This Row],[2020. EA ]]*0.338</f>
        <v>212.94000000000003</v>
      </c>
      <c r="P219" s="14" t="s">
        <v>2188</v>
      </c>
    </row>
    <row r="220" spans="1:16" x14ac:dyDescent="0.25">
      <c r="A220" s="14" t="str">
        <f t="shared" si="19"/>
        <v>09</v>
      </c>
      <c r="B220" t="s">
        <v>329</v>
      </c>
      <c r="C220" s="14" t="str">
        <f>VLOOKUP(B220,Table4[],2,FALSE)</f>
        <v xml:space="preserve"> Vinni-Pajusti Gümnaasium</v>
      </c>
      <c r="D220" s="39" t="str">
        <f>VLOOKUP(Table1[[#This Row],[Tegevusala]],Table4[[Tegevusala kood]:[Tegevusala alanimetus]],4,FALSE)</f>
        <v>Põhihariduse otsekulud</v>
      </c>
      <c r="E220" s="14" t="str">
        <f>VLOOKUP(C220,Table4[[Tegevusala nimetus]:[Tegevusala koondnimetus]],2,FALSE)</f>
        <v>Haridus</v>
      </c>
      <c r="F220" s="14" t="s">
        <v>1428</v>
      </c>
      <c r="G220" s="14" t="s">
        <v>1415</v>
      </c>
      <c r="H220" s="14">
        <v>0.18</v>
      </c>
      <c r="I220" s="14"/>
      <c r="J220" s="14">
        <v>700</v>
      </c>
      <c r="K220" s="14">
        <f t="shared" si="18"/>
        <v>126</v>
      </c>
      <c r="L220" s="37">
        <v>4</v>
      </c>
      <c r="M220" s="14"/>
      <c r="N220" s="44">
        <f>(K220*Table1[[#This Row],[Ühik2]])+M220</f>
        <v>504</v>
      </c>
      <c r="O220" s="44">
        <f>Table1[[#This Row],[2020. EA ]]*0.338</f>
        <v>170.352</v>
      </c>
      <c r="P220" s="14" t="s">
        <v>2186</v>
      </c>
    </row>
    <row r="221" spans="1:16" x14ac:dyDescent="0.25">
      <c r="A221" s="14" t="str">
        <f t="shared" si="19"/>
        <v>09</v>
      </c>
      <c r="B221" t="s">
        <v>329</v>
      </c>
      <c r="C221" s="14" t="str">
        <f>VLOOKUP(B221,Table4[],2,FALSE)</f>
        <v xml:space="preserve"> Vinni-Pajusti Gümnaasium</v>
      </c>
      <c r="D221" s="39" t="str">
        <f>VLOOKUP(Table1[[#This Row],[Tegevusala]],Table4[[Tegevusala kood]:[Tegevusala alanimetus]],4,FALSE)</f>
        <v>Põhihariduse otsekulud</v>
      </c>
      <c r="E221" s="14" t="str">
        <f>VLOOKUP(C221,Table4[[Tegevusala nimetus]:[Tegevusala koondnimetus]],2,FALSE)</f>
        <v>Haridus</v>
      </c>
      <c r="F221" s="14" t="s">
        <v>1428</v>
      </c>
      <c r="G221" s="14" t="s">
        <v>1416</v>
      </c>
      <c r="H221" s="14">
        <v>0.25</v>
      </c>
      <c r="I221" s="14"/>
      <c r="J221" s="14">
        <v>700</v>
      </c>
      <c r="K221" s="14">
        <f t="shared" si="18"/>
        <v>175</v>
      </c>
      <c r="L221" s="37">
        <v>10</v>
      </c>
      <c r="M221" s="14"/>
      <c r="N221" s="44">
        <f>(K221*Table1[[#This Row],[Ühik2]])+M221</f>
        <v>1750</v>
      </c>
      <c r="O221" s="44">
        <f>Table1[[#This Row],[2020. EA ]]*0.338</f>
        <v>591.5</v>
      </c>
      <c r="P221" s="14" t="s">
        <v>2188</v>
      </c>
    </row>
    <row r="222" spans="1:16" x14ac:dyDescent="0.25">
      <c r="A222" s="14" t="str">
        <f t="shared" si="19"/>
        <v>09</v>
      </c>
      <c r="B222" t="s">
        <v>329</v>
      </c>
      <c r="C222" s="14" t="str">
        <f>VLOOKUP(B222,Table4[],2,FALSE)</f>
        <v xml:space="preserve"> Vinni-Pajusti Gümnaasium</v>
      </c>
      <c r="D222" s="39" t="str">
        <f>VLOOKUP(Table1[[#This Row],[Tegevusala]],Table4[[Tegevusala kood]:[Tegevusala alanimetus]],4,FALSE)</f>
        <v>Põhihariduse otsekulud</v>
      </c>
      <c r="E222" s="14" t="str">
        <f>VLOOKUP(C222,Table4[[Tegevusala nimetus]:[Tegevusala koondnimetus]],2,FALSE)</f>
        <v>Haridus</v>
      </c>
      <c r="F222" s="14" t="s">
        <v>1428</v>
      </c>
      <c r="G222" s="14" t="s">
        <v>1417</v>
      </c>
      <c r="H222" s="14">
        <v>0.09</v>
      </c>
      <c r="I222" s="14"/>
      <c r="J222" s="14">
        <v>700</v>
      </c>
      <c r="K222" s="14">
        <f t="shared" si="18"/>
        <v>63</v>
      </c>
      <c r="L222" s="37">
        <v>10</v>
      </c>
      <c r="M222" s="14"/>
      <c r="N222" s="44">
        <f>(K222*Table1[[#This Row],[Ühik2]])+M222</f>
        <v>630</v>
      </c>
      <c r="O222" s="44">
        <f>Table1[[#This Row],[2020. EA ]]*0.338</f>
        <v>212.94000000000003</v>
      </c>
      <c r="P222" s="14"/>
    </row>
    <row r="223" spans="1:16" x14ac:dyDescent="0.25">
      <c r="A223" s="14" t="str">
        <f t="shared" si="19"/>
        <v>09</v>
      </c>
      <c r="B223" t="s">
        <v>329</v>
      </c>
      <c r="C223" s="14" t="str">
        <f>VLOOKUP(B223,Table4[],2,FALSE)</f>
        <v xml:space="preserve"> Vinni-Pajusti Gümnaasium</v>
      </c>
      <c r="D223" s="39" t="str">
        <f>VLOOKUP(Table1[[#This Row],[Tegevusala]],Table4[[Tegevusala kood]:[Tegevusala alanimetus]],4,FALSE)</f>
        <v>Põhihariduse otsekulud</v>
      </c>
      <c r="E223" s="14" t="str">
        <f>VLOOKUP(C223,Table4[[Tegevusala nimetus]:[Tegevusala koondnimetus]],2,FALSE)</f>
        <v>Haridus</v>
      </c>
      <c r="F223" s="14" t="s">
        <v>1428</v>
      </c>
      <c r="G223" s="14" t="s">
        <v>1418</v>
      </c>
      <c r="H223" s="14">
        <v>0.09</v>
      </c>
      <c r="I223" s="14"/>
      <c r="J223" s="14">
        <v>700</v>
      </c>
      <c r="K223" s="14">
        <f t="shared" si="18"/>
        <v>63</v>
      </c>
      <c r="L223" s="37">
        <v>10</v>
      </c>
      <c r="M223" s="14"/>
      <c r="N223" s="44">
        <f>(K223*Table1[[#This Row],[Ühik2]])+M223</f>
        <v>630</v>
      </c>
      <c r="O223" s="44">
        <f>Table1[[#This Row],[2020. EA ]]*0.338</f>
        <v>212.94000000000003</v>
      </c>
      <c r="P223" s="14" t="s">
        <v>2188</v>
      </c>
    </row>
    <row r="224" spans="1:16" x14ac:dyDescent="0.25">
      <c r="A224" s="14" t="str">
        <f t="shared" si="19"/>
        <v>09</v>
      </c>
      <c r="B224" t="s">
        <v>329</v>
      </c>
      <c r="C224" s="14" t="str">
        <f>VLOOKUP(B224,Table4[],2,FALSE)</f>
        <v xml:space="preserve"> Vinni-Pajusti Gümnaasium</v>
      </c>
      <c r="D224" s="39" t="str">
        <f>VLOOKUP(Table1[[#This Row],[Tegevusala]],Table4[[Tegevusala kood]:[Tegevusala alanimetus]],4,FALSE)</f>
        <v>Põhihariduse otsekulud</v>
      </c>
      <c r="E224" s="14" t="str">
        <f>VLOOKUP(C224,Table4[[Tegevusala nimetus]:[Tegevusala koondnimetus]],2,FALSE)</f>
        <v>Haridus</v>
      </c>
      <c r="F224" s="14" t="s">
        <v>1428</v>
      </c>
      <c r="G224" s="14" t="s">
        <v>1419</v>
      </c>
      <c r="H224" s="14">
        <v>0.14000000000000001</v>
      </c>
      <c r="I224" s="14"/>
      <c r="J224" s="14">
        <v>700</v>
      </c>
      <c r="K224" s="14">
        <f t="shared" si="18"/>
        <v>98.000000000000014</v>
      </c>
      <c r="L224" s="37">
        <v>10</v>
      </c>
      <c r="M224" s="14"/>
      <c r="N224" s="44">
        <f>(K224*Table1[[#This Row],[Ühik2]])+M224</f>
        <v>980.00000000000011</v>
      </c>
      <c r="O224" s="44">
        <f>Table1[[#This Row],[2020. EA ]]*0.338</f>
        <v>331.24000000000007</v>
      </c>
      <c r="P224" s="14" t="s">
        <v>2188</v>
      </c>
    </row>
    <row r="225" spans="1:18" x14ac:dyDescent="0.25">
      <c r="A225" s="14" t="str">
        <f t="shared" si="19"/>
        <v>09</v>
      </c>
      <c r="B225" t="s">
        <v>329</v>
      </c>
      <c r="C225" s="14" t="str">
        <f>VLOOKUP(B225,Table4[],2,FALSE)</f>
        <v xml:space="preserve"> Vinni-Pajusti Gümnaasium</v>
      </c>
      <c r="D225" s="39" t="str">
        <f>VLOOKUP(Table1[[#This Row],[Tegevusala]],Table4[[Tegevusala kood]:[Tegevusala alanimetus]],4,FALSE)</f>
        <v>Põhihariduse otsekulud</v>
      </c>
      <c r="E225" s="14" t="str">
        <f>VLOOKUP(C225,Table4[[Tegevusala nimetus]:[Tegevusala koondnimetus]],2,FALSE)</f>
        <v>Haridus</v>
      </c>
      <c r="F225" s="14" t="s">
        <v>1428</v>
      </c>
      <c r="G225" s="14" t="s">
        <v>1420</v>
      </c>
      <c r="H225" s="14">
        <v>0.09</v>
      </c>
      <c r="I225" s="14"/>
      <c r="J225" s="14">
        <v>700</v>
      </c>
      <c r="K225" s="14">
        <f t="shared" si="18"/>
        <v>63</v>
      </c>
      <c r="L225" s="37">
        <v>10</v>
      </c>
      <c r="M225" s="14"/>
      <c r="N225" s="44">
        <f>(K225*Table1[[#This Row],[Ühik2]])+M225</f>
        <v>630</v>
      </c>
      <c r="O225" s="44">
        <f>Table1[[#This Row],[2020. EA ]]*0.338</f>
        <v>212.94000000000003</v>
      </c>
      <c r="P225" s="14"/>
    </row>
    <row r="226" spans="1:18" x14ac:dyDescent="0.25">
      <c r="A226" s="14" t="str">
        <f t="shared" si="19"/>
        <v>09</v>
      </c>
      <c r="B226" t="s">
        <v>329</v>
      </c>
      <c r="C226" s="14" t="str">
        <f>VLOOKUP(B226,Table4[],2,FALSE)</f>
        <v xml:space="preserve"> Vinni-Pajusti Gümnaasium</v>
      </c>
      <c r="D226" s="39" t="str">
        <f>VLOOKUP(Table1[[#This Row],[Tegevusala]],Table4[[Tegevusala kood]:[Tegevusala alanimetus]],4,FALSE)</f>
        <v>Põhihariduse otsekulud</v>
      </c>
      <c r="E226" s="14" t="str">
        <f>VLOOKUP(C226,Table4[[Tegevusala nimetus]:[Tegevusala koondnimetus]],2,FALSE)</f>
        <v>Haridus</v>
      </c>
      <c r="F226" s="14" t="s">
        <v>1428</v>
      </c>
      <c r="G226" s="14" t="s">
        <v>1421</v>
      </c>
      <c r="H226" s="14">
        <v>0.27</v>
      </c>
      <c r="I226" s="14"/>
      <c r="J226" s="14">
        <v>700</v>
      </c>
      <c r="K226" s="14">
        <f t="shared" si="18"/>
        <v>189</v>
      </c>
      <c r="L226" s="37">
        <v>10</v>
      </c>
      <c r="M226" s="14"/>
      <c r="N226" s="44">
        <f>(K226*Table1[[#This Row],[Ühik2]])+M226</f>
        <v>1890</v>
      </c>
      <c r="O226" s="44">
        <f>Table1[[#This Row],[2020. EA ]]*0.338</f>
        <v>638.82000000000005</v>
      </c>
      <c r="P226" s="14"/>
    </row>
    <row r="227" spans="1:18" x14ac:dyDescent="0.25">
      <c r="A227" s="14" t="str">
        <f t="shared" si="19"/>
        <v>09</v>
      </c>
      <c r="B227" t="s">
        <v>329</v>
      </c>
      <c r="C227" s="14" t="str">
        <f>VLOOKUP(B227,Table4[],2,FALSE)</f>
        <v xml:space="preserve"> Vinni-Pajusti Gümnaasium</v>
      </c>
      <c r="D227" s="39" t="str">
        <f>VLOOKUP(Table1[[#This Row],[Tegevusala]],Table4[[Tegevusala kood]:[Tegevusala alanimetus]],4,FALSE)</f>
        <v>Põhihariduse otsekulud</v>
      </c>
      <c r="E227" s="14" t="str">
        <f>VLOOKUP(C227,Table4[[Tegevusala nimetus]:[Tegevusala koondnimetus]],2,FALSE)</f>
        <v>Haridus</v>
      </c>
      <c r="F227" s="14" t="s">
        <v>1428</v>
      </c>
      <c r="G227" s="14" t="s">
        <v>1422</v>
      </c>
      <c r="H227" s="14">
        <v>1</v>
      </c>
      <c r="I227" s="14"/>
      <c r="J227" s="14">
        <v>700</v>
      </c>
      <c r="K227" s="14">
        <f t="shared" si="18"/>
        <v>700</v>
      </c>
      <c r="L227" s="14">
        <v>12</v>
      </c>
      <c r="M227" s="14"/>
      <c r="N227" s="44">
        <f>(K227*Table1[[#This Row],[Ühik2]])+M227</f>
        <v>8400</v>
      </c>
      <c r="O227" s="44">
        <f>Table1[[#This Row],[2020. EA ]]*0.338</f>
        <v>2839.2000000000003</v>
      </c>
      <c r="P227" s="14" t="s">
        <v>2181</v>
      </c>
    </row>
    <row r="228" spans="1:18" x14ac:dyDescent="0.25">
      <c r="A228" s="14" t="str">
        <f t="shared" si="19"/>
        <v>09</v>
      </c>
      <c r="B228" t="s">
        <v>329</v>
      </c>
      <c r="C228" s="14" t="str">
        <f>VLOOKUP(B228,Table4[],2,FALSE)</f>
        <v xml:space="preserve"> Vinni-Pajusti Gümnaasium</v>
      </c>
      <c r="D228" s="39" t="str">
        <f>VLOOKUP(Table1[[#This Row],[Tegevusala]],Table4[[Tegevusala kood]:[Tegevusala alanimetus]],4,FALSE)</f>
        <v>Põhihariduse otsekulud</v>
      </c>
      <c r="E228" s="14" t="str">
        <f>VLOOKUP(C228,Table4[[Tegevusala nimetus]:[Tegevusala koondnimetus]],2,FALSE)</f>
        <v>Haridus</v>
      </c>
      <c r="F228" s="14" t="s">
        <v>1428</v>
      </c>
      <c r="G228" s="14" t="s">
        <v>1423</v>
      </c>
      <c r="H228" s="14">
        <v>1</v>
      </c>
      <c r="I228" s="14"/>
      <c r="J228" s="14">
        <v>1315</v>
      </c>
      <c r="K228" s="14">
        <f t="shared" si="18"/>
        <v>1315</v>
      </c>
      <c r="L228" s="14">
        <v>12</v>
      </c>
      <c r="M228" s="14"/>
      <c r="N228" s="44">
        <f>(K228*Table1[[#This Row],[Ühik2]])+M228</f>
        <v>15780</v>
      </c>
      <c r="O228" s="44">
        <f>Table1[[#This Row],[2020. EA ]]*0.338</f>
        <v>5333.64</v>
      </c>
      <c r="P228" s="14"/>
    </row>
    <row r="229" spans="1:18" x14ac:dyDescent="0.25">
      <c r="A229" s="14" t="str">
        <f t="shared" si="19"/>
        <v>09</v>
      </c>
      <c r="B229" t="s">
        <v>329</v>
      </c>
      <c r="C229" s="14" t="str">
        <f>VLOOKUP(B229,Table4[],2,FALSE)</f>
        <v xml:space="preserve"> Vinni-Pajusti Gümnaasium</v>
      </c>
      <c r="D229" s="39" t="str">
        <f>VLOOKUP(Table1[[#This Row],[Tegevusala]],Table4[[Tegevusala kood]:[Tegevusala alanimetus]],4,FALSE)</f>
        <v>Põhihariduse otsekulud</v>
      </c>
      <c r="E229" s="14" t="str">
        <f>VLOOKUP(C229,Table4[[Tegevusala nimetus]:[Tegevusala koondnimetus]],2,FALSE)</f>
        <v>Haridus</v>
      </c>
      <c r="F229" s="14" t="s">
        <v>1428</v>
      </c>
      <c r="G229" s="14" t="s">
        <v>1424</v>
      </c>
      <c r="H229" s="14">
        <v>1</v>
      </c>
      <c r="I229" s="14"/>
      <c r="J229" s="14">
        <v>940</v>
      </c>
      <c r="K229" s="14">
        <f t="shared" si="18"/>
        <v>940</v>
      </c>
      <c r="L229" s="14">
        <v>12</v>
      </c>
      <c r="M229" s="14"/>
      <c r="N229" s="44">
        <f>(K229*Table1[[#This Row],[Ühik2]])+M229</f>
        <v>11280</v>
      </c>
      <c r="O229" s="44">
        <f>Table1[[#This Row],[2020. EA ]]*0.338</f>
        <v>3812.6400000000003</v>
      </c>
      <c r="P229" s="14"/>
    </row>
    <row r="230" spans="1:18" x14ac:dyDescent="0.25">
      <c r="A230" s="90" t="str">
        <f t="shared" si="19"/>
        <v>09</v>
      </c>
      <c r="B230" s="91" t="s">
        <v>329</v>
      </c>
      <c r="C230" s="90" t="str">
        <f>VLOOKUP(B230,Table4[],2,FALSE)</f>
        <v xml:space="preserve"> Vinni-Pajusti Gümnaasium</v>
      </c>
      <c r="D230" s="94" t="str">
        <f>VLOOKUP(Table1[[#This Row],[Tegevusala]],Table4[[Tegevusala kood]:[Tegevusala alanimetus]],4,FALSE)</f>
        <v>Põhihariduse otsekulud</v>
      </c>
      <c r="E230" s="90" t="str">
        <f>VLOOKUP(C230,Table4[[Tegevusala nimetus]:[Tegevusala koondnimetus]],2,FALSE)</f>
        <v>Haridus</v>
      </c>
      <c r="F230" s="90" t="s">
        <v>1428</v>
      </c>
      <c r="G230" s="90" t="s">
        <v>1425</v>
      </c>
      <c r="H230" s="90">
        <v>1</v>
      </c>
      <c r="I230" s="90"/>
      <c r="J230" s="90">
        <v>584</v>
      </c>
      <c r="K230" s="90">
        <f t="shared" si="18"/>
        <v>584</v>
      </c>
      <c r="L230" s="90">
        <v>12</v>
      </c>
      <c r="M230" s="90"/>
      <c r="N230" s="92">
        <f>(K230*Table1[[#This Row],[Ühik2]])+M230</f>
        <v>7008</v>
      </c>
      <c r="O230" s="92">
        <f>Table1[[#This Row],[2020. EA ]]*0.338</f>
        <v>2368.7040000000002</v>
      </c>
      <c r="P230" s="90"/>
    </row>
    <row r="231" spans="1:18" x14ac:dyDescent="0.25">
      <c r="A231" s="14" t="str">
        <f t="shared" si="19"/>
        <v>09</v>
      </c>
      <c r="B231" t="s">
        <v>329</v>
      </c>
      <c r="C231" s="14" t="str">
        <f>VLOOKUP(B231,Table4[],2,FALSE)</f>
        <v xml:space="preserve"> Vinni-Pajusti Gümnaasium</v>
      </c>
      <c r="D231" s="39" t="str">
        <f>VLOOKUP(Table1[[#This Row],[Tegevusala]],Table4[[Tegevusala kood]:[Tegevusala alanimetus]],4,FALSE)</f>
        <v>Põhihariduse otsekulud</v>
      </c>
      <c r="E231" s="14" t="str">
        <f>VLOOKUP(C231,Table4[[Tegevusala nimetus]:[Tegevusala koondnimetus]],2,FALSE)</f>
        <v>Haridus</v>
      </c>
      <c r="F231" s="14" t="s">
        <v>1428</v>
      </c>
      <c r="G231" s="14" t="s">
        <v>1249</v>
      </c>
      <c r="H231" s="14">
        <v>1</v>
      </c>
      <c r="I231" s="14"/>
      <c r="J231" s="14">
        <v>700</v>
      </c>
      <c r="K231" s="14">
        <f t="shared" si="18"/>
        <v>700</v>
      </c>
      <c r="L231" s="14">
        <v>12</v>
      </c>
      <c r="M231" s="14"/>
      <c r="N231" s="44">
        <f>(K231*Table1[[#This Row],[Ühik2]])+M231</f>
        <v>8400</v>
      </c>
      <c r="O231" s="44">
        <f>Table1[[#This Row],[2020. EA ]]*0.338</f>
        <v>2839.2000000000003</v>
      </c>
      <c r="P231" s="14"/>
      <c r="R231" t="s">
        <v>2182</v>
      </c>
    </row>
    <row r="232" spans="1:18" x14ac:dyDescent="0.25">
      <c r="A232" s="14" t="str">
        <f t="shared" si="19"/>
        <v>09</v>
      </c>
      <c r="B232" t="s">
        <v>329</v>
      </c>
      <c r="C232" s="14" t="str">
        <f>VLOOKUP(B232,Table4[],2,FALSE)</f>
        <v xml:space="preserve"> Vinni-Pajusti Gümnaasium</v>
      </c>
      <c r="D232" s="39" t="str">
        <f>VLOOKUP(Table1[[#This Row],[Tegevusala]],Table4[[Tegevusala kood]:[Tegevusala alanimetus]],4,FALSE)</f>
        <v>Põhihariduse otsekulud</v>
      </c>
      <c r="E232" s="14" t="str">
        <f>VLOOKUP(C232,Table4[[Tegevusala nimetus]:[Tegevusala koondnimetus]],2,FALSE)</f>
        <v>Haridus</v>
      </c>
      <c r="F232" s="14" t="s">
        <v>1428</v>
      </c>
      <c r="G232" s="14" t="s">
        <v>1426</v>
      </c>
      <c r="H232" s="14">
        <v>1</v>
      </c>
      <c r="I232" s="14"/>
      <c r="J232" s="14">
        <v>1315</v>
      </c>
      <c r="K232" s="14">
        <f t="shared" si="18"/>
        <v>1315</v>
      </c>
      <c r="L232" s="14">
        <v>12</v>
      </c>
      <c r="M232" s="14"/>
      <c r="N232" s="44">
        <f>(K232*Table1[[#This Row],[Ühik2]])+M232</f>
        <v>15780</v>
      </c>
      <c r="O232" s="44">
        <f>Table1[[#This Row],[2020. EA ]]*0.338</f>
        <v>5333.64</v>
      </c>
      <c r="P232" s="14"/>
    </row>
    <row r="233" spans="1:18" x14ac:dyDescent="0.25">
      <c r="A233" s="14" t="str">
        <f t="shared" si="19"/>
        <v>09</v>
      </c>
      <c r="B233" t="s">
        <v>329</v>
      </c>
      <c r="C233" s="14" t="str">
        <f>VLOOKUP(B233,Table4[],2,FALSE)</f>
        <v xml:space="preserve"> Vinni-Pajusti Gümnaasium</v>
      </c>
      <c r="D233" s="39" t="str">
        <f>VLOOKUP(Table1[[#This Row],[Tegevusala]],Table4[[Tegevusala kood]:[Tegevusala alanimetus]],4,FALSE)</f>
        <v>Põhihariduse otsekulud</v>
      </c>
      <c r="E233" s="14" t="str">
        <f>VLOOKUP(C233,Table4[[Tegevusala nimetus]:[Tegevusala koondnimetus]],2,FALSE)</f>
        <v>Haridus</v>
      </c>
      <c r="F233" s="14" t="s">
        <v>1428</v>
      </c>
      <c r="G233" s="14" t="s">
        <v>1427</v>
      </c>
      <c r="H233" s="14">
        <v>1</v>
      </c>
      <c r="I233" s="14"/>
      <c r="J233" s="14">
        <v>1200</v>
      </c>
      <c r="K233" s="14">
        <f t="shared" si="18"/>
        <v>1200</v>
      </c>
      <c r="L233" s="14">
        <v>4</v>
      </c>
      <c r="M233" s="14"/>
      <c r="N233" s="44">
        <f>(K233*Table1[[#This Row],[Ühik2]])+M233</f>
        <v>4800</v>
      </c>
      <c r="O233" s="44">
        <f>Table1[[#This Row],[2020. EA ]]*0.338</f>
        <v>1622.4</v>
      </c>
      <c r="P233" s="14" t="s">
        <v>2186</v>
      </c>
    </row>
    <row r="234" spans="1:18" x14ac:dyDescent="0.25">
      <c r="A234" s="14" t="str">
        <f t="shared" ref="A234:A242" si="20">LEFT(B234,2)</f>
        <v>09</v>
      </c>
      <c r="B234" t="s">
        <v>332</v>
      </c>
      <c r="C234" s="14" t="str">
        <f>VLOOKUP(B234,Table4[],2,FALSE)</f>
        <v xml:space="preserve"> Põlula kool</v>
      </c>
      <c r="D234" s="39" t="str">
        <f>VLOOKUP(Table1[[#This Row],[Tegevusala]],Table4[[Tegevusala kood]:[Tegevusala alanimetus]],4,FALSE)</f>
        <v>Põhihariduse otsekulud</v>
      </c>
      <c r="E234" s="14" t="str">
        <f>VLOOKUP(C234,Table4[[Tegevusala nimetus]:[Tegevusala koondnimetus]],2,FALSE)</f>
        <v>Haridus</v>
      </c>
      <c r="F234" s="14" t="s">
        <v>1497</v>
      </c>
      <c r="G234" s="14" t="s">
        <v>2176</v>
      </c>
      <c r="H234" s="14">
        <v>1</v>
      </c>
      <c r="I234" s="14" t="s">
        <v>241</v>
      </c>
      <c r="J234" s="14">
        <v>57469.357000000004</v>
      </c>
      <c r="K234" s="14">
        <f t="shared" si="18"/>
        <v>57469.357000000004</v>
      </c>
      <c r="L234" s="14">
        <v>1</v>
      </c>
      <c r="M234" s="14"/>
      <c r="N234" s="44">
        <f>(K234*Table1[[#This Row],[Ühik2]])+M234</f>
        <v>57469.357000000004</v>
      </c>
      <c r="O234" s="44">
        <f>Table1[[#This Row],[2020. EA ]]*0.338</f>
        <v>19424.642666000003</v>
      </c>
      <c r="P234" s="14"/>
    </row>
    <row r="235" spans="1:18" x14ac:dyDescent="0.25">
      <c r="A235" s="14" t="str">
        <f t="shared" si="20"/>
        <v>09</v>
      </c>
      <c r="B235" t="s">
        <v>332</v>
      </c>
      <c r="C235" s="14" t="str">
        <f>VLOOKUP(B235,Table4[],2,FALSE)</f>
        <v xml:space="preserve"> Põlula kool</v>
      </c>
      <c r="D235" s="39" t="str">
        <f>VLOOKUP(Table1[[#This Row],[Tegevusala]],Table4[[Tegevusala kood]:[Tegevusala alanimetus]],4,FALSE)</f>
        <v>Põhihariduse otsekulud</v>
      </c>
      <c r="E235" s="14" t="str">
        <f>VLOOKUP(C235,Table4[[Tegevusala nimetus]:[Tegevusala koondnimetus]],2,FALSE)</f>
        <v>Haridus</v>
      </c>
      <c r="F235" s="14" t="s">
        <v>1497</v>
      </c>
      <c r="G235" s="14" t="s">
        <v>2170</v>
      </c>
      <c r="H235" s="14">
        <v>1</v>
      </c>
      <c r="I235" s="14"/>
      <c r="J235" s="14">
        <v>5399.85</v>
      </c>
      <c r="K235" s="14">
        <f t="shared" si="18"/>
        <v>5399.85</v>
      </c>
      <c r="L235" s="14">
        <v>1</v>
      </c>
      <c r="M235" s="14"/>
      <c r="N235" s="44">
        <f>(K235*Table1[[#This Row],[Ühik2]])+M235</f>
        <v>5399.85</v>
      </c>
      <c r="O235" s="44">
        <f>Table1[[#This Row],[2020. EA ]]*0.338</f>
        <v>1825.1493000000003</v>
      </c>
      <c r="P235" s="14"/>
    </row>
    <row r="236" spans="1:18" x14ac:dyDescent="0.25">
      <c r="A236" s="14" t="str">
        <f t="shared" si="20"/>
        <v>09</v>
      </c>
      <c r="B236" t="s">
        <v>332</v>
      </c>
      <c r="C236" s="14" t="str">
        <f>VLOOKUP(B236,Table4[],2,FALSE)</f>
        <v xml:space="preserve"> Põlula kool</v>
      </c>
      <c r="D236" s="39" t="str">
        <f>VLOOKUP(Table1[[#This Row],[Tegevusala]],Table4[[Tegevusala kood]:[Tegevusala alanimetus]],4,FALSE)</f>
        <v>Põhihariduse otsekulud</v>
      </c>
      <c r="E236" s="14" t="str">
        <f>VLOOKUP(C236,Table4[[Tegevusala nimetus]:[Tegevusala koondnimetus]],2,FALSE)</f>
        <v>Haridus</v>
      </c>
      <c r="F236" s="14" t="s">
        <v>1497</v>
      </c>
      <c r="G236" s="14" t="s">
        <v>1422</v>
      </c>
      <c r="H236" s="14">
        <v>0.3</v>
      </c>
      <c r="I236" s="14"/>
      <c r="J236" s="14">
        <v>666.7</v>
      </c>
      <c r="K236" s="14">
        <f t="shared" si="18"/>
        <v>200.01000000000002</v>
      </c>
      <c r="L236" s="14">
        <v>12</v>
      </c>
      <c r="M236" s="14"/>
      <c r="N236" s="44">
        <f>(K236*Table1[[#This Row],[Ühik2]])+M236</f>
        <v>2400.1200000000003</v>
      </c>
      <c r="O236" s="44">
        <f>Table1[[#This Row],[2020. EA ]]*0.338</f>
        <v>811.24056000000019</v>
      </c>
      <c r="P236" s="14"/>
    </row>
    <row r="237" spans="1:18" x14ac:dyDescent="0.25">
      <c r="A237" s="14" t="str">
        <f t="shared" si="20"/>
        <v>09</v>
      </c>
      <c r="B237" t="s">
        <v>332</v>
      </c>
      <c r="C237" s="14" t="str">
        <f>VLOOKUP(B237,Table4[],2,FALSE)</f>
        <v xml:space="preserve"> Põlula kool</v>
      </c>
      <c r="D237" s="39" t="str">
        <f>VLOOKUP(Table1[[#This Row],[Tegevusala]],Table4[[Tegevusala kood]:[Tegevusala alanimetus]],4,FALSE)</f>
        <v>Põhihariduse otsekulud</v>
      </c>
      <c r="E237" s="14" t="str">
        <f>VLOOKUP(C237,Table4[[Tegevusala nimetus]:[Tegevusala koondnimetus]],2,FALSE)</f>
        <v>Haridus</v>
      </c>
      <c r="F237" s="14" t="s">
        <v>1497</v>
      </c>
      <c r="G237" s="14" t="s">
        <v>510</v>
      </c>
      <c r="H237" s="14">
        <v>0.25</v>
      </c>
      <c r="I237" s="14"/>
      <c r="J237" s="14">
        <v>616</v>
      </c>
      <c r="K237" s="14">
        <f t="shared" si="18"/>
        <v>154</v>
      </c>
      <c r="L237" s="14">
        <v>12</v>
      </c>
      <c r="M237" s="14"/>
      <c r="N237" s="44">
        <f>(K237*Table1[[#This Row],[Ühik2]])+M237</f>
        <v>1848</v>
      </c>
      <c r="O237" s="44">
        <f>Table1[[#This Row],[2020. EA ]]*0.338</f>
        <v>624.62400000000002</v>
      </c>
      <c r="P237" s="14"/>
    </row>
    <row r="238" spans="1:18" x14ac:dyDescent="0.25">
      <c r="A238" s="14" t="str">
        <f t="shared" si="20"/>
        <v>09</v>
      </c>
      <c r="B238" t="s">
        <v>332</v>
      </c>
      <c r="C238" s="14" t="str">
        <f>VLOOKUP(B238,Table4[],2,FALSE)</f>
        <v xml:space="preserve"> Põlula kool</v>
      </c>
      <c r="D238" s="39" t="str">
        <f>VLOOKUP(Table1[[#This Row],[Tegevusala]],Table4[[Tegevusala kood]:[Tegevusala alanimetus]],4,FALSE)</f>
        <v>Põhihariduse otsekulud</v>
      </c>
      <c r="E238" s="14" t="str">
        <f>VLOOKUP(C238,Table4[[Tegevusala nimetus]:[Tegevusala koondnimetus]],2,FALSE)</f>
        <v>Haridus</v>
      </c>
      <c r="F238" s="14" t="s">
        <v>1497</v>
      </c>
      <c r="G238" s="14" t="s">
        <v>1496</v>
      </c>
      <c r="H238" s="14">
        <v>0.56999999999999995</v>
      </c>
      <c r="I238" s="14"/>
      <c r="J238" s="14">
        <v>991.23</v>
      </c>
      <c r="K238" s="14">
        <f t="shared" si="18"/>
        <v>565.00109999999995</v>
      </c>
      <c r="L238" s="14">
        <v>12</v>
      </c>
      <c r="M238" s="14"/>
      <c r="N238" s="44">
        <f>(K238*Table1[[#This Row],[Ühik2]])+M238</f>
        <v>6780.0131999999994</v>
      </c>
      <c r="O238" s="44">
        <f>Table1[[#This Row],[2020. EA ]]*0.338</f>
        <v>2291.6444615999999</v>
      </c>
      <c r="P238" s="14"/>
    </row>
    <row r="239" spans="1:18" x14ac:dyDescent="0.25">
      <c r="A239" s="90" t="str">
        <f t="shared" si="20"/>
        <v>09</v>
      </c>
      <c r="B239" s="91" t="s">
        <v>332</v>
      </c>
      <c r="C239" s="90" t="str">
        <f>VLOOKUP(B239,Table4[],2,FALSE)</f>
        <v xml:space="preserve"> Põlula kool</v>
      </c>
      <c r="D239" s="94" t="str">
        <f>VLOOKUP(Table1[[#This Row],[Tegevusala]],Table4[[Tegevusala kood]:[Tegevusala alanimetus]],4,FALSE)</f>
        <v>Põhihariduse otsekulud</v>
      </c>
      <c r="E239" s="90" t="str">
        <f>VLOOKUP(C239,Table4[[Tegevusala nimetus]:[Tegevusala koondnimetus]],2,FALSE)</f>
        <v>Haridus</v>
      </c>
      <c r="F239" s="90" t="s">
        <v>1497</v>
      </c>
      <c r="G239" s="90" t="s">
        <v>1381</v>
      </c>
      <c r="H239" s="90">
        <v>1</v>
      </c>
      <c r="I239" s="90"/>
      <c r="J239" s="90">
        <v>584</v>
      </c>
      <c r="K239" s="90">
        <f t="shared" si="18"/>
        <v>584</v>
      </c>
      <c r="L239" s="90">
        <v>12</v>
      </c>
      <c r="M239" s="90"/>
      <c r="N239" s="92">
        <f>(K239*Table1[[#This Row],[Ühik2]])+M239</f>
        <v>7008</v>
      </c>
      <c r="O239" s="92">
        <f>Table1[[#This Row],[2020. EA ]]*0.338</f>
        <v>2368.7040000000002</v>
      </c>
      <c r="P239" s="90"/>
    </row>
    <row r="240" spans="1:18" x14ac:dyDescent="0.25">
      <c r="A240" s="90" t="str">
        <f t="shared" si="20"/>
        <v>09</v>
      </c>
      <c r="B240" s="91" t="s">
        <v>332</v>
      </c>
      <c r="C240" s="90" t="str">
        <f>VLOOKUP(B240,Table4[],2,FALSE)</f>
        <v xml:space="preserve"> Põlula kool</v>
      </c>
      <c r="D240" s="94" t="str">
        <f>VLOOKUP(Table1[[#This Row],[Tegevusala]],Table4[[Tegevusala kood]:[Tegevusala alanimetus]],4,FALSE)</f>
        <v>Põhihariduse otsekulud</v>
      </c>
      <c r="E240" s="90" t="str">
        <f>VLOOKUP(C240,Table4[[Tegevusala nimetus]:[Tegevusala koondnimetus]],2,FALSE)</f>
        <v>Haridus</v>
      </c>
      <c r="F240" s="90" t="s">
        <v>1497</v>
      </c>
      <c r="G240" s="90" t="s">
        <v>461</v>
      </c>
      <c r="H240" s="90">
        <v>1</v>
      </c>
      <c r="I240" s="90"/>
      <c r="J240" s="90">
        <v>584</v>
      </c>
      <c r="K240" s="90">
        <f t="shared" si="18"/>
        <v>584</v>
      </c>
      <c r="L240" s="90">
        <v>12</v>
      </c>
      <c r="M240" s="90"/>
      <c r="N240" s="92">
        <f>(K240*Table1[[#This Row],[Ühik2]])+M240</f>
        <v>7008</v>
      </c>
      <c r="O240" s="92">
        <f>Table1[[#This Row],[2020. EA ]]*0.338</f>
        <v>2368.7040000000002</v>
      </c>
      <c r="P240" s="90"/>
    </row>
    <row r="241" spans="1:16" x14ac:dyDescent="0.25">
      <c r="A241" s="14" t="str">
        <f t="shared" si="20"/>
        <v>09</v>
      </c>
      <c r="B241" t="s">
        <v>332</v>
      </c>
      <c r="C241" s="14" t="str">
        <f>VLOOKUP(B241,Table4[],2,FALSE)</f>
        <v xml:space="preserve"> Põlula kool</v>
      </c>
      <c r="D241" s="39" t="str">
        <f>VLOOKUP(Table1[[#This Row],[Tegevusala]],Table4[[Tegevusala kood]:[Tegevusala alanimetus]],4,FALSE)</f>
        <v>Põhihariduse otsekulud</v>
      </c>
      <c r="E241" s="14" t="str">
        <f>VLOOKUP(C241,Table4[[Tegevusala nimetus]:[Tegevusala koondnimetus]],2,FALSE)</f>
        <v>Haridus</v>
      </c>
      <c r="F241" s="14" t="s">
        <v>1497</v>
      </c>
      <c r="G241" s="14" t="s">
        <v>466</v>
      </c>
      <c r="H241" s="14">
        <v>1</v>
      </c>
      <c r="I241" s="14"/>
      <c r="J241" s="14">
        <v>750</v>
      </c>
      <c r="K241" s="14">
        <f t="shared" si="18"/>
        <v>750</v>
      </c>
      <c r="L241" s="14">
        <v>12</v>
      </c>
      <c r="M241" s="14"/>
      <c r="N241" s="44">
        <f>(K241*Table1[[#This Row],[Ühik2]])+M241</f>
        <v>9000</v>
      </c>
      <c r="O241" s="44">
        <f>Table1[[#This Row],[2020. EA ]]*0.338</f>
        <v>3042</v>
      </c>
      <c r="P241" s="14"/>
    </row>
    <row r="242" spans="1:16" x14ac:dyDescent="0.25">
      <c r="A242" s="14" t="str">
        <f t="shared" si="20"/>
        <v>09</v>
      </c>
      <c r="B242" t="s">
        <v>332</v>
      </c>
      <c r="C242" s="14" t="str">
        <f>VLOOKUP(B242,Table4[],2,FALSE)</f>
        <v xml:space="preserve"> Põlula kool</v>
      </c>
      <c r="D242" s="39" t="str">
        <f>VLOOKUP(Table1[[#This Row],[Tegevusala]],Table4[[Tegevusala kood]:[Tegevusala alanimetus]],4,FALSE)</f>
        <v>Põhihariduse otsekulud</v>
      </c>
      <c r="E242" s="14" t="str">
        <f>VLOOKUP(C242,Table4[[Tegevusala nimetus]:[Tegevusala koondnimetus]],2,FALSE)</f>
        <v>Haridus</v>
      </c>
      <c r="F242" s="14" t="s">
        <v>1497</v>
      </c>
      <c r="G242" s="14" t="s">
        <v>1290</v>
      </c>
      <c r="H242" s="14">
        <v>0.6</v>
      </c>
      <c r="I242" s="14"/>
      <c r="J242" s="14">
        <v>983.35</v>
      </c>
      <c r="K242" s="14">
        <f t="shared" si="18"/>
        <v>590.01</v>
      </c>
      <c r="L242" s="14">
        <v>12</v>
      </c>
      <c r="M242" s="14"/>
      <c r="N242" s="44">
        <f>(K242*Table1[[#This Row],[Ühik2]])+M242</f>
        <v>7080.12</v>
      </c>
      <c r="O242" s="44">
        <f>Table1[[#This Row],[2020. EA ]]*0.338</f>
        <v>2393.0805600000003</v>
      </c>
      <c r="P242" s="14"/>
    </row>
    <row r="243" spans="1:16" x14ac:dyDescent="0.25">
      <c r="A243" s="14" t="str">
        <f t="shared" ref="A243:A249" si="21">LEFT(B243,2)</f>
        <v>09</v>
      </c>
      <c r="B243" t="s">
        <v>332</v>
      </c>
      <c r="C243" s="14" t="str">
        <f>VLOOKUP(B243,Table4[],2,FALSE)</f>
        <v xml:space="preserve"> Põlula kool</v>
      </c>
      <c r="D243" s="39" t="str">
        <f>VLOOKUP(Table1[[#This Row],[Tegevusala]],Table4[[Tegevusala kood]:[Tegevusala alanimetus]],4,FALSE)</f>
        <v>Põhihariduse otsekulud</v>
      </c>
      <c r="E243" s="14" t="str">
        <f>VLOOKUP(C243,Table4[[Tegevusala nimetus]:[Tegevusala koondnimetus]],2,FALSE)</f>
        <v>Haridus</v>
      </c>
      <c r="F243" s="14" t="s">
        <v>1497</v>
      </c>
      <c r="G243" s="14" t="s">
        <v>1498</v>
      </c>
      <c r="H243" s="14">
        <v>1</v>
      </c>
      <c r="I243" s="14" t="s">
        <v>241</v>
      </c>
      <c r="J243" s="14">
        <v>100</v>
      </c>
      <c r="K243" s="14">
        <f t="shared" si="18"/>
        <v>100</v>
      </c>
      <c r="L243" s="14">
        <v>12</v>
      </c>
      <c r="M243" s="14"/>
      <c r="N243" s="44">
        <f>(K243*Table1[[#This Row],[Ühik2]])+M243</f>
        <v>1200</v>
      </c>
      <c r="O243" s="44">
        <f>Table1[[#This Row],[2020. EA ]]*0.338</f>
        <v>405.6</v>
      </c>
      <c r="P243" s="14"/>
    </row>
    <row r="244" spans="1:16" x14ac:dyDescent="0.25">
      <c r="A244" s="14" t="str">
        <f t="shared" si="21"/>
        <v>09</v>
      </c>
      <c r="B244" t="s">
        <v>343</v>
      </c>
      <c r="C244" s="14" t="str">
        <f>VLOOKUP(B244,Table4[],2,FALSE)</f>
        <v xml:space="preserve"> Haldus</v>
      </c>
      <c r="D244" s="39" t="str">
        <f>VLOOKUP(Table1[[#This Row],[Tegevusala]],Table4[[Tegevusala kood]:[Tegevusala alanimetus]],4,FALSE)</f>
        <v>Muu haridus, sh hariduse haldus</v>
      </c>
      <c r="E244" s="14" t="str">
        <f>VLOOKUP(C244,Table4[[Tegevusala nimetus]:[Tegevusala koondnimetus]],2,FALSE)</f>
        <v>Haridus</v>
      </c>
      <c r="F244" s="14" t="s">
        <v>1519</v>
      </c>
      <c r="G244" s="14" t="s">
        <v>1519</v>
      </c>
      <c r="H244" s="14">
        <v>1</v>
      </c>
      <c r="I244" s="14"/>
      <c r="J244" s="14">
        <v>1560</v>
      </c>
      <c r="K244" s="14">
        <f t="shared" si="18"/>
        <v>1560</v>
      </c>
      <c r="L244" s="14">
        <v>12</v>
      </c>
      <c r="M244" s="14"/>
      <c r="N244" s="44">
        <f>(K244*Table1[[#This Row],[Ühik2]])+M244</f>
        <v>18720</v>
      </c>
      <c r="O244" s="44">
        <f>Table1[[#This Row],[2020. EA ]]*0.338</f>
        <v>6327.3600000000006</v>
      </c>
      <c r="P244" s="14"/>
    </row>
    <row r="245" spans="1:16" x14ac:dyDescent="0.25">
      <c r="A245" s="14" t="str">
        <f t="shared" si="21"/>
        <v>09</v>
      </c>
      <c r="B245" t="s">
        <v>343</v>
      </c>
      <c r="C245" s="14" t="str">
        <f>VLOOKUP(B245,Table4[],2,FALSE)</f>
        <v xml:space="preserve"> Haldus</v>
      </c>
      <c r="D245" s="39" t="str">
        <f>VLOOKUP(Table1[[#This Row],[Tegevusala]],Table4[[Tegevusala kood]:[Tegevusala alanimetus]],4,FALSE)</f>
        <v>Muu haridus, sh hariduse haldus</v>
      </c>
      <c r="E245" s="14" t="str">
        <f>VLOOKUP(C245,Table4[[Tegevusala nimetus]:[Tegevusala koondnimetus]],2,FALSE)</f>
        <v>Haridus</v>
      </c>
      <c r="F245" s="14" t="s">
        <v>1519</v>
      </c>
      <c r="G245" s="14" t="s">
        <v>1520</v>
      </c>
      <c r="H245" s="14">
        <v>1</v>
      </c>
      <c r="I245" s="14"/>
      <c r="J245" s="14">
        <v>1450</v>
      </c>
      <c r="K245" s="14">
        <f t="shared" si="18"/>
        <v>1450</v>
      </c>
      <c r="L245" s="14">
        <v>12</v>
      </c>
      <c r="M245" s="14"/>
      <c r="N245" s="44">
        <f>(K245*Table1[[#This Row],[Ühik2]])+M245</f>
        <v>17400</v>
      </c>
      <c r="O245" s="44">
        <f>Table1[[#This Row],[2020. EA ]]*0.338</f>
        <v>5881.2000000000007</v>
      </c>
      <c r="P245" s="14"/>
    </row>
    <row r="246" spans="1:16" x14ac:dyDescent="0.25">
      <c r="A246" s="14" t="str">
        <f t="shared" si="21"/>
        <v>09</v>
      </c>
      <c r="B246" t="s">
        <v>343</v>
      </c>
      <c r="C246" s="14" t="str">
        <f>VLOOKUP(B246,Table4[],2,FALSE)</f>
        <v xml:space="preserve"> Haldus</v>
      </c>
      <c r="D246" s="39" t="str">
        <f>VLOOKUP(Table1[[#This Row],[Tegevusala]],Table4[[Tegevusala kood]:[Tegevusala alanimetus]],4,FALSE)</f>
        <v>Muu haridus, sh hariduse haldus</v>
      </c>
      <c r="E246" s="14" t="str">
        <f>VLOOKUP(C246,Table4[[Tegevusala nimetus]:[Tegevusala koondnimetus]],2,FALSE)</f>
        <v>Haridus</v>
      </c>
      <c r="F246" s="14" t="s">
        <v>1519</v>
      </c>
      <c r="G246" s="14" t="s">
        <v>1521</v>
      </c>
      <c r="H246" s="14">
        <v>1</v>
      </c>
      <c r="I246" s="14"/>
      <c r="J246" s="14">
        <v>1450</v>
      </c>
      <c r="K246" s="14">
        <f t="shared" si="18"/>
        <v>1450</v>
      </c>
      <c r="L246" s="14">
        <v>12</v>
      </c>
      <c r="M246" s="14"/>
      <c r="N246" s="44">
        <f>(K246*Table1[[#This Row],[Ühik2]])+M246</f>
        <v>17400</v>
      </c>
      <c r="O246" s="44">
        <f>Table1[[#This Row],[2020. EA ]]*0.338</f>
        <v>5881.2000000000007</v>
      </c>
      <c r="P246" s="14"/>
    </row>
    <row r="247" spans="1:16" x14ac:dyDescent="0.25">
      <c r="A247" s="14" t="str">
        <f t="shared" si="21"/>
        <v>09</v>
      </c>
      <c r="B247" t="s">
        <v>51</v>
      </c>
      <c r="C247" s="14" t="str">
        <f>VLOOKUP(B247,Table4[],2,FALSE)</f>
        <v xml:space="preserve"> Noorte huviharidus ja huvitegevus</v>
      </c>
      <c r="D247" s="39" t="str">
        <f>VLOOKUP(Table1[[#This Row],[Tegevusala]],Table4[[Tegevusala kood]:[Tegevusala alanimetus]],4,FALSE)</f>
        <v>Noorte huviharidus ja huvitegevus</v>
      </c>
      <c r="E247" s="14" t="str">
        <f>VLOOKUP(C247,Table4[[Tegevusala nimetus]:[Tegevusala koondnimetus]],2,FALSE)</f>
        <v>Haridus</v>
      </c>
      <c r="F247" s="14" t="s">
        <v>1519</v>
      </c>
      <c r="G247" s="14" t="s">
        <v>1539</v>
      </c>
      <c r="H247" s="14">
        <v>1</v>
      </c>
      <c r="I247" s="14"/>
      <c r="J247" s="14">
        <v>108370.7</v>
      </c>
      <c r="K247" s="14">
        <f t="shared" si="18"/>
        <v>108370.7</v>
      </c>
      <c r="L247" s="14">
        <v>1</v>
      </c>
      <c r="M247" s="14"/>
      <c r="N247" s="44">
        <f>(K247*Table1[[#This Row],[Ühik2]])+M247</f>
        <v>108370.7</v>
      </c>
      <c r="O247" s="44">
        <f>Table1[[#This Row],[2020. EA ]]*0.338</f>
        <v>36629.296600000001</v>
      </c>
      <c r="P247" s="14"/>
    </row>
    <row r="248" spans="1:16" hidden="1" x14ac:dyDescent="0.25">
      <c r="A248" s="14" t="str">
        <f t="shared" si="21"/>
        <v>08</v>
      </c>
      <c r="B248" t="s">
        <v>307</v>
      </c>
      <c r="C248" s="14" t="str">
        <f>VLOOKUP(B248,Table4[],2,FALSE)</f>
        <v>Venevere Seltsimaja</v>
      </c>
      <c r="D248" s="39" t="str">
        <f>VLOOKUP(Table1[[#This Row],[Tegevusala]],Table4[[Tegevusala kood]:[Tegevusala alanimetus]],4,FALSE)</f>
        <v>Rahvakultuur</v>
      </c>
      <c r="E248" s="14" t="str">
        <f>VLOOKUP(C248,Table4[[Tegevusala nimetus]:[Tegevusala koondnimetus]],2,FALSE)</f>
        <v>Vabaaeg, kultuur ja religioon</v>
      </c>
      <c r="F248" s="14" t="s">
        <v>1564</v>
      </c>
      <c r="G248" s="14" t="s">
        <v>471</v>
      </c>
      <c r="H248" s="14">
        <v>1</v>
      </c>
      <c r="I248" s="14"/>
      <c r="J248" s="14">
        <v>690</v>
      </c>
      <c r="K248" s="14">
        <f t="shared" si="18"/>
        <v>690</v>
      </c>
      <c r="L248" s="14">
        <v>12</v>
      </c>
      <c r="M248" s="14"/>
      <c r="N248" s="44">
        <f>(K248*Table1[[#This Row],[Ühik2]])+M248</f>
        <v>8280</v>
      </c>
      <c r="O248" s="44">
        <f>Table1[[#This Row],[2020. EA ]]*0.338</f>
        <v>2798.6400000000003</v>
      </c>
      <c r="P248" s="14"/>
    </row>
    <row r="249" spans="1:16" hidden="1" x14ac:dyDescent="0.25">
      <c r="A249" s="14" t="str">
        <f t="shared" si="21"/>
        <v>08</v>
      </c>
      <c r="B249" t="s">
        <v>307</v>
      </c>
      <c r="C249" s="14" t="str">
        <f>VLOOKUP(B249,Table4[],2,FALSE)</f>
        <v>Venevere Seltsimaja</v>
      </c>
      <c r="D249" s="39" t="str">
        <f>VLOOKUP(Table1[[#This Row],[Tegevusala]],Table4[[Tegevusala kood]:[Tegevusala alanimetus]],4,FALSE)</f>
        <v>Rahvakultuur</v>
      </c>
      <c r="E249" s="14" t="str">
        <f>VLOOKUP(C249,Table4[[Tegevusala nimetus]:[Tegevusala koondnimetus]],2,FALSE)</f>
        <v>Vabaaeg, kultuur ja religioon</v>
      </c>
      <c r="F249" s="14" t="s">
        <v>1564</v>
      </c>
      <c r="G249" s="14" t="s">
        <v>916</v>
      </c>
      <c r="H249" s="14">
        <v>1</v>
      </c>
      <c r="I249" s="14"/>
      <c r="J249" s="14"/>
      <c r="K249" s="14">
        <f t="shared" si="18"/>
        <v>0</v>
      </c>
      <c r="L249" s="14"/>
      <c r="M249" s="14">
        <v>650</v>
      </c>
      <c r="N249" s="44">
        <f>(K249*Table1[[#This Row],[Ühik2]])+M249</f>
        <v>650</v>
      </c>
      <c r="O249" s="44">
        <f>Table1[[#This Row],[2020. EA ]]*0.338</f>
        <v>219.70000000000002</v>
      </c>
      <c r="P249" s="14"/>
    </row>
    <row r="250" spans="1:16" hidden="1" x14ac:dyDescent="0.25">
      <c r="A250" s="14" t="str">
        <f t="shared" ref="A250:A255" si="22">LEFT(B250,2)</f>
        <v>10</v>
      </c>
      <c r="B250" t="s">
        <v>356</v>
      </c>
      <c r="C250" s="14" t="str">
        <f>VLOOKUP(B250,Table4[],2,FALSE)</f>
        <v xml:space="preserve"> Tammiku Kodu</v>
      </c>
      <c r="D250" s="39" t="str">
        <f>VLOOKUP(Table1[[#This Row],[Tegevusala]],Table4[[Tegevusala kood]:[Tegevusala alanimetus]],4,FALSE)</f>
        <v>Eakate sotsiaalhoolekande asutused</v>
      </c>
      <c r="E250" s="14" t="str">
        <f>VLOOKUP(C250,Table4[[Tegevusala nimetus]:[Tegevusala koondnimetus]],2,FALSE)</f>
        <v>Sotsiaalne kaitse</v>
      </c>
      <c r="F250" s="14" t="s">
        <v>1572</v>
      </c>
      <c r="G250" s="14" t="s">
        <v>1571</v>
      </c>
      <c r="H250" s="14">
        <v>6</v>
      </c>
      <c r="I250" s="14"/>
      <c r="J250" s="37">
        <v>748</v>
      </c>
      <c r="K250" s="14">
        <f t="shared" si="18"/>
        <v>4488</v>
      </c>
      <c r="L250" s="14">
        <v>12</v>
      </c>
      <c r="M250" s="14"/>
      <c r="N250" s="44">
        <f>(K250*Table1[[#This Row],[Ühik2]])+M250</f>
        <v>53856</v>
      </c>
      <c r="O250" s="44">
        <f>Table1[[#This Row],[2020. EA ]]*0.338</f>
        <v>18203.328000000001</v>
      </c>
      <c r="P250" s="14" t="s">
        <v>2121</v>
      </c>
    </row>
    <row r="251" spans="1:16" hidden="1" x14ac:dyDescent="0.25">
      <c r="A251" s="14" t="str">
        <f t="shared" si="22"/>
        <v>10</v>
      </c>
      <c r="B251" t="s">
        <v>356</v>
      </c>
      <c r="C251" s="14" t="str">
        <f>VLOOKUP(B251,Table4[],2,FALSE)</f>
        <v xml:space="preserve"> Tammiku Kodu</v>
      </c>
      <c r="D251" s="39" t="str">
        <f>VLOOKUP(Table1[[#This Row],[Tegevusala]],Table4[[Tegevusala kood]:[Tegevusala alanimetus]],4,FALSE)</f>
        <v>Eakate sotsiaalhoolekande asutused</v>
      </c>
      <c r="E251" s="14" t="str">
        <f>VLOOKUP(C251,Table4[[Tegevusala nimetus]:[Tegevusala koondnimetus]],2,FALSE)</f>
        <v>Sotsiaalne kaitse</v>
      </c>
      <c r="F251" s="14" t="s">
        <v>1572</v>
      </c>
      <c r="G251" s="14" t="s">
        <v>466</v>
      </c>
      <c r="H251" s="14">
        <v>1</v>
      </c>
      <c r="I251" s="14"/>
      <c r="J251" s="37">
        <v>660</v>
      </c>
      <c r="K251" s="14">
        <f t="shared" si="18"/>
        <v>660</v>
      </c>
      <c r="L251" s="14">
        <v>12</v>
      </c>
      <c r="M251" s="14"/>
      <c r="N251" s="44">
        <f>(K251*Table1[[#This Row],[Ühik2]])+M251</f>
        <v>7920</v>
      </c>
      <c r="O251" s="44">
        <f>Table1[[#This Row],[2020. EA ]]*0.338</f>
        <v>2676.96</v>
      </c>
      <c r="P251" s="14" t="s">
        <v>2121</v>
      </c>
    </row>
    <row r="252" spans="1:16" hidden="1" x14ac:dyDescent="0.25">
      <c r="A252" s="37" t="str">
        <f t="shared" si="22"/>
        <v>10</v>
      </c>
      <c r="B252" s="8" t="s">
        <v>356</v>
      </c>
      <c r="C252" s="37" t="str">
        <f>VLOOKUP(B252,Table4[],2,FALSE)</f>
        <v xml:space="preserve"> Tammiku Kodu</v>
      </c>
      <c r="D252" s="48" t="str">
        <f>VLOOKUP(Table1[[#This Row],[Tegevusala]],Table4[[Tegevusala kood]:[Tegevusala alanimetus]],4,FALSE)</f>
        <v>Eakate sotsiaalhoolekande asutused</v>
      </c>
      <c r="E252" s="37" t="str">
        <f>VLOOKUP(C252,Table4[[Tegevusala nimetus]:[Tegevusala koondnimetus]],2,FALSE)</f>
        <v>Sotsiaalne kaitse</v>
      </c>
      <c r="F252" s="37" t="s">
        <v>1572</v>
      </c>
      <c r="G252" s="37" t="s">
        <v>466</v>
      </c>
      <c r="H252" s="37">
        <v>1</v>
      </c>
      <c r="I252" s="37"/>
      <c r="J252" s="37">
        <v>584</v>
      </c>
      <c r="K252" s="37">
        <f t="shared" si="18"/>
        <v>584</v>
      </c>
      <c r="L252" s="37">
        <v>12</v>
      </c>
      <c r="M252" s="37"/>
      <c r="N252" s="46">
        <f>(K252*Table1[[#This Row],[Ühik2]])+M252</f>
        <v>7008</v>
      </c>
      <c r="O252" s="46">
        <f>Table1[[#This Row],[2020. EA ]]*0.338</f>
        <v>2368.7040000000002</v>
      </c>
      <c r="P252" s="37" t="s">
        <v>2121</v>
      </c>
    </row>
    <row r="253" spans="1:16" hidden="1" x14ac:dyDescent="0.25">
      <c r="A253" s="37" t="str">
        <f t="shared" si="22"/>
        <v>10</v>
      </c>
      <c r="B253" s="8" t="s">
        <v>356</v>
      </c>
      <c r="C253" s="37" t="str">
        <f>VLOOKUP(B253,Table4[],2,FALSE)</f>
        <v xml:space="preserve"> Tammiku Kodu</v>
      </c>
      <c r="D253" s="48" t="str">
        <f>VLOOKUP(Table1[[#This Row],[Tegevusala]],Table4[[Tegevusala kood]:[Tegevusala alanimetus]],4,FALSE)</f>
        <v>Eakate sotsiaalhoolekande asutused</v>
      </c>
      <c r="E253" s="37" t="str">
        <f>VLOOKUP(C253,Table4[[Tegevusala nimetus]:[Tegevusala koondnimetus]],2,FALSE)</f>
        <v>Sotsiaalne kaitse</v>
      </c>
      <c r="F253" s="37" t="s">
        <v>1572</v>
      </c>
      <c r="G253" s="37" t="s">
        <v>461</v>
      </c>
      <c r="H253" s="37">
        <v>0.5</v>
      </c>
      <c r="I253" s="37"/>
      <c r="J253" s="37">
        <v>584</v>
      </c>
      <c r="K253" s="37">
        <f t="shared" si="18"/>
        <v>292</v>
      </c>
      <c r="L253" s="37">
        <v>12</v>
      </c>
      <c r="M253" s="37"/>
      <c r="N253" s="46">
        <f>(K253*Table1[[#This Row],[Ühik2]])+M253</f>
        <v>3504</v>
      </c>
      <c r="O253" s="46">
        <f>Table1[[#This Row],[2020. EA ]]*0.338</f>
        <v>1184.3520000000001</v>
      </c>
      <c r="P253" s="37" t="s">
        <v>2121</v>
      </c>
    </row>
    <row r="254" spans="1:16" hidden="1" x14ac:dyDescent="0.25">
      <c r="A254" s="14" t="str">
        <f t="shared" si="22"/>
        <v>10</v>
      </c>
      <c r="B254" t="s">
        <v>356</v>
      </c>
      <c r="C254" s="14" t="str">
        <f>VLOOKUP(B254,Table4[],2,FALSE)</f>
        <v xml:space="preserve"> Tammiku Kodu</v>
      </c>
      <c r="D254" s="39" t="str">
        <f>VLOOKUP(Table1[[#This Row],[Tegevusala]],Table4[[Tegevusala kood]:[Tegevusala alanimetus]],4,FALSE)</f>
        <v>Eakate sotsiaalhoolekande asutused</v>
      </c>
      <c r="E254" s="14" t="str">
        <f>VLOOKUP(C254,Table4[[Tegevusala nimetus]:[Tegevusala koondnimetus]],2,FALSE)</f>
        <v>Sotsiaalne kaitse</v>
      </c>
      <c r="F254" s="14" t="s">
        <v>1572</v>
      </c>
      <c r="G254" s="14" t="s">
        <v>471</v>
      </c>
      <c r="H254" s="14">
        <v>1</v>
      </c>
      <c r="I254" s="14"/>
      <c r="J254" s="37">
        <v>1060</v>
      </c>
      <c r="K254" s="14">
        <f t="shared" si="18"/>
        <v>1060</v>
      </c>
      <c r="L254" s="14">
        <v>12</v>
      </c>
      <c r="M254" s="14"/>
      <c r="N254" s="44">
        <f>(K254*Table1[[#This Row],[Ühik2]])+M254</f>
        <v>12720</v>
      </c>
      <c r="O254" s="44">
        <f>Table1[[#This Row],[2020. EA ]]*0.338</f>
        <v>4299.3600000000006</v>
      </c>
      <c r="P254" s="14" t="s">
        <v>2121</v>
      </c>
    </row>
    <row r="255" spans="1:16" hidden="1" x14ac:dyDescent="0.25">
      <c r="A255" s="14" t="str">
        <f t="shared" si="22"/>
        <v>10</v>
      </c>
      <c r="B255" t="s">
        <v>356</v>
      </c>
      <c r="C255" s="14" t="str">
        <f>VLOOKUP(B255,Table4[],2,FALSE)</f>
        <v xml:space="preserve"> Tammiku Kodu</v>
      </c>
      <c r="D255" s="39" t="str">
        <f>VLOOKUP(Table1[[#This Row],[Tegevusala]],Table4[[Tegevusala kood]:[Tegevusala alanimetus]],4,FALSE)</f>
        <v>Eakate sotsiaalhoolekande asutused</v>
      </c>
      <c r="E255" s="14" t="str">
        <f>VLOOKUP(C255,Table4[[Tegevusala nimetus]:[Tegevusala koondnimetus]],2,FALSE)</f>
        <v>Sotsiaalne kaitse</v>
      </c>
      <c r="F255" s="14" t="s">
        <v>1572</v>
      </c>
      <c r="G255" s="14" t="s">
        <v>1498</v>
      </c>
      <c r="H255" s="14">
        <v>1</v>
      </c>
      <c r="I255" s="14"/>
      <c r="J255" s="14"/>
      <c r="K255" s="14">
        <f t="shared" ref="K255:K315" si="23">H255*J255</f>
        <v>0</v>
      </c>
      <c r="L255" s="14"/>
      <c r="M255" s="14">
        <v>7842</v>
      </c>
      <c r="N255" s="44">
        <f>(K255*Table1[[#This Row],[Ühik2]])+M255</f>
        <v>7842</v>
      </c>
      <c r="O255" s="44">
        <f>Table1[[#This Row],[2020. EA ]]*0.338</f>
        <v>2650.596</v>
      </c>
      <c r="P255" s="14"/>
    </row>
    <row r="256" spans="1:16" hidden="1" x14ac:dyDescent="0.25">
      <c r="A256" s="14" t="str">
        <f t="shared" ref="A256:A261" si="24">LEFT(B256,2)</f>
        <v>10</v>
      </c>
      <c r="B256" s="3" t="s">
        <v>358</v>
      </c>
      <c r="C256" s="14" t="str">
        <f>VLOOKUP(B256,Table4[],2,FALSE)</f>
        <v xml:space="preserve"> Ulvi Kodu</v>
      </c>
      <c r="D256" s="39" t="str">
        <f>VLOOKUP(Table1[[#This Row],[Tegevusala]],Table4[[Tegevusala kood]:[Tegevusala alanimetus]],4,FALSE)</f>
        <v>Eakate sotsiaalhoolekande asutused</v>
      </c>
      <c r="E256" s="14" t="str">
        <f>VLOOKUP(C256,Table4[[Tegevusala nimetus]:[Tegevusala koondnimetus]],2,FALSE)</f>
        <v>Sotsiaalne kaitse</v>
      </c>
      <c r="F256" s="14" t="s">
        <v>1619</v>
      </c>
      <c r="G256" s="14" t="s">
        <v>471</v>
      </c>
      <c r="H256" s="14">
        <v>1</v>
      </c>
      <c r="I256" s="14"/>
      <c r="J256" s="14">
        <v>1435</v>
      </c>
      <c r="K256" s="14">
        <f t="shared" si="23"/>
        <v>1435</v>
      </c>
      <c r="L256" s="14">
        <v>12</v>
      </c>
      <c r="M256" s="14"/>
      <c r="N256" s="44">
        <f>(K256*Table1[[#This Row],[Ühik2]])+M256</f>
        <v>17220</v>
      </c>
      <c r="O256" s="44">
        <f>Table1[[#This Row],[2020. EA ]]*0.338</f>
        <v>5820.3600000000006</v>
      </c>
      <c r="P256" s="14"/>
    </row>
    <row r="257" spans="1:16" hidden="1" x14ac:dyDescent="0.25">
      <c r="A257" s="14" t="str">
        <f t="shared" si="24"/>
        <v>10</v>
      </c>
      <c r="B257" s="3" t="s">
        <v>358</v>
      </c>
      <c r="C257" s="14" t="str">
        <f>VLOOKUP(B257,Table4[],2,FALSE)</f>
        <v xml:space="preserve"> Ulvi Kodu</v>
      </c>
      <c r="D257" s="39" t="str">
        <f>VLOOKUP(Table1[[#This Row],[Tegevusala]],Table4[[Tegevusala kood]:[Tegevusala alanimetus]],4,FALSE)</f>
        <v>Eakate sotsiaalhoolekande asutused</v>
      </c>
      <c r="E257" s="14" t="str">
        <f>VLOOKUP(C257,Table4[[Tegevusala nimetus]:[Tegevusala koondnimetus]],2,FALSE)</f>
        <v>Sotsiaalne kaitse</v>
      </c>
      <c r="F257" s="14" t="s">
        <v>1619</v>
      </c>
      <c r="G257" s="14" t="s">
        <v>1192</v>
      </c>
      <c r="H257" s="14">
        <v>2</v>
      </c>
      <c r="I257" s="14"/>
      <c r="J257" s="14">
        <v>891</v>
      </c>
      <c r="K257" s="14">
        <f t="shared" si="23"/>
        <v>1782</v>
      </c>
      <c r="L257" s="14">
        <v>12</v>
      </c>
      <c r="M257" s="14"/>
      <c r="N257" s="44">
        <f>(K257*Table1[[#This Row],[Ühik2]])+M257</f>
        <v>21384</v>
      </c>
      <c r="O257" s="44">
        <f>Table1[[#This Row],[2020. EA ]]*0.338</f>
        <v>7227.7920000000004</v>
      </c>
      <c r="P257" s="14"/>
    </row>
    <row r="258" spans="1:16" hidden="1" x14ac:dyDescent="0.25">
      <c r="A258" s="14" t="str">
        <f t="shared" si="24"/>
        <v>10</v>
      </c>
      <c r="B258" s="3" t="s">
        <v>358</v>
      </c>
      <c r="C258" s="14" t="str">
        <f>VLOOKUP(B258,Table4[],2,FALSE)</f>
        <v xml:space="preserve"> Ulvi Kodu</v>
      </c>
      <c r="D258" s="39" t="str">
        <f>VLOOKUP(Table1[[#This Row],[Tegevusala]],Table4[[Tegevusala kood]:[Tegevusala alanimetus]],4,FALSE)</f>
        <v>Eakate sotsiaalhoolekande asutused</v>
      </c>
      <c r="E258" s="14" t="str">
        <f>VLOOKUP(C258,Table4[[Tegevusala nimetus]:[Tegevusala koondnimetus]],2,FALSE)</f>
        <v>Sotsiaalne kaitse</v>
      </c>
      <c r="F258" s="14" t="s">
        <v>1619</v>
      </c>
      <c r="G258" s="14" t="s">
        <v>1351</v>
      </c>
      <c r="H258" s="14">
        <v>1</v>
      </c>
      <c r="I258" s="14"/>
      <c r="J258" s="14">
        <v>880</v>
      </c>
      <c r="K258" s="14">
        <f t="shared" si="23"/>
        <v>880</v>
      </c>
      <c r="L258" s="14">
        <v>12</v>
      </c>
      <c r="M258" s="14"/>
      <c r="N258" s="44">
        <f>(K258*Table1[[#This Row],[Ühik2]])+M258</f>
        <v>10560</v>
      </c>
      <c r="O258" s="44">
        <f>Table1[[#This Row],[2020. EA ]]*0.338</f>
        <v>3569.28</v>
      </c>
      <c r="P258" s="14"/>
    </row>
    <row r="259" spans="1:16" hidden="1" x14ac:dyDescent="0.25">
      <c r="A259" s="14" t="str">
        <f t="shared" si="24"/>
        <v>10</v>
      </c>
      <c r="B259" s="3" t="s">
        <v>358</v>
      </c>
      <c r="C259" s="14" t="str">
        <f>VLOOKUP(B259,Table4[],2,FALSE)</f>
        <v xml:space="preserve"> Ulvi Kodu</v>
      </c>
      <c r="D259" s="39" t="str">
        <f>VLOOKUP(Table1[[#This Row],[Tegevusala]],Table4[[Tegevusala kood]:[Tegevusala alanimetus]],4,FALSE)</f>
        <v>Eakate sotsiaalhoolekande asutused</v>
      </c>
      <c r="E259" s="14" t="str">
        <f>VLOOKUP(C259,Table4[[Tegevusala nimetus]:[Tegevusala koondnimetus]],2,FALSE)</f>
        <v>Sotsiaalne kaitse</v>
      </c>
      <c r="F259" s="14" t="s">
        <v>1619</v>
      </c>
      <c r="G259" s="14" t="s">
        <v>1381</v>
      </c>
      <c r="H259" s="14">
        <v>1</v>
      </c>
      <c r="I259" s="14"/>
      <c r="J259" s="14">
        <v>770</v>
      </c>
      <c r="K259" s="14">
        <f t="shared" si="23"/>
        <v>770</v>
      </c>
      <c r="L259" s="14">
        <v>12</v>
      </c>
      <c r="M259" s="14"/>
      <c r="N259" s="44">
        <f>(K259*Table1[[#This Row],[Ühik2]])+M259</f>
        <v>9240</v>
      </c>
      <c r="O259" s="44">
        <f>Table1[[#This Row],[2020. EA ]]*0.338</f>
        <v>3123.1200000000003</v>
      </c>
      <c r="P259" s="14"/>
    </row>
    <row r="260" spans="1:16" hidden="1" x14ac:dyDescent="0.25">
      <c r="A260" s="90" t="str">
        <f t="shared" si="24"/>
        <v>10</v>
      </c>
      <c r="B260" s="95" t="s">
        <v>358</v>
      </c>
      <c r="C260" s="90" t="str">
        <f>VLOOKUP(B260,Table4[],2,FALSE)</f>
        <v xml:space="preserve"> Ulvi Kodu</v>
      </c>
      <c r="D260" s="94" t="str">
        <f>VLOOKUP(Table1[[#This Row],[Tegevusala]],Table4[[Tegevusala kood]:[Tegevusala alanimetus]],4,FALSE)</f>
        <v>Eakate sotsiaalhoolekande asutused</v>
      </c>
      <c r="E260" s="90" t="str">
        <f>VLOOKUP(C260,Table4[[Tegevusala nimetus]:[Tegevusala koondnimetus]],2,FALSE)</f>
        <v>Sotsiaalne kaitse</v>
      </c>
      <c r="F260" s="90" t="s">
        <v>1619</v>
      </c>
      <c r="G260" s="90" t="s">
        <v>461</v>
      </c>
      <c r="H260" s="90">
        <v>1</v>
      </c>
      <c r="I260" s="90"/>
      <c r="J260" s="90">
        <v>292</v>
      </c>
      <c r="K260" s="90">
        <f t="shared" si="23"/>
        <v>292</v>
      </c>
      <c r="L260" s="90">
        <v>12</v>
      </c>
      <c r="M260" s="90"/>
      <c r="N260" s="92">
        <f>(K260*Table1[[#This Row],[Ühik2]])+M260</f>
        <v>3504</v>
      </c>
      <c r="O260" s="92">
        <f>Table1[[#This Row],[2020. EA ]]*0.338</f>
        <v>1184.3520000000001</v>
      </c>
      <c r="P260" s="90"/>
    </row>
    <row r="261" spans="1:16" hidden="1" x14ac:dyDescent="0.25">
      <c r="A261" s="14" t="str">
        <f t="shared" si="24"/>
        <v>10</v>
      </c>
      <c r="B261" s="3" t="s">
        <v>358</v>
      </c>
      <c r="C261" s="14" t="str">
        <f>VLOOKUP(B261,Table4[],2,FALSE)</f>
        <v xml:space="preserve"> Ulvi Kodu</v>
      </c>
      <c r="D261" s="39" t="str">
        <f>VLOOKUP(Table1[[#This Row],[Tegevusala]],Table4[[Tegevusala kood]:[Tegevusala alanimetus]],4,FALSE)</f>
        <v>Eakate sotsiaalhoolekande asutused</v>
      </c>
      <c r="E261" s="14" t="str">
        <f>VLOOKUP(C261,Table4[[Tegevusala nimetus]:[Tegevusala koondnimetus]],2,FALSE)</f>
        <v>Sotsiaalne kaitse</v>
      </c>
      <c r="F261" s="14" t="s">
        <v>1619</v>
      </c>
      <c r="G261" s="14" t="s">
        <v>1620</v>
      </c>
      <c r="H261" s="14">
        <v>6.5</v>
      </c>
      <c r="I261" s="14"/>
      <c r="J261" s="14">
        <v>948.61540000000002</v>
      </c>
      <c r="K261" s="14">
        <f t="shared" si="23"/>
        <v>6166.0001000000002</v>
      </c>
      <c r="L261" s="14">
        <v>12</v>
      </c>
      <c r="M261" s="14"/>
      <c r="N261" s="44">
        <f>(K261*Table1[[#This Row],[Ühik2]])+M261</f>
        <v>73992.001199999999</v>
      </c>
      <c r="O261" s="44">
        <f>Table1[[#This Row],[2020. EA ]]*0.338</f>
        <v>25009.296405600002</v>
      </c>
      <c r="P261" s="14"/>
    </row>
    <row r="262" spans="1:16" hidden="1" x14ac:dyDescent="0.25">
      <c r="A262" s="14" t="str">
        <f>LEFT(B262,2)</f>
        <v>10</v>
      </c>
      <c r="B262" s="3" t="s">
        <v>358</v>
      </c>
      <c r="C262" s="14" t="str">
        <f>VLOOKUP(B262,Table4[],2,FALSE)</f>
        <v xml:space="preserve"> Ulvi Kodu</v>
      </c>
      <c r="D262" s="39" t="str">
        <f>VLOOKUP(Table1[[#This Row],[Tegevusala]],Table4[[Tegevusala kood]:[Tegevusala alanimetus]],4,FALSE)</f>
        <v>Eakate sotsiaalhoolekande asutused</v>
      </c>
      <c r="E262" s="14" t="str">
        <f>VLOOKUP(C262,Table4[[Tegevusala nimetus]:[Tegevusala koondnimetus]],2,FALSE)</f>
        <v>Sotsiaalne kaitse</v>
      </c>
      <c r="F262" s="14" t="s">
        <v>1619</v>
      </c>
      <c r="G262" s="14" t="s">
        <v>916</v>
      </c>
      <c r="H262" s="14">
        <v>1</v>
      </c>
      <c r="I262" s="14"/>
      <c r="J262" s="14"/>
      <c r="K262" s="14">
        <f t="shared" si="23"/>
        <v>0</v>
      </c>
      <c r="L262" s="14"/>
      <c r="M262" s="14">
        <v>1600</v>
      </c>
      <c r="N262" s="44">
        <f>(K262*Table1[[#This Row],[Ühik2]])+M262</f>
        <v>1600</v>
      </c>
      <c r="O262" s="44">
        <f>Table1[[#This Row],[2020. EA ]]*0.338</f>
        <v>540.80000000000007</v>
      </c>
      <c r="P262" s="14"/>
    </row>
    <row r="263" spans="1:16" hidden="1" x14ac:dyDescent="0.25">
      <c r="A263" s="14" t="str">
        <f>LEFT(B263,2)</f>
        <v>08</v>
      </c>
      <c r="B263" t="s">
        <v>294</v>
      </c>
      <c r="C263" s="14" t="str">
        <f>VLOOKUP(B263,Table4[],2,FALSE)</f>
        <v>Tudu Rahvaraamatukogu</v>
      </c>
      <c r="D263" s="39" t="str">
        <f>VLOOKUP(Table1[[#This Row],[Tegevusala]],Table4[[Tegevusala kood]:[Tegevusala alanimetus]],4,FALSE)</f>
        <v>Raamatukogud</v>
      </c>
      <c r="E263" s="14" t="str">
        <f>VLOOKUP(C263,Table4[[Tegevusala nimetus]:[Tegevusala koondnimetus]],2,FALSE)</f>
        <v>Vabaaeg, kultuur ja religioon</v>
      </c>
      <c r="F263" s="14" t="s">
        <v>1650</v>
      </c>
      <c r="G263" s="14" t="s">
        <v>471</v>
      </c>
      <c r="H263" s="14">
        <v>1</v>
      </c>
      <c r="I263" s="14"/>
      <c r="J263" s="14">
        <v>591</v>
      </c>
      <c r="K263" s="14">
        <f t="shared" si="23"/>
        <v>591</v>
      </c>
      <c r="L263" s="14">
        <v>12</v>
      </c>
      <c r="M263" s="14"/>
      <c r="N263" s="44">
        <f>(K263*Table1[[#This Row],[Ühik2]])+M263</f>
        <v>7092</v>
      </c>
      <c r="O263" s="44">
        <f>Table1[[#This Row],[2020. EA ]]*0.338</f>
        <v>2397.096</v>
      </c>
      <c r="P263" s="14"/>
    </row>
    <row r="264" spans="1:16" hidden="1" x14ac:dyDescent="0.25">
      <c r="A264" s="14" t="str">
        <f t="shared" ref="A264:A286" si="25">LEFT(B264,2)</f>
        <v>10</v>
      </c>
      <c r="B264" s="3" t="s">
        <v>366</v>
      </c>
      <c r="C264" s="14" t="str">
        <f>VLOOKUP(B264,Table4[],2,FALSE)</f>
        <v xml:space="preserve"> Vinni Perekodu</v>
      </c>
      <c r="D264" s="39" t="str">
        <f>VLOOKUP(Table1[[#This Row],[Tegevusala]],Table4[[Tegevusala kood]:[Tegevusala alanimetus]],4,FALSE)</f>
        <v>Laste ja noorte sotsiaalhoolekande asutused</v>
      </c>
      <c r="E264" s="14" t="str">
        <f>VLOOKUP(C264,Table4[[Tegevusala nimetus]:[Tegevusala koondnimetus]],2,FALSE)</f>
        <v>Sotsiaalne kaitse</v>
      </c>
      <c r="F264" s="14" t="s">
        <v>1657</v>
      </c>
      <c r="G264" s="14" t="s">
        <v>471</v>
      </c>
      <c r="H264" s="14">
        <v>1</v>
      </c>
      <c r="I264" s="14"/>
      <c r="J264" s="14">
        <v>1800</v>
      </c>
      <c r="K264" s="14">
        <f t="shared" si="23"/>
        <v>1800</v>
      </c>
      <c r="L264" s="14">
        <v>12</v>
      </c>
      <c r="M264" s="14">
        <v>1800</v>
      </c>
      <c r="N264" s="44">
        <f>(K264*Table1[[#This Row],[Ühik2]])+M264</f>
        <v>23400</v>
      </c>
      <c r="O264" s="44">
        <f>Table1[[#This Row],[2020. EA ]]*0.338</f>
        <v>7909.2000000000007</v>
      </c>
      <c r="P264" s="14"/>
    </row>
    <row r="265" spans="1:16" hidden="1" x14ac:dyDescent="0.25">
      <c r="A265" s="14" t="str">
        <f t="shared" si="25"/>
        <v>10</v>
      </c>
      <c r="B265" s="3" t="s">
        <v>366</v>
      </c>
      <c r="C265" s="14" t="str">
        <f>VLOOKUP(B265,Table4[],2,FALSE)</f>
        <v xml:space="preserve"> Vinni Perekodu</v>
      </c>
      <c r="D265" s="39" t="str">
        <f>VLOOKUP(Table1[[#This Row],[Tegevusala]],Table4[[Tegevusala kood]:[Tegevusala alanimetus]],4,FALSE)</f>
        <v>Laste ja noorte sotsiaalhoolekande asutused</v>
      </c>
      <c r="E265" s="14" t="str">
        <f>VLOOKUP(C265,Table4[[Tegevusala nimetus]:[Tegevusala koondnimetus]],2,FALSE)</f>
        <v>Sotsiaalne kaitse</v>
      </c>
      <c r="F265" s="14" t="s">
        <v>1657</v>
      </c>
      <c r="G265" s="14" t="s">
        <v>453</v>
      </c>
      <c r="H265" s="14">
        <v>1</v>
      </c>
      <c r="I265" s="14"/>
      <c r="J265" s="14">
        <v>1350</v>
      </c>
      <c r="K265" s="14">
        <f t="shared" si="23"/>
        <v>1350</v>
      </c>
      <c r="L265" s="14">
        <v>12</v>
      </c>
      <c r="M265" s="14">
        <v>1350</v>
      </c>
      <c r="N265" s="44">
        <f>(K265*Table1[[#This Row],[Ühik2]])+M265</f>
        <v>17550</v>
      </c>
      <c r="O265" s="44">
        <f>Table1[[#This Row],[2020. EA ]]*0.338</f>
        <v>5931.9000000000005</v>
      </c>
      <c r="P265" s="14"/>
    </row>
    <row r="266" spans="1:16" hidden="1" x14ac:dyDescent="0.25">
      <c r="A266" s="38" t="str">
        <f t="shared" si="25"/>
        <v>10</v>
      </c>
      <c r="B266" s="34" t="s">
        <v>366</v>
      </c>
      <c r="C266" s="38" t="str">
        <f>VLOOKUP(B266,Table4[],2,FALSE)</f>
        <v xml:space="preserve"> Vinni Perekodu</v>
      </c>
      <c r="D266" s="39" t="str">
        <f>VLOOKUP(Table1[[#This Row],[Tegevusala]],Table4[[Tegevusala kood]:[Tegevusala alanimetus]],4,FALSE)</f>
        <v>Laste ja noorte sotsiaalhoolekande asutused</v>
      </c>
      <c r="E266" s="38" t="str">
        <f>VLOOKUP(C266,Table4[[Tegevusala nimetus]:[Tegevusala koondnimetus]],2,FALSE)</f>
        <v>Sotsiaalne kaitse</v>
      </c>
      <c r="F266" s="38" t="s">
        <v>1657</v>
      </c>
      <c r="G266" s="38" t="s">
        <v>1351</v>
      </c>
      <c r="H266" s="38">
        <v>1</v>
      </c>
      <c r="I266" s="38"/>
      <c r="J266" s="38">
        <v>1350</v>
      </c>
      <c r="K266" s="38">
        <f t="shared" si="23"/>
        <v>1350</v>
      </c>
      <c r="L266" s="38">
        <v>12</v>
      </c>
      <c r="M266" s="38">
        <v>1350</v>
      </c>
      <c r="N266" s="45">
        <f>(K266*Table1[[#This Row],[Ühik2]])+M266</f>
        <v>17550</v>
      </c>
      <c r="O266" s="45">
        <f>Table1[[#This Row],[2020. EA ]]*0.338</f>
        <v>5931.9000000000005</v>
      </c>
      <c r="P266" s="38"/>
    </row>
    <row r="267" spans="1:16" hidden="1" x14ac:dyDescent="0.25">
      <c r="A267" s="14" t="str">
        <f t="shared" si="25"/>
        <v>10</v>
      </c>
      <c r="B267" s="3" t="s">
        <v>366</v>
      </c>
      <c r="C267" s="14" t="str">
        <f>VLOOKUP(B267,Table4[],2,FALSE)</f>
        <v xml:space="preserve"> Vinni Perekodu</v>
      </c>
      <c r="D267" s="39" t="str">
        <f>VLOOKUP(Table1[[#This Row],[Tegevusala]],Table4[[Tegevusala kood]:[Tegevusala alanimetus]],4,FALSE)</f>
        <v>Laste ja noorte sotsiaalhoolekande asutused</v>
      </c>
      <c r="E267" s="14" t="str">
        <f>VLOOKUP(C267,Table4[[Tegevusala nimetus]:[Tegevusala koondnimetus]],2,FALSE)</f>
        <v>Sotsiaalne kaitse</v>
      </c>
      <c r="F267" s="14" t="s">
        <v>1657</v>
      </c>
      <c r="G267" s="14" t="s">
        <v>1659</v>
      </c>
      <c r="H267" s="14">
        <v>1</v>
      </c>
      <c r="I267" s="14"/>
      <c r="J267" s="14">
        <v>1250</v>
      </c>
      <c r="K267" s="14">
        <f t="shared" si="23"/>
        <v>1250</v>
      </c>
      <c r="L267" s="14">
        <v>12</v>
      </c>
      <c r="M267" s="14">
        <v>1250</v>
      </c>
      <c r="N267" s="44">
        <f>(K267*Table1[[#This Row],[Ühik2]])+M267</f>
        <v>16250</v>
      </c>
      <c r="O267" s="44">
        <f>Table1[[#This Row],[2020. EA ]]*0.338</f>
        <v>5492.5</v>
      </c>
      <c r="P267" s="14"/>
    </row>
    <row r="268" spans="1:16" hidden="1" x14ac:dyDescent="0.25">
      <c r="A268" s="14" t="str">
        <f t="shared" si="25"/>
        <v>10</v>
      </c>
      <c r="B268" s="3" t="s">
        <v>366</v>
      </c>
      <c r="C268" s="14" t="str">
        <f>VLOOKUP(B268,Table4[],2,FALSE)</f>
        <v xml:space="preserve"> Vinni Perekodu</v>
      </c>
      <c r="D268" s="39" t="str">
        <f>VLOOKUP(Table1[[#This Row],[Tegevusala]],Table4[[Tegevusala kood]:[Tegevusala alanimetus]],4,FALSE)</f>
        <v>Laste ja noorte sotsiaalhoolekande asutused</v>
      </c>
      <c r="E268" s="14" t="str">
        <f>VLOOKUP(C268,Table4[[Tegevusala nimetus]:[Tegevusala koondnimetus]],2,FALSE)</f>
        <v>Sotsiaalne kaitse</v>
      </c>
      <c r="F268" s="14" t="s">
        <v>1657</v>
      </c>
      <c r="G268" s="14" t="s">
        <v>1659</v>
      </c>
      <c r="H268" s="14">
        <v>1</v>
      </c>
      <c r="I268" s="14"/>
      <c r="J268" s="14">
        <v>1250</v>
      </c>
      <c r="K268" s="14">
        <f t="shared" si="23"/>
        <v>1250</v>
      </c>
      <c r="L268" s="14">
        <v>12</v>
      </c>
      <c r="M268" s="14">
        <v>1250</v>
      </c>
      <c r="N268" s="44">
        <f>(K268*Table1[[#This Row],[Ühik2]])+M268</f>
        <v>16250</v>
      </c>
      <c r="O268" s="44">
        <f>Table1[[#This Row],[2020. EA ]]*0.338</f>
        <v>5492.5</v>
      </c>
      <c r="P268" s="14"/>
    </row>
    <row r="269" spans="1:16" hidden="1" x14ac:dyDescent="0.25">
      <c r="A269" s="14" t="str">
        <f t="shared" si="25"/>
        <v>10</v>
      </c>
      <c r="B269" s="3" t="s">
        <v>366</v>
      </c>
      <c r="C269" s="14" t="str">
        <f>VLOOKUP(B269,Table4[],2,FALSE)</f>
        <v xml:space="preserve"> Vinni Perekodu</v>
      </c>
      <c r="D269" s="39" t="str">
        <f>VLOOKUP(Table1[[#This Row],[Tegevusala]],Table4[[Tegevusala kood]:[Tegevusala alanimetus]],4,FALSE)</f>
        <v>Laste ja noorte sotsiaalhoolekande asutused</v>
      </c>
      <c r="E269" s="14" t="str">
        <f>VLOOKUP(C269,Table4[[Tegevusala nimetus]:[Tegevusala koondnimetus]],2,FALSE)</f>
        <v>Sotsiaalne kaitse</v>
      </c>
      <c r="F269" s="14" t="s">
        <v>1657</v>
      </c>
      <c r="G269" s="14" t="s">
        <v>1659</v>
      </c>
      <c r="H269" s="14">
        <v>1</v>
      </c>
      <c r="I269" s="14"/>
      <c r="J269" s="14">
        <v>1250</v>
      </c>
      <c r="K269" s="14">
        <f t="shared" si="23"/>
        <v>1250</v>
      </c>
      <c r="L269" s="14">
        <v>12</v>
      </c>
      <c r="M269" s="14">
        <v>1250</v>
      </c>
      <c r="N269" s="44">
        <f>(K269*Table1[[#This Row],[Ühik2]])+M269</f>
        <v>16250</v>
      </c>
      <c r="O269" s="44">
        <f>Table1[[#This Row],[2020. EA ]]*0.338</f>
        <v>5492.5</v>
      </c>
      <c r="P269" s="14"/>
    </row>
    <row r="270" spans="1:16" hidden="1" x14ac:dyDescent="0.25">
      <c r="A270" s="14" t="str">
        <f t="shared" si="25"/>
        <v>10</v>
      </c>
      <c r="B270" s="3" t="s">
        <v>366</v>
      </c>
      <c r="C270" s="14" t="str">
        <f>VLOOKUP(B270,Table4[],2,FALSE)</f>
        <v xml:space="preserve"> Vinni Perekodu</v>
      </c>
      <c r="D270" s="39" t="str">
        <f>VLOOKUP(Table1[[#This Row],[Tegevusala]],Table4[[Tegevusala kood]:[Tegevusala alanimetus]],4,FALSE)</f>
        <v>Laste ja noorte sotsiaalhoolekande asutused</v>
      </c>
      <c r="E270" s="14" t="str">
        <f>VLOOKUP(C270,Table4[[Tegevusala nimetus]:[Tegevusala koondnimetus]],2,FALSE)</f>
        <v>Sotsiaalne kaitse</v>
      </c>
      <c r="F270" s="14" t="s">
        <v>1657</v>
      </c>
      <c r="G270" s="14" t="s">
        <v>1660</v>
      </c>
      <c r="H270" s="14">
        <v>1</v>
      </c>
      <c r="I270" s="14"/>
      <c r="J270" s="14">
        <v>1250</v>
      </c>
      <c r="K270" s="14">
        <f t="shared" si="23"/>
        <v>1250</v>
      </c>
      <c r="L270" s="14">
        <v>12</v>
      </c>
      <c r="M270" s="14">
        <v>1250</v>
      </c>
      <c r="N270" s="44">
        <f>(K270*Table1[[#This Row],[Ühik2]])+M270</f>
        <v>16250</v>
      </c>
      <c r="O270" s="44">
        <f>Table1[[#This Row],[2020. EA ]]*0.338</f>
        <v>5492.5</v>
      </c>
      <c r="P270" s="14"/>
    </row>
    <row r="271" spans="1:16" hidden="1" x14ac:dyDescent="0.25">
      <c r="A271" s="14" t="str">
        <f t="shared" si="25"/>
        <v>10</v>
      </c>
      <c r="B271" s="3" t="s">
        <v>366</v>
      </c>
      <c r="C271" s="14" t="str">
        <f>VLOOKUP(B271,Table4[],2,FALSE)</f>
        <v xml:space="preserve"> Vinni Perekodu</v>
      </c>
      <c r="D271" s="39" t="str">
        <f>VLOOKUP(Table1[[#This Row],[Tegevusala]],Table4[[Tegevusala kood]:[Tegevusala alanimetus]],4,FALSE)</f>
        <v>Laste ja noorte sotsiaalhoolekande asutused</v>
      </c>
      <c r="E271" s="14" t="str">
        <f>VLOOKUP(C271,Table4[[Tegevusala nimetus]:[Tegevusala koondnimetus]],2,FALSE)</f>
        <v>Sotsiaalne kaitse</v>
      </c>
      <c r="F271" s="14" t="s">
        <v>1657</v>
      </c>
      <c r="G271" s="14" t="s">
        <v>1660</v>
      </c>
      <c r="H271" s="14">
        <v>1</v>
      </c>
      <c r="I271" s="14"/>
      <c r="J271" s="14">
        <v>1250</v>
      </c>
      <c r="K271" s="14">
        <f t="shared" si="23"/>
        <v>1250</v>
      </c>
      <c r="L271" s="14">
        <v>12</v>
      </c>
      <c r="M271" s="14">
        <v>1250</v>
      </c>
      <c r="N271" s="44">
        <f>(K271*Table1[[#This Row],[Ühik2]])+M271</f>
        <v>16250</v>
      </c>
      <c r="O271" s="44">
        <f>Table1[[#This Row],[2020. EA ]]*0.338</f>
        <v>5492.5</v>
      </c>
      <c r="P271" s="14"/>
    </row>
    <row r="272" spans="1:16" hidden="1" x14ac:dyDescent="0.25">
      <c r="A272" s="14" t="str">
        <f t="shared" si="25"/>
        <v>10</v>
      </c>
      <c r="B272" s="3" t="s">
        <v>366</v>
      </c>
      <c r="C272" s="14" t="str">
        <f>VLOOKUP(B272,Table4[],2,FALSE)</f>
        <v xml:space="preserve"> Vinni Perekodu</v>
      </c>
      <c r="D272" s="39" t="str">
        <f>VLOOKUP(Table1[[#This Row],[Tegevusala]],Table4[[Tegevusala kood]:[Tegevusala alanimetus]],4,FALSE)</f>
        <v>Laste ja noorte sotsiaalhoolekande asutused</v>
      </c>
      <c r="E272" s="14" t="str">
        <f>VLOOKUP(C272,Table4[[Tegevusala nimetus]:[Tegevusala koondnimetus]],2,FALSE)</f>
        <v>Sotsiaalne kaitse</v>
      </c>
      <c r="F272" s="14" t="s">
        <v>1657</v>
      </c>
      <c r="G272" s="14" t="s">
        <v>1660</v>
      </c>
      <c r="H272" s="14">
        <v>1</v>
      </c>
      <c r="I272" s="14"/>
      <c r="J272" s="14">
        <v>1250</v>
      </c>
      <c r="K272" s="14">
        <f t="shared" si="23"/>
        <v>1250</v>
      </c>
      <c r="L272" s="14">
        <v>12</v>
      </c>
      <c r="M272" s="14">
        <v>1250</v>
      </c>
      <c r="N272" s="44">
        <f>(K272*Table1[[#This Row],[Ühik2]])+M272</f>
        <v>16250</v>
      </c>
      <c r="O272" s="44">
        <f>Table1[[#This Row],[2020. EA ]]*0.338</f>
        <v>5492.5</v>
      </c>
      <c r="P272" s="14"/>
    </row>
    <row r="273" spans="1:16" hidden="1" x14ac:dyDescent="0.25">
      <c r="A273" s="14" t="str">
        <f t="shared" si="25"/>
        <v>10</v>
      </c>
      <c r="B273" s="3" t="s">
        <v>366</v>
      </c>
      <c r="C273" s="14" t="str">
        <f>VLOOKUP(B273,Table4[],2,FALSE)</f>
        <v xml:space="preserve"> Vinni Perekodu</v>
      </c>
      <c r="D273" s="39" t="str">
        <f>VLOOKUP(Table1[[#This Row],[Tegevusala]],Table4[[Tegevusala kood]:[Tegevusala alanimetus]],4,FALSE)</f>
        <v>Laste ja noorte sotsiaalhoolekande asutused</v>
      </c>
      <c r="E273" s="14" t="str">
        <f>VLOOKUP(C273,Table4[[Tegevusala nimetus]:[Tegevusala koondnimetus]],2,FALSE)</f>
        <v>Sotsiaalne kaitse</v>
      </c>
      <c r="F273" s="14" t="s">
        <v>1657</v>
      </c>
      <c r="G273" s="14" t="s">
        <v>1661</v>
      </c>
      <c r="H273" s="14">
        <v>1</v>
      </c>
      <c r="I273" s="14"/>
      <c r="J273" s="14">
        <v>1250</v>
      </c>
      <c r="K273" s="14">
        <f t="shared" si="23"/>
        <v>1250</v>
      </c>
      <c r="L273" s="14">
        <v>12</v>
      </c>
      <c r="M273" s="14">
        <v>1250</v>
      </c>
      <c r="N273" s="44">
        <f>(K273*Table1[[#This Row],[Ühik2]])+M273</f>
        <v>16250</v>
      </c>
      <c r="O273" s="44">
        <f>Table1[[#This Row],[2020. EA ]]*0.338</f>
        <v>5492.5</v>
      </c>
      <c r="P273" s="14"/>
    </row>
    <row r="274" spans="1:16" hidden="1" x14ac:dyDescent="0.25">
      <c r="A274" s="14" t="str">
        <f t="shared" si="25"/>
        <v>10</v>
      </c>
      <c r="B274" s="3" t="s">
        <v>366</v>
      </c>
      <c r="C274" s="14" t="str">
        <f>VLOOKUP(B274,Table4[],2,FALSE)</f>
        <v xml:space="preserve"> Vinni Perekodu</v>
      </c>
      <c r="D274" s="39" t="str">
        <f>VLOOKUP(Table1[[#This Row],[Tegevusala]],Table4[[Tegevusala kood]:[Tegevusala alanimetus]],4,FALSE)</f>
        <v>Laste ja noorte sotsiaalhoolekande asutused</v>
      </c>
      <c r="E274" s="14" t="str">
        <f>VLOOKUP(C274,Table4[[Tegevusala nimetus]:[Tegevusala koondnimetus]],2,FALSE)</f>
        <v>Sotsiaalne kaitse</v>
      </c>
      <c r="F274" s="14" t="s">
        <v>1657</v>
      </c>
      <c r="G274" s="14" t="s">
        <v>1661</v>
      </c>
      <c r="H274" s="14">
        <v>1</v>
      </c>
      <c r="I274" s="14"/>
      <c r="J274" s="14">
        <v>1250</v>
      </c>
      <c r="K274" s="14">
        <f t="shared" si="23"/>
        <v>1250</v>
      </c>
      <c r="L274" s="14">
        <v>12</v>
      </c>
      <c r="M274" s="14">
        <v>1250</v>
      </c>
      <c r="N274" s="44">
        <f>(K274*Table1[[#This Row],[Ühik2]])+M274</f>
        <v>16250</v>
      </c>
      <c r="O274" s="44">
        <f>Table1[[#This Row],[2020. EA ]]*0.338</f>
        <v>5492.5</v>
      </c>
      <c r="P274" s="14"/>
    </row>
    <row r="275" spans="1:16" hidden="1" x14ac:dyDescent="0.25">
      <c r="A275" s="14" t="str">
        <f t="shared" si="25"/>
        <v>10</v>
      </c>
      <c r="B275" s="3" t="s">
        <v>366</v>
      </c>
      <c r="C275" s="14" t="str">
        <f>VLOOKUP(B275,Table4[],2,FALSE)</f>
        <v xml:space="preserve"> Vinni Perekodu</v>
      </c>
      <c r="D275" s="39" t="str">
        <f>VLOOKUP(Table1[[#This Row],[Tegevusala]],Table4[[Tegevusala kood]:[Tegevusala alanimetus]],4,FALSE)</f>
        <v>Laste ja noorte sotsiaalhoolekande asutused</v>
      </c>
      <c r="E275" s="14" t="str">
        <f>VLOOKUP(C275,Table4[[Tegevusala nimetus]:[Tegevusala koondnimetus]],2,FALSE)</f>
        <v>Sotsiaalne kaitse</v>
      </c>
      <c r="F275" s="14" t="s">
        <v>1657</v>
      </c>
      <c r="G275" s="14" t="s">
        <v>1661</v>
      </c>
      <c r="H275" s="14">
        <v>1</v>
      </c>
      <c r="I275" s="14"/>
      <c r="J275" s="14">
        <v>1250</v>
      </c>
      <c r="K275" s="14">
        <f t="shared" si="23"/>
        <v>1250</v>
      </c>
      <c r="L275" s="14">
        <v>12</v>
      </c>
      <c r="M275" s="14">
        <v>1250</v>
      </c>
      <c r="N275" s="44">
        <f>(K275*Table1[[#This Row],[Ühik2]])+M275</f>
        <v>16250</v>
      </c>
      <c r="O275" s="44">
        <f>Table1[[#This Row],[2020. EA ]]*0.338</f>
        <v>5492.5</v>
      </c>
      <c r="P275" s="14"/>
    </row>
    <row r="276" spans="1:16" hidden="1" x14ac:dyDescent="0.25">
      <c r="A276" s="14" t="str">
        <f t="shared" si="25"/>
        <v>10</v>
      </c>
      <c r="B276" s="3" t="s">
        <v>366</v>
      </c>
      <c r="C276" s="14" t="str">
        <f>VLOOKUP(B276,Table4[],2,FALSE)</f>
        <v xml:space="preserve"> Vinni Perekodu</v>
      </c>
      <c r="D276" s="39" t="str">
        <f>VLOOKUP(Table1[[#This Row],[Tegevusala]],Table4[[Tegevusala kood]:[Tegevusala alanimetus]],4,FALSE)</f>
        <v>Laste ja noorte sotsiaalhoolekande asutused</v>
      </c>
      <c r="E276" s="14" t="str">
        <f>VLOOKUP(C276,Table4[[Tegevusala nimetus]:[Tegevusala koondnimetus]],2,FALSE)</f>
        <v>Sotsiaalne kaitse</v>
      </c>
      <c r="F276" s="14" t="s">
        <v>1657</v>
      </c>
      <c r="G276" s="14" t="s">
        <v>1662</v>
      </c>
      <c r="H276" s="14">
        <v>1</v>
      </c>
      <c r="I276" s="14"/>
      <c r="J276" s="14">
        <v>1250</v>
      </c>
      <c r="K276" s="14">
        <f t="shared" si="23"/>
        <v>1250</v>
      </c>
      <c r="L276" s="14">
        <v>12</v>
      </c>
      <c r="M276" s="14">
        <v>1250</v>
      </c>
      <c r="N276" s="44">
        <f>(K276*Table1[[#This Row],[Ühik2]])+M276</f>
        <v>16250</v>
      </c>
      <c r="O276" s="44">
        <f>Table1[[#This Row],[2020. EA ]]*0.338</f>
        <v>5492.5</v>
      </c>
      <c r="P276" s="14"/>
    </row>
    <row r="277" spans="1:16" hidden="1" x14ac:dyDescent="0.25">
      <c r="A277" s="14" t="str">
        <f t="shared" si="25"/>
        <v>10</v>
      </c>
      <c r="B277" s="3" t="s">
        <v>366</v>
      </c>
      <c r="C277" s="14" t="str">
        <f>VLOOKUP(B277,Table4[],2,FALSE)</f>
        <v xml:space="preserve"> Vinni Perekodu</v>
      </c>
      <c r="D277" s="39" t="str">
        <f>VLOOKUP(Table1[[#This Row],[Tegevusala]],Table4[[Tegevusala kood]:[Tegevusala alanimetus]],4,FALSE)</f>
        <v>Laste ja noorte sotsiaalhoolekande asutused</v>
      </c>
      <c r="E277" s="14" t="str">
        <f>VLOOKUP(C277,Table4[[Tegevusala nimetus]:[Tegevusala koondnimetus]],2,FALSE)</f>
        <v>Sotsiaalne kaitse</v>
      </c>
      <c r="F277" s="14" t="s">
        <v>1657</v>
      </c>
      <c r="G277" s="14" t="s">
        <v>1662</v>
      </c>
      <c r="H277" s="14">
        <v>1</v>
      </c>
      <c r="I277" s="14"/>
      <c r="J277" s="14">
        <v>1250</v>
      </c>
      <c r="K277" s="14">
        <f t="shared" si="23"/>
        <v>1250</v>
      </c>
      <c r="L277" s="14">
        <v>12</v>
      </c>
      <c r="M277" s="14">
        <v>1250</v>
      </c>
      <c r="N277" s="44">
        <f>(K277*Table1[[#This Row],[Ühik2]])+M277</f>
        <v>16250</v>
      </c>
      <c r="O277" s="44">
        <f>Table1[[#This Row],[2020. EA ]]*0.338</f>
        <v>5492.5</v>
      </c>
      <c r="P277" s="14"/>
    </row>
    <row r="278" spans="1:16" hidden="1" x14ac:dyDescent="0.25">
      <c r="A278" s="14" t="str">
        <f t="shared" si="25"/>
        <v>10</v>
      </c>
      <c r="B278" s="3" t="s">
        <v>366</v>
      </c>
      <c r="C278" s="14" t="str">
        <f>VLOOKUP(B278,Table4[],2,FALSE)</f>
        <v xml:space="preserve"> Vinni Perekodu</v>
      </c>
      <c r="D278" s="39" t="str">
        <f>VLOOKUP(Table1[[#This Row],[Tegevusala]],Table4[[Tegevusala kood]:[Tegevusala alanimetus]],4,FALSE)</f>
        <v>Laste ja noorte sotsiaalhoolekande asutused</v>
      </c>
      <c r="E278" s="14" t="str">
        <f>VLOOKUP(C278,Table4[[Tegevusala nimetus]:[Tegevusala koondnimetus]],2,FALSE)</f>
        <v>Sotsiaalne kaitse</v>
      </c>
      <c r="F278" s="14" t="s">
        <v>1657</v>
      </c>
      <c r="G278" s="14" t="s">
        <v>1662</v>
      </c>
      <c r="H278" s="14">
        <v>1</v>
      </c>
      <c r="I278" s="14"/>
      <c r="J278" s="14">
        <v>1250</v>
      </c>
      <c r="K278" s="14">
        <f t="shared" si="23"/>
        <v>1250</v>
      </c>
      <c r="L278" s="14">
        <v>12</v>
      </c>
      <c r="M278" s="14">
        <v>1250</v>
      </c>
      <c r="N278" s="44">
        <f>(K278*Table1[[#This Row],[Ühik2]])+M278</f>
        <v>16250</v>
      </c>
      <c r="O278" s="44">
        <f>Table1[[#This Row],[2020. EA ]]*0.338</f>
        <v>5492.5</v>
      </c>
      <c r="P278" s="14"/>
    </row>
    <row r="279" spans="1:16" hidden="1" x14ac:dyDescent="0.25">
      <c r="A279" s="14" t="str">
        <f t="shared" si="25"/>
        <v>10</v>
      </c>
      <c r="B279" s="3" t="s">
        <v>366</v>
      </c>
      <c r="C279" s="14" t="str">
        <f>VLOOKUP(B279,Table4[],2,FALSE)</f>
        <v xml:space="preserve"> Vinni Perekodu</v>
      </c>
      <c r="D279" s="39" t="str">
        <f>VLOOKUP(Table1[[#This Row],[Tegevusala]],Table4[[Tegevusala kood]:[Tegevusala alanimetus]],4,FALSE)</f>
        <v>Laste ja noorte sotsiaalhoolekande asutused</v>
      </c>
      <c r="E279" s="14" t="str">
        <f>VLOOKUP(C279,Table4[[Tegevusala nimetus]:[Tegevusala koondnimetus]],2,FALSE)</f>
        <v>Sotsiaalne kaitse</v>
      </c>
      <c r="F279" s="14" t="s">
        <v>1657</v>
      </c>
      <c r="G279" s="14" t="s">
        <v>1663</v>
      </c>
      <c r="H279" s="14">
        <v>1</v>
      </c>
      <c r="I279" s="14"/>
      <c r="J279" s="14">
        <v>1250</v>
      </c>
      <c r="K279" s="14">
        <f t="shared" si="23"/>
        <v>1250</v>
      </c>
      <c r="L279" s="14">
        <v>12</v>
      </c>
      <c r="M279" s="14">
        <v>1250</v>
      </c>
      <c r="N279" s="44">
        <f>(K279*Table1[[#This Row],[Ühik2]])+M279</f>
        <v>16250</v>
      </c>
      <c r="O279" s="44">
        <f>Table1[[#This Row],[2020. EA ]]*0.338</f>
        <v>5492.5</v>
      </c>
      <c r="P279" s="14"/>
    </row>
    <row r="280" spans="1:16" hidden="1" x14ac:dyDescent="0.25">
      <c r="A280" s="14" t="str">
        <f t="shared" si="25"/>
        <v>10</v>
      </c>
      <c r="B280" s="3" t="s">
        <v>366</v>
      </c>
      <c r="C280" s="14" t="str">
        <f>VLOOKUP(B280,Table4[],2,FALSE)</f>
        <v xml:space="preserve"> Vinni Perekodu</v>
      </c>
      <c r="D280" s="39" t="str">
        <f>VLOOKUP(Table1[[#This Row],[Tegevusala]],Table4[[Tegevusala kood]:[Tegevusala alanimetus]],4,FALSE)</f>
        <v>Laste ja noorte sotsiaalhoolekande asutused</v>
      </c>
      <c r="E280" s="14" t="str">
        <f>VLOOKUP(C280,Table4[[Tegevusala nimetus]:[Tegevusala koondnimetus]],2,FALSE)</f>
        <v>Sotsiaalne kaitse</v>
      </c>
      <c r="F280" s="14" t="s">
        <v>1657</v>
      </c>
      <c r="G280" s="14" t="s">
        <v>1663</v>
      </c>
      <c r="H280" s="14">
        <v>1</v>
      </c>
      <c r="I280" s="14"/>
      <c r="J280" s="14">
        <v>1250</v>
      </c>
      <c r="K280" s="14">
        <f t="shared" si="23"/>
        <v>1250</v>
      </c>
      <c r="L280" s="14">
        <v>12</v>
      </c>
      <c r="M280" s="14">
        <v>1250</v>
      </c>
      <c r="N280" s="44">
        <f>(K280*Table1[[#This Row],[Ühik2]])+M280</f>
        <v>16250</v>
      </c>
      <c r="O280" s="44">
        <f>Table1[[#This Row],[2020. EA ]]*0.338</f>
        <v>5492.5</v>
      </c>
      <c r="P280" s="14"/>
    </row>
    <row r="281" spans="1:16" hidden="1" x14ac:dyDescent="0.25">
      <c r="A281" s="14" t="str">
        <f t="shared" si="25"/>
        <v>10</v>
      </c>
      <c r="B281" s="3" t="s">
        <v>366</v>
      </c>
      <c r="C281" s="14" t="str">
        <f>VLOOKUP(B281,Table4[],2,FALSE)</f>
        <v xml:space="preserve"> Vinni Perekodu</v>
      </c>
      <c r="D281" s="39" t="str">
        <f>VLOOKUP(Table1[[#This Row],[Tegevusala]],Table4[[Tegevusala kood]:[Tegevusala alanimetus]],4,FALSE)</f>
        <v>Laste ja noorte sotsiaalhoolekande asutused</v>
      </c>
      <c r="E281" s="14" t="str">
        <f>VLOOKUP(C281,Table4[[Tegevusala nimetus]:[Tegevusala koondnimetus]],2,FALSE)</f>
        <v>Sotsiaalne kaitse</v>
      </c>
      <c r="F281" s="14" t="s">
        <v>1657</v>
      </c>
      <c r="G281" s="14" t="s">
        <v>1663</v>
      </c>
      <c r="H281" s="14">
        <v>1</v>
      </c>
      <c r="I281" s="14"/>
      <c r="J281" s="14">
        <v>1250</v>
      </c>
      <c r="K281" s="14">
        <f t="shared" si="23"/>
        <v>1250</v>
      </c>
      <c r="L281" s="14">
        <v>12</v>
      </c>
      <c r="M281" s="14">
        <v>1250</v>
      </c>
      <c r="N281" s="44">
        <f>(K281*Table1[[#This Row],[Ühik2]])+M281</f>
        <v>16250</v>
      </c>
      <c r="O281" s="44">
        <f>Table1[[#This Row],[2020. EA ]]*0.338</f>
        <v>5492.5</v>
      </c>
      <c r="P281" s="14"/>
    </row>
    <row r="282" spans="1:16" hidden="1" x14ac:dyDescent="0.25">
      <c r="A282" s="14" t="str">
        <f t="shared" si="25"/>
        <v>10</v>
      </c>
      <c r="B282" s="3" t="s">
        <v>366</v>
      </c>
      <c r="C282" s="14" t="str">
        <f>VLOOKUP(B282,Table4[],2,FALSE)</f>
        <v xml:space="preserve"> Vinni Perekodu</v>
      </c>
      <c r="D282" s="39" t="str">
        <f>VLOOKUP(Table1[[#This Row],[Tegevusala]],Table4[[Tegevusala kood]:[Tegevusala alanimetus]],4,FALSE)</f>
        <v>Laste ja noorte sotsiaalhoolekande asutused</v>
      </c>
      <c r="E282" s="14" t="str">
        <f>VLOOKUP(C282,Table4[[Tegevusala nimetus]:[Tegevusala koondnimetus]],2,FALSE)</f>
        <v>Sotsiaalne kaitse</v>
      </c>
      <c r="F282" s="14" t="s">
        <v>1657</v>
      </c>
      <c r="G282" s="14" t="s">
        <v>1664</v>
      </c>
      <c r="H282" s="14">
        <v>1</v>
      </c>
      <c r="I282" s="14"/>
      <c r="J282" s="14">
        <v>900</v>
      </c>
      <c r="K282" s="14">
        <f t="shared" si="23"/>
        <v>900</v>
      </c>
      <c r="L282" s="14">
        <v>12</v>
      </c>
      <c r="M282" s="14">
        <v>900</v>
      </c>
      <c r="N282" s="44">
        <f>(K282*Table1[[#This Row],[Ühik2]])+M282</f>
        <v>11700</v>
      </c>
      <c r="O282" s="44">
        <f>Table1[[#This Row],[2020. EA ]]*0.338</f>
        <v>3954.6000000000004</v>
      </c>
      <c r="P282" s="14"/>
    </row>
    <row r="283" spans="1:16" hidden="1" x14ac:dyDescent="0.25">
      <c r="A283" s="38" t="str">
        <f t="shared" si="25"/>
        <v>10</v>
      </c>
      <c r="B283" s="34" t="s">
        <v>366</v>
      </c>
      <c r="C283" s="38" t="str">
        <f>VLOOKUP(B283,Table4[],2,FALSE)</f>
        <v xml:space="preserve"> Vinni Perekodu</v>
      </c>
      <c r="D283" s="39" t="str">
        <f>VLOOKUP(Table1[[#This Row],[Tegevusala]],Table4[[Tegevusala kood]:[Tegevusala alanimetus]],4,FALSE)</f>
        <v>Laste ja noorte sotsiaalhoolekande asutused</v>
      </c>
      <c r="E283" s="38" t="str">
        <f>VLOOKUP(C283,Table4[[Tegevusala nimetus]:[Tegevusala koondnimetus]],2,FALSE)</f>
        <v>Sotsiaalne kaitse</v>
      </c>
      <c r="F283" s="38" t="s">
        <v>1657</v>
      </c>
      <c r="G283" s="38" t="s">
        <v>1665</v>
      </c>
      <c r="H283" s="38">
        <v>1</v>
      </c>
      <c r="I283" s="38"/>
      <c r="J283" s="38">
        <v>1250</v>
      </c>
      <c r="K283" s="38">
        <f t="shared" si="23"/>
        <v>1250</v>
      </c>
      <c r="L283" s="38">
        <v>12</v>
      </c>
      <c r="M283" s="38">
        <v>1250</v>
      </c>
      <c r="N283" s="45">
        <f>(K283*Table1[[#This Row],[Ühik2]])+M283</f>
        <v>16250</v>
      </c>
      <c r="O283" s="45">
        <f>Table1[[#This Row],[2020. EA ]]*0.338</f>
        <v>5492.5</v>
      </c>
      <c r="P283" s="38"/>
    </row>
    <row r="284" spans="1:16" hidden="1" x14ac:dyDescent="0.25">
      <c r="A284" s="14" t="str">
        <f t="shared" si="25"/>
        <v>10</v>
      </c>
      <c r="B284" s="3" t="s">
        <v>366</v>
      </c>
      <c r="C284" s="14" t="str">
        <f>VLOOKUP(B284,Table4[],2,FALSE)</f>
        <v xml:space="preserve"> Vinni Perekodu</v>
      </c>
      <c r="D284" s="39" t="str">
        <f>VLOOKUP(Table1[[#This Row],[Tegevusala]],Table4[[Tegevusala kood]:[Tegevusala alanimetus]],4,FALSE)</f>
        <v>Laste ja noorte sotsiaalhoolekande asutused</v>
      </c>
      <c r="E284" s="14" t="str">
        <f>VLOOKUP(C284,Table4[[Tegevusala nimetus]:[Tegevusala koondnimetus]],2,FALSE)</f>
        <v>Sotsiaalne kaitse</v>
      </c>
      <c r="F284" s="14" t="s">
        <v>1657</v>
      </c>
      <c r="G284" s="14" t="s">
        <v>1666</v>
      </c>
      <c r="H284" s="14">
        <v>1</v>
      </c>
      <c r="I284" s="14"/>
      <c r="J284" s="14">
        <v>670</v>
      </c>
      <c r="K284" s="14">
        <f t="shared" si="23"/>
        <v>670</v>
      </c>
      <c r="L284" s="14">
        <v>12</v>
      </c>
      <c r="M284" s="14">
        <v>670</v>
      </c>
      <c r="N284" s="44">
        <f>(K284*Table1[[#This Row],[Ühik2]])+M284</f>
        <v>8710</v>
      </c>
      <c r="O284" s="44">
        <f>Table1[[#This Row],[2020. EA ]]*0.338</f>
        <v>2943.98</v>
      </c>
      <c r="P284" s="14"/>
    </row>
    <row r="285" spans="1:16" hidden="1" x14ac:dyDescent="0.25">
      <c r="A285" s="14" t="str">
        <f t="shared" si="25"/>
        <v>10</v>
      </c>
      <c r="B285" s="3" t="s">
        <v>366</v>
      </c>
      <c r="C285" s="14" t="str">
        <f>VLOOKUP(B285,Table4[],2,FALSE)</f>
        <v xml:space="preserve"> Vinni Perekodu</v>
      </c>
      <c r="D285" s="39" t="str">
        <f>VLOOKUP(Table1[[#This Row],[Tegevusala]],Table4[[Tegevusala kood]:[Tegevusala alanimetus]],4,FALSE)</f>
        <v>Laste ja noorte sotsiaalhoolekande asutused</v>
      </c>
      <c r="E285" s="14" t="str">
        <f>VLOOKUP(C285,Table4[[Tegevusala nimetus]:[Tegevusala koondnimetus]],2,FALSE)</f>
        <v>Sotsiaalne kaitse</v>
      </c>
      <c r="F285" s="14" t="s">
        <v>1657</v>
      </c>
      <c r="G285" s="14" t="s">
        <v>1667</v>
      </c>
      <c r="H285" s="14">
        <v>1</v>
      </c>
      <c r="I285" s="14"/>
      <c r="J285" s="14">
        <v>670</v>
      </c>
      <c r="K285" s="14">
        <f t="shared" si="23"/>
        <v>670</v>
      </c>
      <c r="L285" s="14">
        <v>12</v>
      </c>
      <c r="M285" s="14">
        <v>670</v>
      </c>
      <c r="N285" s="44">
        <f>(K285*Table1[[#This Row],[Ühik2]])+M285</f>
        <v>8710</v>
      </c>
      <c r="O285" s="44">
        <f>Table1[[#This Row],[2020. EA ]]*0.338</f>
        <v>2943.98</v>
      </c>
      <c r="P285" s="14"/>
    </row>
    <row r="286" spans="1:16" hidden="1" x14ac:dyDescent="0.25">
      <c r="A286" s="14" t="str">
        <f t="shared" si="25"/>
        <v>10</v>
      </c>
      <c r="B286" s="3" t="s">
        <v>366</v>
      </c>
      <c r="C286" s="14" t="str">
        <f>VLOOKUP(B286,Table4[],2,FALSE)</f>
        <v xml:space="preserve"> Vinni Perekodu</v>
      </c>
      <c r="D286" s="39" t="str">
        <f>VLOOKUP(Table1[[#This Row],[Tegevusala]],Table4[[Tegevusala kood]:[Tegevusala alanimetus]],4,FALSE)</f>
        <v>Laste ja noorte sotsiaalhoolekande asutused</v>
      </c>
      <c r="E286" s="14" t="str">
        <f>VLOOKUP(C286,Table4[[Tegevusala nimetus]:[Tegevusala koondnimetus]],2,FALSE)</f>
        <v>Sotsiaalne kaitse</v>
      </c>
      <c r="F286" s="14" t="s">
        <v>1657</v>
      </c>
      <c r="G286" s="14" t="s">
        <v>1668</v>
      </c>
      <c r="H286" s="14">
        <v>1</v>
      </c>
      <c r="I286" s="14" t="s">
        <v>2005</v>
      </c>
      <c r="J286" s="14">
        <v>120</v>
      </c>
      <c r="K286" s="14">
        <f t="shared" si="23"/>
        <v>120</v>
      </c>
      <c r="L286" s="14">
        <v>12</v>
      </c>
      <c r="M286" s="14">
        <v>120</v>
      </c>
      <c r="N286" s="44">
        <f>(K286*Table1[[#This Row],[Ühik2]])+M286</f>
        <v>1560</v>
      </c>
      <c r="O286" s="44">
        <f>Table1[[#This Row],[2020. EA ]]*0.338</f>
        <v>527.28000000000009</v>
      </c>
      <c r="P286" s="14"/>
    </row>
    <row r="287" spans="1:16" x14ac:dyDescent="0.25">
      <c r="A287" s="14" t="str">
        <f t="shared" ref="A287:A301" si="26">LEFT(B287,2)</f>
        <v>09</v>
      </c>
      <c r="B287" t="s">
        <v>327</v>
      </c>
      <c r="C287" s="14" t="str">
        <f>VLOOKUP(B287,Table4[],2,FALSE)</f>
        <v xml:space="preserve"> Tudu kool</v>
      </c>
      <c r="D287" s="39" t="str">
        <f>VLOOKUP(Table1[[#This Row],[Tegevusala]],Table4[[Tegevusala kood]:[Tegevusala alanimetus]],4,FALSE)</f>
        <v>Põhihariduse otsekulud</v>
      </c>
      <c r="E287" s="14" t="str">
        <f>VLOOKUP(C287,Table4[[Tegevusala nimetus]:[Tegevusala koondnimetus]],2,FALSE)</f>
        <v>Haridus</v>
      </c>
      <c r="F287" s="14" t="s">
        <v>1704</v>
      </c>
      <c r="G287" s="14" t="s">
        <v>1377</v>
      </c>
      <c r="H287" s="14">
        <v>0.30063699999999999</v>
      </c>
      <c r="I287" s="14"/>
      <c r="J287" s="14">
        <v>785</v>
      </c>
      <c r="K287" s="41">
        <f>H287*J287</f>
        <v>236.000045</v>
      </c>
      <c r="L287" s="14">
        <v>12</v>
      </c>
      <c r="M287" s="14"/>
      <c r="N287" s="44">
        <f>(K287*Table1[[#This Row],[Ühik2]])+M287</f>
        <v>2832.00054</v>
      </c>
      <c r="O287" s="44">
        <f>Table1[[#This Row],[2020. EA ]]*0.338</f>
        <v>957.21618252000007</v>
      </c>
      <c r="P287" s="14"/>
    </row>
    <row r="288" spans="1:16" x14ac:dyDescent="0.25">
      <c r="A288" s="14" t="str">
        <f t="shared" si="26"/>
        <v>09</v>
      </c>
      <c r="B288" t="s">
        <v>327</v>
      </c>
      <c r="C288" s="14" t="str">
        <f>VLOOKUP(B288,Table4[],2,FALSE)</f>
        <v xml:space="preserve"> Tudu kool</v>
      </c>
      <c r="D288" s="39" t="str">
        <f>VLOOKUP(Table1[[#This Row],[Tegevusala]],Table4[[Tegevusala kood]:[Tegevusala alanimetus]],4,FALSE)</f>
        <v>Põhihariduse otsekulud</v>
      </c>
      <c r="E288" s="14" t="str">
        <f>VLOOKUP(C288,Table4[[Tegevusala nimetus]:[Tegevusala koondnimetus]],2,FALSE)</f>
        <v>Haridus</v>
      </c>
      <c r="F288" s="14" t="s">
        <v>1704</v>
      </c>
      <c r="G288" s="14" t="s">
        <v>1693</v>
      </c>
      <c r="H288" s="14">
        <v>1</v>
      </c>
      <c r="I288" s="14" t="s">
        <v>2005</v>
      </c>
      <c r="J288" s="14">
        <v>580</v>
      </c>
      <c r="K288" s="14">
        <f t="shared" si="23"/>
        <v>580</v>
      </c>
      <c r="L288" s="14">
        <v>12</v>
      </c>
      <c r="M288" s="14"/>
      <c r="N288" s="44">
        <f>(K288*Table1[[#This Row],[Ühik2]])+M288</f>
        <v>6960</v>
      </c>
      <c r="O288" s="44">
        <f>Table1[[#This Row],[2020. EA ]]*0.338</f>
        <v>2352.48</v>
      </c>
      <c r="P288" s="14"/>
    </row>
    <row r="289" spans="1:16" x14ac:dyDescent="0.25">
      <c r="A289" s="14" t="str">
        <f t="shared" si="26"/>
        <v>09</v>
      </c>
      <c r="B289" t="s">
        <v>327</v>
      </c>
      <c r="C289" s="14" t="str">
        <f>VLOOKUP(B289,Table4[],2,FALSE)</f>
        <v xml:space="preserve"> Tudu kool</v>
      </c>
      <c r="D289" s="39" t="str">
        <f>VLOOKUP(Table1[[#This Row],[Tegevusala]],Table4[[Tegevusala kood]:[Tegevusala alanimetus]],4,FALSE)</f>
        <v>Põhihariduse otsekulud</v>
      </c>
      <c r="E289" s="14" t="str">
        <f>VLOOKUP(C289,Table4[[Tegevusala nimetus]:[Tegevusala koondnimetus]],2,FALSE)</f>
        <v>Haridus</v>
      </c>
      <c r="F289" s="14" t="s">
        <v>1704</v>
      </c>
      <c r="G289" s="14" t="s">
        <v>1694</v>
      </c>
      <c r="H289" s="14">
        <v>0.100034</v>
      </c>
      <c r="I289" s="14"/>
      <c r="J289" s="14">
        <v>978</v>
      </c>
      <c r="K289" s="14">
        <f t="shared" si="23"/>
        <v>97.833252000000002</v>
      </c>
      <c r="L289" s="14">
        <v>12</v>
      </c>
      <c r="M289" s="14"/>
      <c r="N289" s="44">
        <f>(K289*Table1[[#This Row],[Ühik2]])+M289</f>
        <v>1173.999024</v>
      </c>
      <c r="O289" s="44">
        <f>Table1[[#This Row],[2020. EA ]]*0.338</f>
        <v>396.811670112</v>
      </c>
      <c r="P289" s="14"/>
    </row>
    <row r="290" spans="1:16" x14ac:dyDescent="0.25">
      <c r="A290" s="14" t="str">
        <f t="shared" si="26"/>
        <v>09</v>
      </c>
      <c r="B290" t="s">
        <v>315</v>
      </c>
      <c r="C290" s="14" t="str">
        <f>VLOOKUP(B290,Table4[],2,FALSE)</f>
        <v xml:space="preserve"> Tudu Lasteaed</v>
      </c>
      <c r="D290" s="39" t="str">
        <f>VLOOKUP(Table1[[#This Row],[Tegevusala]],Table4[[Tegevusala kood]:[Tegevusala alanimetus]],4,FALSE)</f>
        <v>Alusharidus</v>
      </c>
      <c r="E290" s="14" t="str">
        <f>VLOOKUP(C290,Table4[[Tegevusala nimetus]:[Tegevusala koondnimetus]],2,FALSE)</f>
        <v>Haridus</v>
      </c>
      <c r="F290" s="14" t="s">
        <v>621</v>
      </c>
      <c r="G290" s="14" t="s">
        <v>1695</v>
      </c>
      <c r="H290" s="14">
        <v>0.100034</v>
      </c>
      <c r="I290" s="14"/>
      <c r="J290" s="14">
        <v>978</v>
      </c>
      <c r="K290" s="14">
        <f t="shared" si="23"/>
        <v>97.833252000000002</v>
      </c>
      <c r="L290" s="14">
        <v>12</v>
      </c>
      <c r="M290" s="14"/>
      <c r="N290" s="44">
        <f>(K290*Table1[[#This Row],[Ühik2]])+M290</f>
        <v>1173.999024</v>
      </c>
      <c r="O290" s="44">
        <f>Table1[[#This Row],[2020. EA ]]*0.338</f>
        <v>396.811670112</v>
      </c>
      <c r="P290" s="14"/>
    </row>
    <row r="291" spans="1:16" x14ac:dyDescent="0.25">
      <c r="A291" s="14" t="str">
        <f t="shared" si="26"/>
        <v>09</v>
      </c>
      <c r="B291" t="s">
        <v>315</v>
      </c>
      <c r="C291" s="14" t="str">
        <f>VLOOKUP(B291,Table4[],2,FALSE)</f>
        <v xml:space="preserve"> Tudu Lasteaed</v>
      </c>
      <c r="D291" s="39" t="str">
        <f>VLOOKUP(Table1[[#This Row],[Tegevusala]],Table4[[Tegevusala kood]:[Tegevusala alanimetus]],4,FALSE)</f>
        <v>Alusharidus</v>
      </c>
      <c r="E291" s="14" t="str">
        <f>VLOOKUP(C291,Table4[[Tegevusala nimetus]:[Tegevusala koondnimetus]],2,FALSE)</f>
        <v>Haridus</v>
      </c>
      <c r="F291" s="14" t="s">
        <v>621</v>
      </c>
      <c r="G291" s="14" t="s">
        <v>1696</v>
      </c>
      <c r="H291" s="14">
        <v>1</v>
      </c>
      <c r="I291" s="14"/>
      <c r="J291" s="14">
        <v>760</v>
      </c>
      <c r="K291" s="14">
        <f t="shared" si="23"/>
        <v>760</v>
      </c>
      <c r="L291" s="14">
        <v>12</v>
      </c>
      <c r="M291" s="14"/>
      <c r="N291" s="44">
        <f>(K291*Table1[[#This Row],[Ühik2]])+M291</f>
        <v>9120</v>
      </c>
      <c r="O291" s="44">
        <f>Table1[[#This Row],[2020. EA ]]*0.338</f>
        <v>3082.5600000000004</v>
      </c>
      <c r="P291" s="14"/>
    </row>
    <row r="292" spans="1:16" x14ac:dyDescent="0.25">
      <c r="A292" s="14" t="str">
        <f t="shared" si="26"/>
        <v>09</v>
      </c>
      <c r="B292" t="s">
        <v>315</v>
      </c>
      <c r="C292" s="14" t="str">
        <f>VLOOKUP(B292,Table4[],2,FALSE)</f>
        <v xml:space="preserve"> Tudu Lasteaed</v>
      </c>
      <c r="D292" s="39" t="str">
        <f>VLOOKUP(Table1[[#This Row],[Tegevusala]],Table4[[Tegevusala kood]:[Tegevusala alanimetus]],4,FALSE)</f>
        <v>Alusharidus</v>
      </c>
      <c r="E292" s="14" t="str">
        <f>VLOOKUP(C292,Table4[[Tegevusala nimetus]:[Tegevusala koondnimetus]],2,FALSE)</f>
        <v>Haridus</v>
      </c>
      <c r="F292" s="14" t="s">
        <v>621</v>
      </c>
      <c r="G292" s="14" t="s">
        <v>1697</v>
      </c>
      <c r="H292" s="14">
        <v>1.83</v>
      </c>
      <c r="I292" s="14"/>
      <c r="J292" s="14">
        <v>1183.5</v>
      </c>
      <c r="K292" s="14">
        <f>H292*J292</f>
        <v>2165.8050000000003</v>
      </c>
      <c r="L292" s="14">
        <v>12</v>
      </c>
      <c r="M292" s="14"/>
      <c r="N292" s="44">
        <f>(K292*Table1[[#This Row],[Ühik2]])+M292</f>
        <v>25989.660000000003</v>
      </c>
      <c r="O292" s="44">
        <f>Table1[[#This Row],[2020. EA ]]*0.338</f>
        <v>8784.5050800000026</v>
      </c>
      <c r="P292" s="14"/>
    </row>
    <row r="293" spans="1:16" x14ac:dyDescent="0.25">
      <c r="A293" s="38" t="str">
        <f t="shared" si="26"/>
        <v>09</v>
      </c>
      <c r="B293" s="33" t="s">
        <v>315</v>
      </c>
      <c r="C293" s="38" t="str">
        <f>VLOOKUP(B293,Table4[],2,FALSE)</f>
        <v xml:space="preserve"> Tudu Lasteaed</v>
      </c>
      <c r="D293" s="39" t="str">
        <f>VLOOKUP(Table1[[#This Row],[Tegevusala]],Table4[[Tegevusala kood]:[Tegevusala alanimetus]],4,FALSE)</f>
        <v>Alusharidus</v>
      </c>
      <c r="E293" s="38" t="str">
        <f>VLOOKUP(C293,Table4[[Tegevusala nimetus]:[Tegevusala koondnimetus]],2,FALSE)</f>
        <v>Haridus</v>
      </c>
      <c r="F293" s="38" t="s">
        <v>621</v>
      </c>
      <c r="G293" s="38" t="s">
        <v>1698</v>
      </c>
      <c r="H293" s="38">
        <v>0.12978000000000001</v>
      </c>
      <c r="I293" s="38"/>
      <c r="J293" s="38">
        <v>1183.5</v>
      </c>
      <c r="K293" s="52">
        <f t="shared" si="23"/>
        <v>153.59463</v>
      </c>
      <c r="L293" s="38">
        <v>12</v>
      </c>
      <c r="M293" s="38"/>
      <c r="N293" s="45">
        <f>(K293*Table1[[#This Row],[Ühik2]])+M293</f>
        <v>1843.1355599999999</v>
      </c>
      <c r="O293" s="45">
        <f>Table1[[#This Row],[2020. EA ]]*0.338</f>
        <v>622.97981928000002</v>
      </c>
      <c r="P293" s="38"/>
    </row>
    <row r="294" spans="1:16" x14ac:dyDescent="0.25">
      <c r="A294" s="38" t="str">
        <f t="shared" si="26"/>
        <v>09</v>
      </c>
      <c r="B294" s="33" t="s">
        <v>315</v>
      </c>
      <c r="C294" s="38" t="str">
        <f>VLOOKUP(B294,Table4[],2,FALSE)</f>
        <v xml:space="preserve"> Tudu Lasteaed</v>
      </c>
      <c r="D294" s="39" t="str">
        <f>VLOOKUP(Table1[[#This Row],[Tegevusala]],Table4[[Tegevusala kood]:[Tegevusala alanimetus]],4,FALSE)</f>
        <v>Alusharidus</v>
      </c>
      <c r="E294" s="38" t="str">
        <f>VLOOKUP(C294,Table4[[Tegevusala nimetus]:[Tegevusala koondnimetus]],2,FALSE)</f>
        <v>Haridus</v>
      </c>
      <c r="F294" s="38" t="s">
        <v>621</v>
      </c>
      <c r="G294" s="38" t="s">
        <v>1699</v>
      </c>
      <c r="H294" s="38">
        <v>0.12978000000000001</v>
      </c>
      <c r="I294" s="38"/>
      <c r="J294" s="38">
        <v>1183.5</v>
      </c>
      <c r="K294" s="53">
        <f t="shared" si="23"/>
        <v>153.59463</v>
      </c>
      <c r="L294" s="38">
        <v>12</v>
      </c>
      <c r="M294" s="38"/>
      <c r="N294" s="45">
        <f>(K294*Table1[[#This Row],[Ühik2]])+M294</f>
        <v>1843.1355599999999</v>
      </c>
      <c r="O294" s="45">
        <f>Table1[[#This Row],[2020. EA ]]*0.338</f>
        <v>622.97981928000002</v>
      </c>
      <c r="P294" s="38"/>
    </row>
    <row r="295" spans="1:16" x14ac:dyDescent="0.25">
      <c r="A295" s="90" t="str">
        <f t="shared" si="26"/>
        <v>09</v>
      </c>
      <c r="B295" s="91" t="s">
        <v>327</v>
      </c>
      <c r="C295" s="90" t="str">
        <f>VLOOKUP(B295,Table4[],2,FALSE)</f>
        <v xml:space="preserve"> Tudu kool</v>
      </c>
      <c r="D295" s="94" t="str">
        <f>VLOOKUP(Table1[[#This Row],[Tegevusala]],Table4[[Tegevusala kood]:[Tegevusala alanimetus]],4,FALSE)</f>
        <v>Põhihariduse otsekulud</v>
      </c>
      <c r="E295" s="90" t="str">
        <f>VLOOKUP(C295,Table4[[Tegevusala nimetus]:[Tegevusala koondnimetus]],2,FALSE)</f>
        <v>Haridus</v>
      </c>
      <c r="F295" s="90" t="s">
        <v>1704</v>
      </c>
      <c r="G295" s="90" t="s">
        <v>1700</v>
      </c>
      <c r="H295" s="90">
        <v>0.5</v>
      </c>
      <c r="I295" s="90"/>
      <c r="J295" s="90">
        <v>584</v>
      </c>
      <c r="K295" s="90">
        <f>H295*J295</f>
        <v>292</v>
      </c>
      <c r="L295" s="90">
        <v>12</v>
      </c>
      <c r="M295" s="90"/>
      <c r="N295" s="92">
        <f>(K295*Table1[[#This Row],[Ühik2]])+M295</f>
        <v>3504</v>
      </c>
      <c r="O295" s="92">
        <f>Table1[[#This Row],[2020. EA ]]*0.338</f>
        <v>1184.3520000000001</v>
      </c>
      <c r="P295" s="90"/>
    </row>
    <row r="296" spans="1:16" x14ac:dyDescent="0.25">
      <c r="A296" s="90" t="str">
        <f t="shared" si="26"/>
        <v>09</v>
      </c>
      <c r="B296" s="91" t="s">
        <v>327</v>
      </c>
      <c r="C296" s="90" t="str">
        <f>VLOOKUP(B296,Table4[],2,FALSE)</f>
        <v xml:space="preserve"> Tudu kool</v>
      </c>
      <c r="D296" s="94" t="str">
        <f>VLOOKUP(Table1[[#This Row],[Tegevusala]],Table4[[Tegevusala kood]:[Tegevusala alanimetus]],4,FALSE)</f>
        <v>Põhihariduse otsekulud</v>
      </c>
      <c r="E296" s="90" t="str">
        <f>VLOOKUP(C296,Table4[[Tegevusala nimetus]:[Tegevusala koondnimetus]],2,FALSE)</f>
        <v>Haridus</v>
      </c>
      <c r="F296" s="90" t="s">
        <v>1704</v>
      </c>
      <c r="G296" s="90" t="s">
        <v>1701</v>
      </c>
      <c r="H296" s="90">
        <v>2</v>
      </c>
      <c r="I296" s="90"/>
      <c r="J296" s="90">
        <v>584</v>
      </c>
      <c r="K296" s="90">
        <f t="shared" si="23"/>
        <v>1168</v>
      </c>
      <c r="L296" s="90">
        <v>12</v>
      </c>
      <c r="M296" s="90"/>
      <c r="N296" s="92">
        <f>(K296*Table1[[#This Row],[Ühik2]])+M296</f>
        <v>14016</v>
      </c>
      <c r="O296" s="92">
        <f>Table1[[#This Row],[2020. EA ]]*0.338</f>
        <v>4737.4080000000004</v>
      </c>
      <c r="P296" s="90"/>
    </row>
    <row r="297" spans="1:16" x14ac:dyDescent="0.25">
      <c r="A297" s="14" t="str">
        <f t="shared" si="26"/>
        <v>09</v>
      </c>
      <c r="B297" t="s">
        <v>327</v>
      </c>
      <c r="C297" s="14" t="str">
        <f>VLOOKUP(B297,Table4[],2,FALSE)</f>
        <v xml:space="preserve"> Tudu kool</v>
      </c>
      <c r="D297" s="39" t="str">
        <f>VLOOKUP(Table1[[#This Row],[Tegevusala]],Table4[[Tegevusala kood]:[Tegevusala alanimetus]],4,FALSE)</f>
        <v>Põhihariduse otsekulud</v>
      </c>
      <c r="E297" s="14" t="str">
        <f>VLOOKUP(C297,Table4[[Tegevusala nimetus]:[Tegevusala koondnimetus]],2,FALSE)</f>
        <v>Haridus</v>
      </c>
      <c r="F297" s="14" t="s">
        <v>1704</v>
      </c>
      <c r="G297" s="14" t="s">
        <v>465</v>
      </c>
      <c r="H297" s="14">
        <v>0.5</v>
      </c>
      <c r="I297" s="14"/>
      <c r="J297" s="14">
        <v>901</v>
      </c>
      <c r="K297" s="14">
        <f t="shared" si="23"/>
        <v>450.5</v>
      </c>
      <c r="L297" s="14">
        <v>12</v>
      </c>
      <c r="M297" s="14"/>
      <c r="N297" s="44">
        <f>(K297*Table1[[#This Row],[Ühik2]])+M297</f>
        <v>5406</v>
      </c>
      <c r="O297" s="44">
        <f>Table1[[#This Row],[2020. EA ]]*0.338</f>
        <v>1827.2280000000001</v>
      </c>
      <c r="P297" s="14"/>
    </row>
    <row r="298" spans="1:16" x14ac:dyDescent="0.25">
      <c r="A298" s="90" t="str">
        <f t="shared" si="26"/>
        <v>09</v>
      </c>
      <c r="B298" s="91" t="s">
        <v>327</v>
      </c>
      <c r="C298" s="90" t="str">
        <f>VLOOKUP(B298,Table4[],2,FALSE)</f>
        <v xml:space="preserve"> Tudu kool</v>
      </c>
      <c r="D298" s="94" t="str">
        <f>VLOOKUP(Table1[[#This Row],[Tegevusala]],Table4[[Tegevusala kood]:[Tegevusala alanimetus]],4,FALSE)</f>
        <v>Põhihariduse otsekulud</v>
      </c>
      <c r="E298" s="90" t="str">
        <f>VLOOKUP(C298,Table4[[Tegevusala nimetus]:[Tegevusala koondnimetus]],2,FALSE)</f>
        <v>Haridus</v>
      </c>
      <c r="F298" s="90" t="s">
        <v>1704</v>
      </c>
      <c r="G298" s="90" t="s">
        <v>1381</v>
      </c>
      <c r="H298" s="90">
        <v>2</v>
      </c>
      <c r="I298" s="90"/>
      <c r="J298" s="90">
        <v>584</v>
      </c>
      <c r="K298" s="90">
        <f t="shared" si="23"/>
        <v>1168</v>
      </c>
      <c r="L298" s="90">
        <v>12</v>
      </c>
      <c r="M298" s="90"/>
      <c r="N298" s="92">
        <f>(K298*Table1[[#This Row],[Ühik2]])+M298</f>
        <v>14016</v>
      </c>
      <c r="O298" s="92">
        <f>Table1[[#This Row],[2020. EA ]]*0.338</f>
        <v>4737.4080000000004</v>
      </c>
      <c r="P298" s="90"/>
    </row>
    <row r="299" spans="1:16" x14ac:dyDescent="0.25">
      <c r="A299" s="90" t="str">
        <f t="shared" si="26"/>
        <v>09</v>
      </c>
      <c r="B299" s="91" t="s">
        <v>327</v>
      </c>
      <c r="C299" s="90" t="str">
        <f>VLOOKUP(B299,Table4[],2,FALSE)</f>
        <v xml:space="preserve"> Tudu kool</v>
      </c>
      <c r="D299" s="94" t="str">
        <f>VLOOKUP(Table1[[#This Row],[Tegevusala]],Table4[[Tegevusala kood]:[Tegevusala alanimetus]],4,FALSE)</f>
        <v>Põhihariduse otsekulud</v>
      </c>
      <c r="E299" s="90" t="str">
        <f>VLOOKUP(C299,Table4[[Tegevusala nimetus]:[Tegevusala koondnimetus]],2,FALSE)</f>
        <v>Haridus</v>
      </c>
      <c r="F299" s="90" t="s">
        <v>1704</v>
      </c>
      <c r="G299" s="90" t="s">
        <v>1702</v>
      </c>
      <c r="H299" s="90">
        <v>0.5</v>
      </c>
      <c r="I299" s="90"/>
      <c r="J299" s="90">
        <v>584</v>
      </c>
      <c r="K299" s="90">
        <f t="shared" si="23"/>
        <v>292</v>
      </c>
      <c r="L299" s="90">
        <v>12</v>
      </c>
      <c r="M299" s="90"/>
      <c r="N299" s="92">
        <f>(K299*Table1[[#This Row],[Ühik2]])+M299</f>
        <v>3504</v>
      </c>
      <c r="O299" s="92">
        <f>Table1[[#This Row],[2020. EA ]]*0.338</f>
        <v>1184.3520000000001</v>
      </c>
      <c r="P299" s="90"/>
    </row>
    <row r="300" spans="1:16" x14ac:dyDescent="0.25">
      <c r="A300" s="90" t="str">
        <f t="shared" si="26"/>
        <v>09</v>
      </c>
      <c r="B300" s="91" t="s">
        <v>327</v>
      </c>
      <c r="C300" s="90" t="str">
        <f>VLOOKUP(B300,Table4[],2,FALSE)</f>
        <v xml:space="preserve"> Tudu kool</v>
      </c>
      <c r="D300" s="94" t="str">
        <f>VLOOKUP(Table1[[#This Row],[Tegevusala]],Table4[[Tegevusala kood]:[Tegevusala alanimetus]],4,FALSE)</f>
        <v>Põhihariduse otsekulud</v>
      </c>
      <c r="E300" s="90" t="str">
        <f>VLOOKUP(C300,Table4[[Tegevusala nimetus]:[Tegevusala koondnimetus]],2,FALSE)</f>
        <v>Haridus</v>
      </c>
      <c r="F300" s="90" t="s">
        <v>1704</v>
      </c>
      <c r="G300" s="90" t="s">
        <v>1288</v>
      </c>
      <c r="H300" s="90">
        <v>0.25</v>
      </c>
      <c r="I300" s="90"/>
      <c r="J300" s="90">
        <v>584</v>
      </c>
      <c r="K300" s="90">
        <f t="shared" si="23"/>
        <v>146</v>
      </c>
      <c r="L300" s="90">
        <v>12</v>
      </c>
      <c r="M300" s="90"/>
      <c r="N300" s="92">
        <f>(K300*Table1[[#This Row],[Ühik2]])+M300</f>
        <v>1752</v>
      </c>
      <c r="O300" s="92">
        <f>Table1[[#This Row],[2020. EA ]]*0.338</f>
        <v>592.17600000000004</v>
      </c>
      <c r="P300" s="90"/>
    </row>
    <row r="301" spans="1:16" x14ac:dyDescent="0.25">
      <c r="A301" s="14" t="str">
        <f t="shared" si="26"/>
        <v>09</v>
      </c>
      <c r="B301" t="s">
        <v>327</v>
      </c>
      <c r="C301" s="14" t="str">
        <f>VLOOKUP(B301,Table4[],2,FALSE)</f>
        <v xml:space="preserve"> Tudu kool</v>
      </c>
      <c r="D301" s="39" t="str">
        <f>VLOOKUP(Table1[[#This Row],[Tegevusala]],Table4[[Tegevusala kood]:[Tegevusala alanimetus]],4,FALSE)</f>
        <v>Põhihariduse otsekulud</v>
      </c>
      <c r="E301" s="14" t="str">
        <f>VLOOKUP(C301,Table4[[Tegevusala nimetus]:[Tegevusala koondnimetus]],2,FALSE)</f>
        <v>Haridus</v>
      </c>
      <c r="F301" s="14" t="s">
        <v>1704</v>
      </c>
      <c r="G301" s="14" t="s">
        <v>1703</v>
      </c>
      <c r="H301" s="14">
        <v>1</v>
      </c>
      <c r="I301" s="14"/>
      <c r="J301" s="14">
        <v>703</v>
      </c>
      <c r="K301" s="14">
        <f t="shared" si="23"/>
        <v>703</v>
      </c>
      <c r="L301" s="14">
        <v>12</v>
      </c>
      <c r="M301" s="14"/>
      <c r="N301" s="44">
        <f>(K301*Table1[[#This Row],[Ühik2]])+M301</f>
        <v>8436</v>
      </c>
      <c r="O301" s="44">
        <f>Table1[[#This Row],[2020. EA ]]*0.338</f>
        <v>2851.3680000000004</v>
      </c>
      <c r="P301" s="14"/>
    </row>
    <row r="302" spans="1:16" x14ac:dyDescent="0.25">
      <c r="A302" s="38" t="str">
        <f>LEFT(B302,2)</f>
        <v>09</v>
      </c>
      <c r="B302" s="33" t="s">
        <v>327</v>
      </c>
      <c r="C302" s="38" t="str">
        <f>VLOOKUP(B302,Table4[],2,FALSE)</f>
        <v xml:space="preserve"> Tudu kool</v>
      </c>
      <c r="D302" s="39" t="str">
        <f>VLOOKUP(Table1[[#This Row],[Tegevusala]],Table4[[Tegevusala kood]:[Tegevusala alanimetus]],4,FALSE)</f>
        <v>Põhihariduse otsekulud</v>
      </c>
      <c r="E302" s="38" t="str">
        <f>VLOOKUP(C302,Table4[[Tegevusala nimetus]:[Tegevusala koondnimetus]],2,FALSE)</f>
        <v>Haridus</v>
      </c>
      <c r="F302" s="38" t="s">
        <v>1704</v>
      </c>
      <c r="G302" s="38" t="s">
        <v>1498</v>
      </c>
      <c r="H302" s="38"/>
      <c r="I302" s="38"/>
      <c r="J302" s="38"/>
      <c r="K302" s="38">
        <f t="shared" si="23"/>
        <v>0</v>
      </c>
      <c r="L302" s="38">
        <v>1</v>
      </c>
      <c r="M302" s="38">
        <v>300</v>
      </c>
      <c r="N302" s="45">
        <f>(K302*Table1[[#This Row],[Ühik2]])+M302</f>
        <v>300</v>
      </c>
      <c r="O302" s="45">
        <f>Table1[[#This Row],[2020. EA ]]*0.338</f>
        <v>101.4</v>
      </c>
      <c r="P302" s="38"/>
    </row>
    <row r="303" spans="1:16" hidden="1" x14ac:dyDescent="0.25">
      <c r="A303" s="14" t="str">
        <f t="shared" ref="A303:A313" si="27">LEFT(B303,2)</f>
        <v>08</v>
      </c>
      <c r="B303" t="s">
        <v>303</v>
      </c>
      <c r="C303" s="14" t="str">
        <f>VLOOKUP(B303,Table4[],2,FALSE)</f>
        <v xml:space="preserve"> Roela Rahvamaja</v>
      </c>
      <c r="D303" s="39" t="str">
        <f>VLOOKUP(Table1[[#This Row],[Tegevusala]],Table4[[Tegevusala kood]:[Tegevusala alanimetus]],4,FALSE)</f>
        <v>Rahvakultuur</v>
      </c>
      <c r="E303" s="14" t="str">
        <f>VLOOKUP(C303,Table4[[Tegevusala nimetus]:[Tegevusala koondnimetus]],2,FALSE)</f>
        <v>Vabaaeg, kultuur ja religioon</v>
      </c>
      <c r="F303" s="14" t="s">
        <v>1766</v>
      </c>
      <c r="G303" s="14" t="s">
        <v>505</v>
      </c>
      <c r="H303" s="14">
        <v>1</v>
      </c>
      <c r="I303" s="14"/>
      <c r="J303" s="14">
        <v>966</v>
      </c>
      <c r="K303" s="14">
        <f t="shared" si="23"/>
        <v>966</v>
      </c>
      <c r="L303" s="14">
        <v>12</v>
      </c>
      <c r="M303" s="14"/>
      <c r="N303" s="44">
        <f>(K303*Table1[[#This Row],[Ühik2]])+M303</f>
        <v>11592</v>
      </c>
      <c r="O303" s="44">
        <f>Table1[[#This Row],[2020. EA ]]*0.338</f>
        <v>3918.0960000000005</v>
      </c>
      <c r="P303" s="14"/>
    </row>
    <row r="304" spans="1:16" hidden="1" x14ac:dyDescent="0.25">
      <c r="A304" s="90" t="str">
        <f t="shared" si="27"/>
        <v>08</v>
      </c>
      <c r="B304" s="91" t="s">
        <v>303</v>
      </c>
      <c r="C304" s="90" t="str">
        <f>VLOOKUP(B304,Table4[],2,FALSE)</f>
        <v xml:space="preserve"> Roela Rahvamaja</v>
      </c>
      <c r="D304" s="94" t="str">
        <f>VLOOKUP(Table1[[#This Row],[Tegevusala]],Table4[[Tegevusala kood]:[Tegevusala alanimetus]],4,FALSE)</f>
        <v>Rahvakultuur</v>
      </c>
      <c r="E304" s="90" t="str">
        <f>VLOOKUP(C304,Table4[[Tegevusala nimetus]:[Tegevusala koondnimetus]],2,FALSE)</f>
        <v>Vabaaeg, kultuur ja religioon</v>
      </c>
      <c r="F304" s="90" t="s">
        <v>1766</v>
      </c>
      <c r="G304" s="90" t="s">
        <v>1756</v>
      </c>
      <c r="H304" s="90">
        <v>1</v>
      </c>
      <c r="I304" s="90"/>
      <c r="J304" s="90">
        <v>584</v>
      </c>
      <c r="K304" s="90">
        <f t="shared" si="23"/>
        <v>584</v>
      </c>
      <c r="L304" s="90">
        <v>12</v>
      </c>
      <c r="M304" s="90"/>
      <c r="N304" s="92">
        <f>(K304*Table1[[#This Row],[Ühik2]])+M304</f>
        <v>7008</v>
      </c>
      <c r="O304" s="92">
        <f>Table1[[#This Row],[2020. EA ]]*0.338</f>
        <v>2368.7040000000002</v>
      </c>
      <c r="P304" s="90"/>
    </row>
    <row r="305" spans="1:16" hidden="1" x14ac:dyDescent="0.25">
      <c r="A305" s="14" t="str">
        <f t="shared" si="27"/>
        <v>08</v>
      </c>
      <c r="B305" t="s">
        <v>303</v>
      </c>
      <c r="C305" s="14" t="str">
        <f>VLOOKUP(B305,Table4[],2,FALSE)</f>
        <v xml:space="preserve"> Roela Rahvamaja</v>
      </c>
      <c r="D305" s="39" t="str">
        <f>VLOOKUP(Table1[[#This Row],[Tegevusala]],Table4[[Tegevusala kood]:[Tegevusala alanimetus]],4,FALSE)</f>
        <v>Rahvakultuur</v>
      </c>
      <c r="E305" s="14" t="str">
        <f>VLOOKUP(C305,Table4[[Tegevusala nimetus]:[Tegevusala koondnimetus]],2,FALSE)</f>
        <v>Vabaaeg, kultuur ja religioon</v>
      </c>
      <c r="F305" s="14" t="s">
        <v>1766</v>
      </c>
      <c r="G305" s="14" t="s">
        <v>1757</v>
      </c>
      <c r="H305" s="14">
        <v>1</v>
      </c>
      <c r="I305" s="14"/>
      <c r="J305" s="14"/>
      <c r="K305" s="14">
        <f t="shared" si="23"/>
        <v>0</v>
      </c>
      <c r="L305" s="14"/>
      <c r="M305" s="14">
        <v>795</v>
      </c>
      <c r="N305" s="44">
        <f>(K305*Table1[[#This Row],[Ühik2]])+M305</f>
        <v>795</v>
      </c>
      <c r="O305" s="44">
        <f>Table1[[#This Row],[2020. EA ]]*0.338</f>
        <v>268.71000000000004</v>
      </c>
      <c r="P305" s="14"/>
    </row>
    <row r="306" spans="1:16" hidden="1" x14ac:dyDescent="0.25">
      <c r="A306" s="14" t="str">
        <f t="shared" si="27"/>
        <v>08</v>
      </c>
      <c r="B306" t="s">
        <v>303</v>
      </c>
      <c r="C306" s="14" t="str">
        <f>VLOOKUP(B306,Table4[],2,FALSE)</f>
        <v xml:space="preserve"> Roela Rahvamaja</v>
      </c>
      <c r="D306" s="39" t="str">
        <f>VLOOKUP(Table1[[#This Row],[Tegevusala]],Table4[[Tegevusala kood]:[Tegevusala alanimetus]],4,FALSE)</f>
        <v>Rahvakultuur</v>
      </c>
      <c r="E306" s="14" t="str">
        <f>VLOOKUP(C306,Table4[[Tegevusala nimetus]:[Tegevusala koondnimetus]],2,FALSE)</f>
        <v>Vabaaeg, kultuur ja religioon</v>
      </c>
      <c r="F306" s="14" t="s">
        <v>1766</v>
      </c>
      <c r="G306" s="14" t="s">
        <v>1758</v>
      </c>
      <c r="H306" s="14">
        <v>1</v>
      </c>
      <c r="I306" s="14"/>
      <c r="J306" s="14"/>
      <c r="K306" s="14">
        <f t="shared" si="23"/>
        <v>0</v>
      </c>
      <c r="L306" s="14"/>
      <c r="M306" s="14">
        <v>530</v>
      </c>
      <c r="N306" s="44">
        <f>(K306*Table1[[#This Row],[Ühik2]])+M306</f>
        <v>530</v>
      </c>
      <c r="O306" s="44">
        <f>Table1[[#This Row],[2020. EA ]]*0.338</f>
        <v>179.14000000000001</v>
      </c>
      <c r="P306" s="14"/>
    </row>
    <row r="307" spans="1:16" hidden="1" x14ac:dyDescent="0.25">
      <c r="A307" s="14" t="str">
        <f t="shared" si="27"/>
        <v>08</v>
      </c>
      <c r="B307" t="s">
        <v>303</v>
      </c>
      <c r="C307" s="14" t="str">
        <f>VLOOKUP(B307,Table4[],2,FALSE)</f>
        <v xml:space="preserve"> Roela Rahvamaja</v>
      </c>
      <c r="D307" s="39" t="str">
        <f>VLOOKUP(Table1[[#This Row],[Tegevusala]],Table4[[Tegevusala kood]:[Tegevusala alanimetus]],4,FALSE)</f>
        <v>Rahvakultuur</v>
      </c>
      <c r="E307" s="14" t="str">
        <f>VLOOKUP(C307,Table4[[Tegevusala nimetus]:[Tegevusala koondnimetus]],2,FALSE)</f>
        <v>Vabaaeg, kultuur ja religioon</v>
      </c>
      <c r="F307" s="14" t="s">
        <v>1766</v>
      </c>
      <c r="G307" s="14" t="s">
        <v>1759</v>
      </c>
      <c r="H307" s="14">
        <v>1</v>
      </c>
      <c r="I307" s="14"/>
      <c r="J307" s="14"/>
      <c r="K307" s="14">
        <f t="shared" si="23"/>
        <v>0</v>
      </c>
      <c r="L307" s="14"/>
      <c r="M307" s="14">
        <v>795</v>
      </c>
      <c r="N307" s="44">
        <f>(K307*Table1[[#This Row],[Ühik2]])+M307</f>
        <v>795</v>
      </c>
      <c r="O307" s="44">
        <f>Table1[[#This Row],[2020. EA ]]*0.338</f>
        <v>268.71000000000004</v>
      </c>
      <c r="P307" s="14"/>
    </row>
    <row r="308" spans="1:16" hidden="1" x14ac:dyDescent="0.25">
      <c r="A308" s="14" t="str">
        <f t="shared" si="27"/>
        <v>08</v>
      </c>
      <c r="B308" t="s">
        <v>303</v>
      </c>
      <c r="C308" s="14" t="str">
        <f>VLOOKUP(B308,Table4[],2,FALSE)</f>
        <v xml:space="preserve"> Roela Rahvamaja</v>
      </c>
      <c r="D308" s="39" t="str">
        <f>VLOOKUP(Table1[[#This Row],[Tegevusala]],Table4[[Tegevusala kood]:[Tegevusala alanimetus]],4,FALSE)</f>
        <v>Rahvakultuur</v>
      </c>
      <c r="E308" s="14" t="str">
        <f>VLOOKUP(C308,Table4[[Tegevusala nimetus]:[Tegevusala koondnimetus]],2,FALSE)</f>
        <v>Vabaaeg, kultuur ja religioon</v>
      </c>
      <c r="F308" s="14" t="s">
        <v>1766</v>
      </c>
      <c r="G308" s="14" t="s">
        <v>1760</v>
      </c>
      <c r="H308" s="14">
        <v>1</v>
      </c>
      <c r="I308" s="14"/>
      <c r="J308" s="14"/>
      <c r="K308" s="14">
        <f t="shared" si="23"/>
        <v>0</v>
      </c>
      <c r="L308" s="14"/>
      <c r="M308" s="14">
        <v>530</v>
      </c>
      <c r="N308" s="44">
        <f>(K308*Table1[[#This Row],[Ühik2]])+M308</f>
        <v>530</v>
      </c>
      <c r="O308" s="44">
        <f>Table1[[#This Row],[2020. EA ]]*0.338</f>
        <v>179.14000000000001</v>
      </c>
      <c r="P308" s="14"/>
    </row>
    <row r="309" spans="1:16" hidden="1" x14ac:dyDescent="0.25">
      <c r="A309" s="14" t="str">
        <f t="shared" si="27"/>
        <v>08</v>
      </c>
      <c r="B309" t="s">
        <v>303</v>
      </c>
      <c r="C309" s="14" t="str">
        <f>VLOOKUP(B309,Table4[],2,FALSE)</f>
        <v xml:space="preserve"> Roela Rahvamaja</v>
      </c>
      <c r="D309" s="39" t="str">
        <f>VLOOKUP(Table1[[#This Row],[Tegevusala]],Table4[[Tegevusala kood]:[Tegevusala alanimetus]],4,FALSE)</f>
        <v>Rahvakultuur</v>
      </c>
      <c r="E309" s="14" t="str">
        <f>VLOOKUP(C309,Table4[[Tegevusala nimetus]:[Tegevusala koondnimetus]],2,FALSE)</f>
        <v>Vabaaeg, kultuur ja religioon</v>
      </c>
      <c r="F309" s="14" t="s">
        <v>1766</v>
      </c>
      <c r="G309" s="14" t="s">
        <v>1761</v>
      </c>
      <c r="H309" s="14">
        <v>1</v>
      </c>
      <c r="I309" s="14"/>
      <c r="J309" s="14"/>
      <c r="K309" s="14">
        <f t="shared" si="23"/>
        <v>0</v>
      </c>
      <c r="L309" s="14"/>
      <c r="M309" s="14">
        <v>530</v>
      </c>
      <c r="N309" s="44">
        <f>(K309*Table1[[#This Row],[Ühik2]])+M309</f>
        <v>530</v>
      </c>
      <c r="O309" s="44">
        <f>Table1[[#This Row],[2020. EA ]]*0.338</f>
        <v>179.14000000000001</v>
      </c>
      <c r="P309" s="14"/>
    </row>
    <row r="310" spans="1:16" hidden="1" x14ac:dyDescent="0.25">
      <c r="A310" s="14" t="str">
        <f t="shared" si="27"/>
        <v>08</v>
      </c>
      <c r="B310" t="s">
        <v>303</v>
      </c>
      <c r="C310" s="14" t="str">
        <f>VLOOKUP(B310,Table4[],2,FALSE)</f>
        <v xml:space="preserve"> Roela Rahvamaja</v>
      </c>
      <c r="D310" s="39" t="str">
        <f>VLOOKUP(Table1[[#This Row],[Tegevusala]],Table4[[Tegevusala kood]:[Tegevusala alanimetus]],4,FALSE)</f>
        <v>Rahvakultuur</v>
      </c>
      <c r="E310" s="14" t="str">
        <f>VLOOKUP(C310,Table4[[Tegevusala nimetus]:[Tegevusala koondnimetus]],2,FALSE)</f>
        <v>Vabaaeg, kultuur ja religioon</v>
      </c>
      <c r="F310" s="14" t="s">
        <v>1766</v>
      </c>
      <c r="G310" s="14" t="s">
        <v>1762</v>
      </c>
      <c r="H310" s="14">
        <v>1</v>
      </c>
      <c r="I310" s="14"/>
      <c r="J310" s="14"/>
      <c r="K310" s="14">
        <f t="shared" si="23"/>
        <v>0</v>
      </c>
      <c r="L310" s="14"/>
      <c r="M310" s="14">
        <v>530</v>
      </c>
      <c r="N310" s="44">
        <f>(K310*Table1[[#This Row],[Ühik2]])+M310</f>
        <v>530</v>
      </c>
      <c r="O310" s="44">
        <f>Table1[[#This Row],[2020. EA ]]*0.338</f>
        <v>179.14000000000001</v>
      </c>
      <c r="P310" s="14"/>
    </row>
    <row r="311" spans="1:16" hidden="1" x14ac:dyDescent="0.25">
      <c r="A311" s="14" t="str">
        <f t="shared" si="27"/>
        <v>08</v>
      </c>
      <c r="B311" t="s">
        <v>303</v>
      </c>
      <c r="C311" s="14" t="str">
        <f>VLOOKUP(B311,Table4[],2,FALSE)</f>
        <v xml:space="preserve"> Roela Rahvamaja</v>
      </c>
      <c r="D311" s="39" t="str">
        <f>VLOOKUP(Table1[[#This Row],[Tegevusala]],Table4[[Tegevusala kood]:[Tegevusala alanimetus]],4,FALSE)</f>
        <v>Rahvakultuur</v>
      </c>
      <c r="E311" s="14" t="str">
        <f>VLOOKUP(C311,Table4[[Tegevusala nimetus]:[Tegevusala koondnimetus]],2,FALSE)</f>
        <v>Vabaaeg, kultuur ja religioon</v>
      </c>
      <c r="F311" s="14" t="s">
        <v>1766</v>
      </c>
      <c r="G311" s="14" t="s">
        <v>1763</v>
      </c>
      <c r="H311" s="14">
        <v>1</v>
      </c>
      <c r="I311" s="14"/>
      <c r="J311" s="14"/>
      <c r="K311" s="14">
        <f t="shared" si="23"/>
        <v>0</v>
      </c>
      <c r="L311" s="14"/>
      <c r="M311" s="14">
        <v>530</v>
      </c>
      <c r="N311" s="44">
        <f>(K311*Table1[[#This Row],[Ühik2]])+M311</f>
        <v>530</v>
      </c>
      <c r="O311" s="44">
        <f>Table1[[#This Row],[2020. EA ]]*0.338</f>
        <v>179.14000000000001</v>
      </c>
      <c r="P311" s="14"/>
    </row>
    <row r="312" spans="1:16" hidden="1" x14ac:dyDescent="0.25">
      <c r="A312" s="14" t="str">
        <f t="shared" si="27"/>
        <v>08</v>
      </c>
      <c r="B312" t="s">
        <v>303</v>
      </c>
      <c r="C312" s="14" t="str">
        <f>VLOOKUP(B312,Table4[],2,FALSE)</f>
        <v xml:space="preserve"> Roela Rahvamaja</v>
      </c>
      <c r="D312" s="39" t="str">
        <f>VLOOKUP(Table1[[#This Row],[Tegevusala]],Table4[[Tegevusala kood]:[Tegevusala alanimetus]],4,FALSE)</f>
        <v>Rahvakultuur</v>
      </c>
      <c r="E312" s="14" t="str">
        <f>VLOOKUP(C312,Table4[[Tegevusala nimetus]:[Tegevusala koondnimetus]],2,FALSE)</f>
        <v>Vabaaeg, kultuur ja religioon</v>
      </c>
      <c r="F312" s="14" t="s">
        <v>1766</v>
      </c>
      <c r="G312" s="14" t="s">
        <v>1764</v>
      </c>
      <c r="H312" s="14">
        <v>1</v>
      </c>
      <c r="I312" s="14"/>
      <c r="J312" s="14"/>
      <c r="K312" s="14">
        <f t="shared" si="23"/>
        <v>0</v>
      </c>
      <c r="L312" s="14"/>
      <c r="M312" s="14">
        <v>795</v>
      </c>
      <c r="N312" s="44">
        <f>(K312*Table1[[#This Row],[Ühik2]])+M312</f>
        <v>795</v>
      </c>
      <c r="O312" s="44">
        <f>Table1[[#This Row],[2020. EA ]]*0.338</f>
        <v>268.71000000000004</v>
      </c>
      <c r="P312" s="14"/>
    </row>
    <row r="313" spans="1:16" hidden="1" x14ac:dyDescent="0.25">
      <c r="A313" s="37" t="str">
        <f t="shared" si="27"/>
        <v>08</v>
      </c>
      <c r="B313" s="8" t="s">
        <v>303</v>
      </c>
      <c r="C313" s="37" t="str">
        <f>VLOOKUP(B313,Table4[],2,FALSE)</f>
        <v xml:space="preserve"> Roela Rahvamaja</v>
      </c>
      <c r="D313" s="48" t="str">
        <f>VLOOKUP(Table1[[#This Row],[Tegevusala]],Table4[[Tegevusala kood]:[Tegevusala alanimetus]],4,FALSE)</f>
        <v>Rahvakultuur</v>
      </c>
      <c r="E313" s="37" t="str">
        <f>VLOOKUP(C313,Table4[[Tegevusala nimetus]:[Tegevusala koondnimetus]],2,FALSE)</f>
        <v>Vabaaeg, kultuur ja religioon</v>
      </c>
      <c r="F313" s="37" t="s">
        <v>1766</v>
      </c>
      <c r="G313" s="37" t="s">
        <v>1765</v>
      </c>
      <c r="H313" s="37">
        <v>1</v>
      </c>
      <c r="I313" s="37"/>
      <c r="J313" s="37"/>
      <c r="K313" s="37">
        <f t="shared" si="23"/>
        <v>0</v>
      </c>
      <c r="L313" s="37"/>
      <c r="M313" s="37"/>
      <c r="N313" s="46">
        <f>(K313*Table1[[#This Row],[Ühik2]])+M313</f>
        <v>0</v>
      </c>
      <c r="O313" s="46">
        <f>Table1[[#This Row],[2020. EA ]]*0.338</f>
        <v>0</v>
      </c>
      <c r="P313" s="37" t="s">
        <v>1803</v>
      </c>
    </row>
    <row r="314" spans="1:16" hidden="1" x14ac:dyDescent="0.25">
      <c r="A314" s="38" t="str">
        <f t="shared" ref="A314:A321" si="28">LEFT(B314,2)</f>
        <v>03</v>
      </c>
      <c r="B314" s="42" t="s">
        <v>27</v>
      </c>
      <c r="C314" s="38" t="str">
        <f>VLOOKUP(B314,Table4[],2,FALSE)</f>
        <v xml:space="preserve"> Päästeteenused</v>
      </c>
      <c r="D314" s="39" t="str">
        <f>VLOOKUP(Table1[[#This Row],[Tegevusala]],Table4[[Tegevusala kood]:[Tegevusala alanimetus]],4,FALSE)</f>
        <v>Päästeteenused</v>
      </c>
      <c r="E314" s="38" t="str">
        <f>VLOOKUP(C314,Table4[[Tegevusala nimetus]:[Tegevusala koondnimetus]],2,FALSE)</f>
        <v>Avalik kord ja julgeolek</v>
      </c>
      <c r="F314" s="14" t="s">
        <v>752</v>
      </c>
      <c r="G314" s="38" t="s">
        <v>2117</v>
      </c>
      <c r="H314" s="38">
        <v>7</v>
      </c>
      <c r="I314" s="38" t="s">
        <v>2005</v>
      </c>
      <c r="J314" s="38">
        <v>30.963000000000001</v>
      </c>
      <c r="K314" s="38">
        <f t="shared" si="23"/>
        <v>216.74100000000001</v>
      </c>
      <c r="L314" s="38">
        <v>4</v>
      </c>
      <c r="M314" s="38"/>
      <c r="N314" s="45">
        <f>(K314*Table1[[#This Row],[Ühik2]])+M314</f>
        <v>866.96400000000006</v>
      </c>
      <c r="O314" s="45">
        <f>Table1[[#This Row],[2020. EA ]]*0.338</f>
        <v>293.03383200000002</v>
      </c>
      <c r="P314" s="38"/>
    </row>
    <row r="315" spans="1:16" hidden="1" x14ac:dyDescent="0.25">
      <c r="A315" s="14" t="str">
        <f t="shared" si="28"/>
        <v>04</v>
      </c>
      <c r="B315" s="50" t="s">
        <v>32</v>
      </c>
      <c r="C315" s="14" t="str">
        <f>VLOOKUP(B315,Table4[],2,FALSE)</f>
        <v xml:space="preserve"> Side</v>
      </c>
      <c r="D315" s="39" t="str">
        <f>VLOOKUP(Table1[[#This Row],[Tegevusala]],Table4[[Tegevusala kood]:[Tegevusala alanimetus]],4,FALSE)</f>
        <v>Side</v>
      </c>
      <c r="E315" s="14" t="str">
        <f>VLOOKUP(C315,Table4[[Tegevusala nimetus]:[Tegevusala koondnimetus]],2,FALSE)</f>
        <v>Majandus</v>
      </c>
      <c r="F315" s="14" t="s">
        <v>799</v>
      </c>
      <c r="G315" s="14" t="s">
        <v>783</v>
      </c>
      <c r="H315" s="14">
        <v>1</v>
      </c>
      <c r="I315" s="14"/>
      <c r="J315" s="14">
        <v>1560</v>
      </c>
      <c r="K315" s="14">
        <f t="shared" si="23"/>
        <v>1560</v>
      </c>
      <c r="L315" s="14">
        <v>12</v>
      </c>
      <c r="M315" s="14"/>
      <c r="N315" s="44">
        <f>(K315*Table1[[#This Row],[Ühik2]])+M315</f>
        <v>18720</v>
      </c>
      <c r="O315" s="44">
        <f>Table1[[#This Row],[2020. EA ]]*0.338</f>
        <v>6327.3600000000006</v>
      </c>
      <c r="P315" s="14"/>
    </row>
    <row r="316" spans="1:16" hidden="1" x14ac:dyDescent="0.25">
      <c r="A316" s="14" t="str">
        <f t="shared" si="28"/>
        <v>04</v>
      </c>
      <c r="B316" t="s">
        <v>34</v>
      </c>
      <c r="C316" s="14" t="str">
        <f>VLOOKUP(B316,Table4[],2,FALSE)</f>
        <v xml:space="preserve"> Muu majandus (sh majanduse haldus)</v>
      </c>
      <c r="D316" s="39" t="str">
        <f>VLOOKUP(Table1[[#This Row],[Tegevusala]],Table4[[Tegevusala kood]:[Tegevusala alanimetus]],4,FALSE)</f>
        <v>Muu majandus (sh majanduse haldus)</v>
      </c>
      <c r="E316" s="14" t="str">
        <f>VLOOKUP(C316,Table4[[Tegevusala nimetus]:[Tegevusala koondnimetus]],2,FALSE)</f>
        <v>Majandus</v>
      </c>
      <c r="F316" s="38" t="s">
        <v>799</v>
      </c>
      <c r="G316" s="14" t="s">
        <v>1804</v>
      </c>
      <c r="H316" s="14">
        <v>1</v>
      </c>
      <c r="I316" s="14"/>
      <c r="J316" s="14">
        <v>1675</v>
      </c>
      <c r="K316" s="14">
        <f t="shared" ref="K316:K367" si="29">H316*J316</f>
        <v>1675</v>
      </c>
      <c r="L316" s="14">
        <v>12</v>
      </c>
      <c r="M316" s="14"/>
      <c r="N316" s="44">
        <f>(K316*Table1[[#This Row],[Ühik2]])+M316</f>
        <v>20100</v>
      </c>
      <c r="O316" s="44">
        <f>Table1[[#This Row],[2020. EA ]]*0.338</f>
        <v>6793.8</v>
      </c>
      <c r="P316" s="14"/>
    </row>
    <row r="317" spans="1:16" hidden="1" x14ac:dyDescent="0.25">
      <c r="A317" s="14" t="str">
        <f t="shared" si="28"/>
        <v>01</v>
      </c>
      <c r="B317" t="s">
        <v>15</v>
      </c>
      <c r="C317" s="14" t="str">
        <f>VLOOKUP(B317,Table4[],2,FALSE)</f>
        <v xml:space="preserve"> Valla- ja linnavalitsus</v>
      </c>
      <c r="D317" s="39" t="str">
        <f>VLOOKUP(Table1[[#This Row],[Tegevusala]],Table4[[Tegevusala kood]:[Tegevusala alanimetus]],4,FALSE)</f>
        <v>Valla- ja linnavalitsus</v>
      </c>
      <c r="E317" s="14" t="str">
        <f>VLOOKUP(C317,Table4[[Tegevusala nimetus]:[Tegevusala koondnimetus]],2,FALSE)</f>
        <v>Üldised valitsussektori teenused</v>
      </c>
      <c r="F317" s="14" t="s">
        <v>799</v>
      </c>
      <c r="G317" s="14" t="s">
        <v>1805</v>
      </c>
      <c r="H317" s="14">
        <v>3</v>
      </c>
      <c r="I317" s="14" t="s">
        <v>2005</v>
      </c>
      <c r="J317" s="14">
        <v>45</v>
      </c>
      <c r="K317" s="14">
        <f t="shared" si="29"/>
        <v>135</v>
      </c>
      <c r="L317" s="14">
        <v>56</v>
      </c>
      <c r="M317" s="14"/>
      <c r="N317" s="44">
        <f>(K317*Table1[[#This Row],[Ühik2]])+M317</f>
        <v>7560</v>
      </c>
      <c r="O317" s="44">
        <f>Table1[[#This Row],[2020. EA ]]*0.338</f>
        <v>2555.2800000000002</v>
      </c>
      <c r="P317" s="14"/>
    </row>
    <row r="318" spans="1:16" hidden="1" x14ac:dyDescent="0.25">
      <c r="A318" s="14" t="str">
        <f t="shared" si="28"/>
        <v>08</v>
      </c>
      <c r="B318" t="s">
        <v>47</v>
      </c>
      <c r="C318" s="14" t="str">
        <f>VLOOKUP(B318,Table4[],2,FALSE)</f>
        <v xml:space="preserve"> Muu vaba aeg, kultuur, religioon, sh haldus</v>
      </c>
      <c r="D318" s="39" t="str">
        <f>VLOOKUP(Table1[[#This Row],[Tegevusala]],Table4[[Tegevusala kood]:[Tegevusala alanimetus]],4,FALSE)</f>
        <v>Muu vaba aeg, kultuur, religioon, sh haldus</v>
      </c>
      <c r="E318" s="14" t="str">
        <f>VLOOKUP(C318,Table4[[Tegevusala nimetus]:[Tegevusala koondnimetus]],2,FALSE)</f>
        <v>Vabaaeg, kultuur ja religioon</v>
      </c>
      <c r="F318" s="14" t="s">
        <v>799</v>
      </c>
      <c r="G318" s="14" t="s">
        <v>1815</v>
      </c>
      <c r="H318" s="14">
        <v>1</v>
      </c>
      <c r="I318" s="14"/>
      <c r="J318" s="14">
        <v>1560</v>
      </c>
      <c r="K318" s="14">
        <f t="shared" si="29"/>
        <v>1560</v>
      </c>
      <c r="L318" s="14">
        <v>12</v>
      </c>
      <c r="M318" s="14"/>
      <c r="N318" s="44">
        <f>(K318*Table1[[#This Row],[Ühik2]])+M318</f>
        <v>18720</v>
      </c>
      <c r="O318" s="44">
        <f>Table1[[#This Row],[2020. EA ]]*0.338</f>
        <v>6327.3600000000006</v>
      </c>
      <c r="P318" s="14"/>
    </row>
    <row r="319" spans="1:16" hidden="1" x14ac:dyDescent="0.25">
      <c r="A319" s="90" t="str">
        <f t="shared" si="28"/>
        <v>08</v>
      </c>
      <c r="B319" s="96" t="s">
        <v>299</v>
      </c>
      <c r="C319" s="90" t="str">
        <f>VLOOKUP(B319,Table4[],2,FALSE)</f>
        <v xml:space="preserve"> Kadila Seltsimaja</v>
      </c>
      <c r="D319" s="94" t="str">
        <f>VLOOKUP(Table1[[#This Row],[Tegevusala]],Table4[[Tegevusala kood]:[Tegevusala alanimetus]],4,FALSE)</f>
        <v>Rahvakultuur</v>
      </c>
      <c r="E319" s="90" t="str">
        <f>VLOOKUP(C319,Table4[[Tegevusala nimetus]:[Tegevusala koondnimetus]],2,FALSE)</f>
        <v>Vabaaeg, kultuur ja religioon</v>
      </c>
      <c r="F319" s="90" t="s">
        <v>1816</v>
      </c>
      <c r="G319" s="90" t="s">
        <v>1756</v>
      </c>
      <c r="H319" s="90">
        <v>1</v>
      </c>
      <c r="I319" s="90"/>
      <c r="J319" s="90">
        <v>584</v>
      </c>
      <c r="K319" s="90">
        <f t="shared" si="29"/>
        <v>584</v>
      </c>
      <c r="L319" s="90">
        <v>12</v>
      </c>
      <c r="M319" s="90"/>
      <c r="N319" s="92">
        <f>(K319*Table1[[#This Row],[Ühik2]])+M319</f>
        <v>7008</v>
      </c>
      <c r="O319" s="92">
        <f>Table1[[#This Row],[2020. EA ]]*0.338</f>
        <v>2368.7040000000002</v>
      </c>
      <c r="P319" s="90"/>
    </row>
    <row r="320" spans="1:16" hidden="1" x14ac:dyDescent="0.25">
      <c r="A320" s="90" t="str">
        <f t="shared" si="28"/>
        <v>08</v>
      </c>
      <c r="B320" s="91" t="s">
        <v>305</v>
      </c>
      <c r="C320" s="90" t="str">
        <f>VLOOKUP(B320,Table4[],2,FALSE)</f>
        <v>Tudu Rahvamaja</v>
      </c>
      <c r="D320" s="94" t="str">
        <f>VLOOKUP(Table1[[#This Row],[Tegevusala]],Table4[[Tegevusala kood]:[Tegevusala alanimetus]],4,FALSE)</f>
        <v>Rahvakultuur</v>
      </c>
      <c r="E320" s="90" t="str">
        <f>VLOOKUP(C320,Table4[[Tegevusala nimetus]:[Tegevusala koondnimetus]],2,FALSE)</f>
        <v>Vabaaeg, kultuur ja religioon</v>
      </c>
      <c r="F320" s="90" t="s">
        <v>1820</v>
      </c>
      <c r="G320" s="90" t="s">
        <v>505</v>
      </c>
      <c r="H320" s="90">
        <v>1</v>
      </c>
      <c r="I320" s="90"/>
      <c r="J320" s="90">
        <v>160</v>
      </c>
      <c r="K320" s="90">
        <f t="shared" si="29"/>
        <v>160</v>
      </c>
      <c r="L320" s="90">
        <v>12</v>
      </c>
      <c r="M320" s="90"/>
      <c r="N320" s="92">
        <f>(K320*Table1[[#This Row],[Ühik2]])+M320</f>
        <v>1920</v>
      </c>
      <c r="O320" s="92">
        <f>Table1[[#This Row],[2020. EA ]]*0.338</f>
        <v>648.96</v>
      </c>
      <c r="P320" s="90"/>
    </row>
    <row r="321" spans="1:16" hidden="1" x14ac:dyDescent="0.25">
      <c r="A321" s="14" t="str">
        <f t="shared" si="28"/>
        <v>08</v>
      </c>
      <c r="B321" t="s">
        <v>305</v>
      </c>
      <c r="C321" s="14" t="str">
        <f>VLOOKUP(B321,Table4[],2,FALSE)</f>
        <v>Tudu Rahvamaja</v>
      </c>
      <c r="D321" s="39" t="str">
        <f>VLOOKUP(Table1[[#This Row],[Tegevusala]],Table4[[Tegevusala kood]:[Tegevusala alanimetus]],4,FALSE)</f>
        <v>Rahvakultuur</v>
      </c>
      <c r="E321" s="14" t="str">
        <f>VLOOKUP(C321,Table4[[Tegevusala nimetus]:[Tegevusala koondnimetus]],2,FALSE)</f>
        <v>Vabaaeg, kultuur ja religioon</v>
      </c>
      <c r="F321" s="14" t="s">
        <v>1820</v>
      </c>
      <c r="G321" s="14" t="s">
        <v>916</v>
      </c>
      <c r="H321" s="14">
        <v>1</v>
      </c>
      <c r="I321" s="14" t="s">
        <v>2005</v>
      </c>
      <c r="J321" s="14">
        <v>152</v>
      </c>
      <c r="K321" s="14">
        <f t="shared" si="29"/>
        <v>152</v>
      </c>
      <c r="L321" s="14">
        <v>12</v>
      </c>
      <c r="M321" s="14"/>
      <c r="N321" s="44">
        <f>(K321*Table1[[#This Row],[Ühik2]])+M321</f>
        <v>1824</v>
      </c>
      <c r="O321" s="44">
        <f>Table1[[#This Row],[2020. EA ]]*0.338</f>
        <v>616.51200000000006</v>
      </c>
      <c r="P321" s="14"/>
    </row>
    <row r="322" spans="1:16" hidden="1" x14ac:dyDescent="0.25">
      <c r="A322" s="14" t="str">
        <f t="shared" ref="A322:A327" si="30">LEFT(B322,2)</f>
        <v>08</v>
      </c>
      <c r="B322" s="49" t="s">
        <v>301</v>
      </c>
      <c r="C322" s="14" t="str">
        <f>VLOOKUP(B322,Table4[],2,FALSE)</f>
        <v xml:space="preserve"> Pajusti klubi</v>
      </c>
      <c r="D322" s="39" t="str">
        <f>VLOOKUP(Table1[[#This Row],[Tegevusala]],Table4[[Tegevusala kood]:[Tegevusala alanimetus]],4,FALSE)</f>
        <v>Rahvakultuur</v>
      </c>
      <c r="E322" s="14" t="str">
        <f>VLOOKUP(C322,Table4[[Tegevusala nimetus]:[Tegevusala koondnimetus]],2,FALSE)</f>
        <v>Vabaaeg, kultuur ja religioon</v>
      </c>
      <c r="F322" s="14" t="s">
        <v>1823</v>
      </c>
      <c r="G322" s="14" t="s">
        <v>505</v>
      </c>
      <c r="H322" s="14">
        <v>1</v>
      </c>
      <c r="I322" s="14"/>
      <c r="J322" s="14">
        <v>1150</v>
      </c>
      <c r="K322" s="14">
        <f t="shared" si="29"/>
        <v>1150</v>
      </c>
      <c r="L322" s="14">
        <v>12</v>
      </c>
      <c r="M322" s="14"/>
      <c r="N322" s="44">
        <f>(K322*Table1[[#This Row],[Ühik2]])+M322</f>
        <v>13800</v>
      </c>
      <c r="O322" s="44">
        <f>Table1[[#This Row],[2020. EA ]]*0.338</f>
        <v>4664.4000000000005</v>
      </c>
      <c r="P322" s="14"/>
    </row>
    <row r="323" spans="1:16" hidden="1" x14ac:dyDescent="0.25">
      <c r="A323" s="90" t="str">
        <f t="shared" si="30"/>
        <v>08</v>
      </c>
      <c r="B323" s="97" t="s">
        <v>301</v>
      </c>
      <c r="C323" s="90" t="str">
        <f>VLOOKUP(B323,Table4[],2,FALSE)</f>
        <v xml:space="preserve"> Pajusti klubi</v>
      </c>
      <c r="D323" s="94" t="str">
        <f>VLOOKUP(Table1[[#This Row],[Tegevusala]],Table4[[Tegevusala kood]:[Tegevusala alanimetus]],4,FALSE)</f>
        <v>Rahvakultuur</v>
      </c>
      <c r="E323" s="90" t="str">
        <f>VLOOKUP(C323,Table4[[Tegevusala nimetus]:[Tegevusala koondnimetus]],2,FALSE)</f>
        <v>Vabaaeg, kultuur ja religioon</v>
      </c>
      <c r="F323" s="90" t="s">
        <v>1823</v>
      </c>
      <c r="G323" s="90" t="s">
        <v>1025</v>
      </c>
      <c r="H323" s="90">
        <v>1</v>
      </c>
      <c r="I323" s="90"/>
      <c r="J323" s="90">
        <v>584</v>
      </c>
      <c r="K323" s="90">
        <f t="shared" si="29"/>
        <v>584</v>
      </c>
      <c r="L323" s="90">
        <v>12</v>
      </c>
      <c r="M323" s="90"/>
      <c r="N323" s="92">
        <f>(K323*Table1[[#This Row],[Ühik2]])+M323</f>
        <v>7008</v>
      </c>
      <c r="O323" s="92">
        <f>Table1[[#This Row],[2020. EA ]]*0.338</f>
        <v>2368.7040000000002</v>
      </c>
      <c r="P323" s="90"/>
    </row>
    <row r="324" spans="1:16" hidden="1" x14ac:dyDescent="0.25">
      <c r="A324" s="14" t="str">
        <f t="shared" si="30"/>
        <v>08</v>
      </c>
      <c r="B324" s="50" t="s">
        <v>301</v>
      </c>
      <c r="C324" s="14" t="str">
        <f>VLOOKUP(B324,Table4[],2,FALSE)</f>
        <v xml:space="preserve"> Pajusti klubi</v>
      </c>
      <c r="D324" s="39" t="str">
        <f>VLOOKUP(Table1[[#This Row],[Tegevusala]],Table4[[Tegevusala kood]:[Tegevusala alanimetus]],4,FALSE)</f>
        <v>Rahvakultuur</v>
      </c>
      <c r="E324" s="14" t="str">
        <f>VLOOKUP(C324,Table4[[Tegevusala nimetus]:[Tegevusala koondnimetus]],2,FALSE)</f>
        <v>Vabaaeg, kultuur ja religioon</v>
      </c>
      <c r="F324" s="14" t="s">
        <v>1823</v>
      </c>
      <c r="G324" s="14" t="s">
        <v>1822</v>
      </c>
      <c r="H324" s="14">
        <v>1</v>
      </c>
      <c r="I324" s="14"/>
      <c r="J324" s="14">
        <v>897.5</v>
      </c>
      <c r="K324" s="14">
        <f t="shared" si="29"/>
        <v>897.5</v>
      </c>
      <c r="L324" s="14">
        <v>12</v>
      </c>
      <c r="M324" s="14"/>
      <c r="N324" s="44">
        <f>(K324*Table1[[#This Row],[Ühik2]])+M324</f>
        <v>10770</v>
      </c>
      <c r="O324" s="44">
        <f>Table1[[#This Row],[2020. EA ]]*0.338</f>
        <v>3640.26</v>
      </c>
      <c r="P324" s="14"/>
    </row>
    <row r="325" spans="1:16" x14ac:dyDescent="0.25">
      <c r="A325" s="14" t="str">
        <f t="shared" si="30"/>
        <v>09</v>
      </c>
      <c r="B325" t="s">
        <v>337</v>
      </c>
      <c r="C325" s="14" t="str">
        <f>VLOOKUP(B325,Table4[],2,FALSE)</f>
        <v xml:space="preserve"> Roela Õpilaskodu</v>
      </c>
      <c r="D325" s="39" t="str">
        <f>VLOOKUP(Table1[[#This Row],[Tegevusala]],Table4[[Tegevusala kood]:[Tegevusala alanimetus]],4,FALSE)</f>
        <v>Öömaja</v>
      </c>
      <c r="E325" s="14" t="str">
        <f>VLOOKUP(C325,Table4[[Tegevusala nimetus]:[Tegevusala koondnimetus]],2,FALSE)</f>
        <v>Haridus</v>
      </c>
      <c r="F325" s="14" t="s">
        <v>1829</v>
      </c>
      <c r="G325" s="14" t="s">
        <v>2146</v>
      </c>
      <c r="H325" s="14">
        <v>1</v>
      </c>
      <c r="I325" s="14"/>
      <c r="J325" s="14">
        <v>820</v>
      </c>
      <c r="K325" s="14">
        <f t="shared" si="29"/>
        <v>820</v>
      </c>
      <c r="L325" s="14">
        <v>12</v>
      </c>
      <c r="M325" s="14"/>
      <c r="N325" s="44">
        <f>(K325*Table1[[#This Row],[Ühik2]])+M325</f>
        <v>9840</v>
      </c>
      <c r="O325" s="44">
        <f>Table1[[#This Row],[2020. EA ]]*0.338</f>
        <v>3325.92</v>
      </c>
      <c r="P325" s="14"/>
    </row>
    <row r="326" spans="1:16" x14ac:dyDescent="0.25">
      <c r="A326" s="14" t="str">
        <f t="shared" si="30"/>
        <v>09</v>
      </c>
      <c r="B326" t="s">
        <v>337</v>
      </c>
      <c r="C326" s="14" t="str">
        <f>VLOOKUP(B326,Table4[],2,FALSE)</f>
        <v xml:space="preserve"> Roela Õpilaskodu</v>
      </c>
      <c r="D326" s="39" t="str">
        <f>VLOOKUP(Table1[[#This Row],[Tegevusala]],Table4[[Tegevusala kood]:[Tegevusala alanimetus]],4,FALSE)</f>
        <v>Öömaja</v>
      </c>
      <c r="E326" s="14" t="str">
        <f>VLOOKUP(C326,Table4[[Tegevusala nimetus]:[Tegevusala koondnimetus]],2,FALSE)</f>
        <v>Haridus</v>
      </c>
      <c r="F326" s="14" t="s">
        <v>1829</v>
      </c>
      <c r="G326" s="14" t="s">
        <v>1828</v>
      </c>
      <c r="H326" s="14">
        <v>1</v>
      </c>
      <c r="I326" s="14"/>
      <c r="J326" s="14">
        <v>690</v>
      </c>
      <c r="K326" s="14">
        <f t="shared" si="29"/>
        <v>690</v>
      </c>
      <c r="L326" s="14">
        <v>12</v>
      </c>
      <c r="M326" s="14"/>
      <c r="N326" s="44">
        <f>(K326*Table1[[#This Row],[Ühik2]])+M326</f>
        <v>8280</v>
      </c>
      <c r="O326" s="44">
        <f>Table1[[#This Row],[2020. EA ]]*0.338</f>
        <v>2798.6400000000003</v>
      </c>
      <c r="P326" s="14"/>
    </row>
    <row r="327" spans="1:16" x14ac:dyDescent="0.25">
      <c r="A327" s="90" t="str">
        <f t="shared" si="30"/>
        <v>09</v>
      </c>
      <c r="B327" s="91" t="s">
        <v>337</v>
      </c>
      <c r="C327" s="90" t="str">
        <f>VLOOKUP(B327,Table4[],2,FALSE)</f>
        <v xml:space="preserve"> Roela Õpilaskodu</v>
      </c>
      <c r="D327" s="94" t="str">
        <f>VLOOKUP(Table1[[#This Row],[Tegevusala]],Table4[[Tegevusala kood]:[Tegevusala alanimetus]],4,FALSE)</f>
        <v>Öömaja</v>
      </c>
      <c r="E327" s="90" t="str">
        <f>VLOOKUP(C327,Table4[[Tegevusala nimetus]:[Tegevusala koondnimetus]],2,FALSE)</f>
        <v>Haridus</v>
      </c>
      <c r="F327" s="90" t="s">
        <v>1829</v>
      </c>
      <c r="G327" s="90" t="s">
        <v>1381</v>
      </c>
      <c r="H327" s="90">
        <v>1</v>
      </c>
      <c r="I327" s="90"/>
      <c r="J327" s="90">
        <v>390</v>
      </c>
      <c r="K327" s="90">
        <f t="shared" si="29"/>
        <v>390</v>
      </c>
      <c r="L327" s="90">
        <v>12</v>
      </c>
      <c r="M327" s="90"/>
      <c r="N327" s="92">
        <f>(K327*Table1[[#This Row],[Ühik2]])+M327</f>
        <v>4680</v>
      </c>
      <c r="O327" s="92">
        <f>Table1[[#This Row],[2020. EA ]]*0.338</f>
        <v>1581.8400000000001</v>
      </c>
      <c r="P327" s="90"/>
    </row>
    <row r="328" spans="1:16" s="33" customFormat="1" x14ac:dyDescent="0.25">
      <c r="A328" s="38" t="str">
        <f t="shared" ref="A328:A349" si="31">LEFT(B328,2)</f>
        <v>09</v>
      </c>
      <c r="B328" s="33" t="s">
        <v>319</v>
      </c>
      <c r="C328" s="38" t="str">
        <f>VLOOKUP(B328,Table4[],2,FALSE)</f>
        <v xml:space="preserve"> Laekvere Lasteaed</v>
      </c>
      <c r="D328" s="39" t="str">
        <f>VLOOKUP(Table1[[#This Row],[Tegevusala]],Table4[[Tegevusala kood]:[Tegevusala alanimetus]],4,FALSE)</f>
        <v>Alusharidus</v>
      </c>
      <c r="E328" s="38" t="str">
        <f>VLOOKUP(C328,Table4[[Tegevusala nimetus]:[Tegevusala koondnimetus]],2,FALSE)</f>
        <v>Haridus</v>
      </c>
      <c r="F328" s="38" t="s">
        <v>1848</v>
      </c>
      <c r="G328" s="38" t="s">
        <v>1861</v>
      </c>
      <c r="H328" s="38">
        <v>0</v>
      </c>
      <c r="I328" s="38"/>
      <c r="J328" s="38">
        <v>1315</v>
      </c>
      <c r="K328" s="38">
        <f t="shared" si="29"/>
        <v>0</v>
      </c>
      <c r="L328" s="38">
        <v>12</v>
      </c>
      <c r="M328" s="38"/>
      <c r="N328" s="45">
        <f>(K328*Table1[[#This Row],[Ühik2]])+M328</f>
        <v>0</v>
      </c>
      <c r="O328" s="45">
        <f>Table1[[#This Row],[2020. EA ]]*0.338</f>
        <v>0</v>
      </c>
      <c r="P328" s="38"/>
    </row>
    <row r="329" spans="1:16" x14ac:dyDescent="0.25">
      <c r="A329" s="38" t="str">
        <f t="shared" si="31"/>
        <v>09</v>
      </c>
      <c r="B329" s="33" t="s">
        <v>319</v>
      </c>
      <c r="C329" s="38" t="str">
        <f>VLOOKUP(B329,Table4[],2,FALSE)</f>
        <v xml:space="preserve"> Laekvere Lasteaed</v>
      </c>
      <c r="D329" s="39" t="str">
        <f>VLOOKUP(Table1[[#This Row],[Tegevusala]],Table4[[Tegevusala kood]:[Tegevusala alanimetus]],4,FALSE)</f>
        <v>Alusharidus</v>
      </c>
      <c r="E329" s="38" t="str">
        <f>VLOOKUP(C329,Table4[[Tegevusala nimetus]:[Tegevusala koondnimetus]],2,FALSE)</f>
        <v>Haridus</v>
      </c>
      <c r="F329" s="38" t="s">
        <v>1848</v>
      </c>
      <c r="G329" s="38" t="s">
        <v>1862</v>
      </c>
      <c r="H329" s="38">
        <v>0</v>
      </c>
      <c r="I329" s="38"/>
      <c r="J329" s="38">
        <v>1315</v>
      </c>
      <c r="K329" s="38">
        <f t="shared" si="29"/>
        <v>0</v>
      </c>
      <c r="L329" s="38">
        <v>12</v>
      </c>
      <c r="M329" s="38"/>
      <c r="N329" s="45">
        <f>(K329*Table1[[#This Row],[Ühik2]])+M329</f>
        <v>0</v>
      </c>
      <c r="O329" s="45">
        <f>Table1[[#This Row],[2020. EA ]]*0.338</f>
        <v>0</v>
      </c>
      <c r="P329" s="38"/>
    </row>
    <row r="330" spans="1:16" x14ac:dyDescent="0.25">
      <c r="A330" s="38" t="str">
        <f t="shared" si="31"/>
        <v>09</v>
      </c>
      <c r="B330" s="33" t="s">
        <v>319</v>
      </c>
      <c r="C330" s="38" t="str">
        <f>VLOOKUP(B330,Table4[],2,FALSE)</f>
        <v xml:space="preserve"> Laekvere Lasteaed</v>
      </c>
      <c r="D330" s="39" t="str">
        <f>VLOOKUP(Table1[[#This Row],[Tegevusala]],Table4[[Tegevusala kood]:[Tegevusala alanimetus]],4,FALSE)</f>
        <v>Alusharidus</v>
      </c>
      <c r="E330" s="38" t="str">
        <f>VLOOKUP(C330,Table4[[Tegevusala nimetus]:[Tegevusala koondnimetus]],2,FALSE)</f>
        <v>Haridus</v>
      </c>
      <c r="F330" s="38" t="s">
        <v>1848</v>
      </c>
      <c r="G330" s="38" t="s">
        <v>1863</v>
      </c>
      <c r="H330" s="38">
        <v>0</v>
      </c>
      <c r="I330" s="38"/>
      <c r="J330" s="38">
        <v>1315</v>
      </c>
      <c r="K330" s="38">
        <f t="shared" si="29"/>
        <v>0</v>
      </c>
      <c r="L330" s="38">
        <v>12</v>
      </c>
      <c r="M330" s="38"/>
      <c r="N330" s="45">
        <f>(K330*Table1[[#This Row],[Ühik2]])+M330</f>
        <v>0</v>
      </c>
      <c r="O330" s="45">
        <f>Table1[[#This Row],[2020. EA ]]*0.338</f>
        <v>0</v>
      </c>
      <c r="P330" s="38"/>
    </row>
    <row r="331" spans="1:16" x14ac:dyDescent="0.25">
      <c r="A331" s="38" t="str">
        <f t="shared" si="31"/>
        <v>09</v>
      </c>
      <c r="B331" s="33" t="s">
        <v>319</v>
      </c>
      <c r="C331" s="38" t="str">
        <f>VLOOKUP(B331,Table4[],2,FALSE)</f>
        <v xml:space="preserve"> Laekvere Lasteaed</v>
      </c>
      <c r="D331" s="39" t="str">
        <f>VLOOKUP(Table1[[#This Row],[Tegevusala]],Table4[[Tegevusala kood]:[Tegevusala alanimetus]],4,FALSE)</f>
        <v>Alusharidus</v>
      </c>
      <c r="E331" s="38" t="str">
        <f>VLOOKUP(C331,Table4[[Tegevusala nimetus]:[Tegevusala koondnimetus]],2,FALSE)</f>
        <v>Haridus</v>
      </c>
      <c r="F331" s="38" t="s">
        <v>1848</v>
      </c>
      <c r="G331" s="38" t="s">
        <v>509</v>
      </c>
      <c r="H331" s="38">
        <v>0</v>
      </c>
      <c r="I331" s="38"/>
      <c r="J331" s="38">
        <v>1414</v>
      </c>
      <c r="K331" s="38">
        <f t="shared" si="29"/>
        <v>0</v>
      </c>
      <c r="L331" s="38">
        <v>12</v>
      </c>
      <c r="M331" s="38"/>
      <c r="N331" s="45">
        <f>(K331*Table1[[#This Row],[Ühik2]])+M331</f>
        <v>0</v>
      </c>
      <c r="O331" s="45">
        <f>Table1[[#This Row],[2020. EA ]]*0.338</f>
        <v>0</v>
      </c>
      <c r="P331" s="38"/>
    </row>
    <row r="332" spans="1:16" x14ac:dyDescent="0.25">
      <c r="A332" s="38" t="str">
        <f t="shared" si="31"/>
        <v>09</v>
      </c>
      <c r="B332" s="33" t="s">
        <v>319</v>
      </c>
      <c r="C332" s="38" t="str">
        <f>VLOOKUP(B332,Table4[],2,FALSE)</f>
        <v xml:space="preserve"> Laekvere Lasteaed</v>
      </c>
      <c r="D332" s="39" t="str">
        <f>VLOOKUP(Table1[[#This Row],[Tegevusala]],Table4[[Tegevusala kood]:[Tegevusala alanimetus]],4,FALSE)</f>
        <v>Alusharidus</v>
      </c>
      <c r="E332" s="38" t="str">
        <f>VLOOKUP(C332,Table4[[Tegevusala nimetus]:[Tegevusala koondnimetus]],2,FALSE)</f>
        <v>Haridus</v>
      </c>
      <c r="F332" s="38" t="s">
        <v>1848</v>
      </c>
      <c r="G332" s="38" t="s">
        <v>1864</v>
      </c>
      <c r="H332" s="38">
        <v>0.25</v>
      </c>
      <c r="I332" s="38"/>
      <c r="J332" s="38">
        <v>1315</v>
      </c>
      <c r="K332" s="38">
        <f t="shared" si="29"/>
        <v>328.75</v>
      </c>
      <c r="L332" s="38">
        <v>12</v>
      </c>
      <c r="M332" s="38"/>
      <c r="N332" s="45">
        <f>(K332*Table1[[#This Row],[Ühik2]])+M332</f>
        <v>3945</v>
      </c>
      <c r="O332" s="45">
        <f>Table1[[#This Row],[2020. EA ]]*0.338</f>
        <v>1333.41</v>
      </c>
      <c r="P332" s="38"/>
    </row>
    <row r="333" spans="1:16" x14ac:dyDescent="0.25">
      <c r="A333" s="38" t="str">
        <f t="shared" si="31"/>
        <v>09</v>
      </c>
      <c r="B333" s="33" t="s">
        <v>319</v>
      </c>
      <c r="C333" s="38" t="str">
        <f>VLOOKUP(B333,Table4[],2,FALSE)</f>
        <v xml:space="preserve"> Laekvere Lasteaed</v>
      </c>
      <c r="D333" s="39" t="str">
        <f>VLOOKUP(Table1[[#This Row],[Tegevusala]],Table4[[Tegevusala kood]:[Tegevusala alanimetus]],4,FALSE)</f>
        <v>Alusharidus</v>
      </c>
      <c r="E333" s="38" t="str">
        <f>VLOOKUP(C333,Table4[[Tegevusala nimetus]:[Tegevusala koondnimetus]],2,FALSE)</f>
        <v>Haridus</v>
      </c>
      <c r="F333" s="38" t="s">
        <v>1848</v>
      </c>
      <c r="G333" s="38" t="s">
        <v>1290</v>
      </c>
      <c r="H333" s="38">
        <v>0.5</v>
      </c>
      <c r="I333" s="38"/>
      <c r="J333" s="38">
        <v>1315</v>
      </c>
      <c r="K333" s="38">
        <f t="shared" si="29"/>
        <v>657.5</v>
      </c>
      <c r="L333" s="38">
        <v>12</v>
      </c>
      <c r="M333" s="38"/>
      <c r="N333" s="45">
        <f>(K333*Table1[[#This Row],[Ühik2]])+M333</f>
        <v>7890</v>
      </c>
      <c r="O333" s="45">
        <f>Table1[[#This Row],[2020. EA ]]*0.338</f>
        <v>2666.82</v>
      </c>
      <c r="P333" s="38"/>
    </row>
    <row r="334" spans="1:16" x14ac:dyDescent="0.25">
      <c r="A334" s="38" t="str">
        <f t="shared" si="31"/>
        <v>09</v>
      </c>
      <c r="B334" s="33" t="s">
        <v>319</v>
      </c>
      <c r="C334" s="38" t="str">
        <f>VLOOKUP(B334,Table4[],2,FALSE)</f>
        <v xml:space="preserve"> Laekvere Lasteaed</v>
      </c>
      <c r="D334" s="39" t="str">
        <f>VLOOKUP(Table1[[#This Row],[Tegevusala]],Table4[[Tegevusala kood]:[Tegevusala alanimetus]],4,FALSE)</f>
        <v>Alusharidus</v>
      </c>
      <c r="E334" s="38" t="str">
        <f>VLOOKUP(C334,Table4[[Tegevusala nimetus]:[Tegevusala koondnimetus]],2,FALSE)</f>
        <v>Haridus</v>
      </c>
      <c r="F334" s="38" t="s">
        <v>1848</v>
      </c>
      <c r="G334" s="38" t="s">
        <v>1349</v>
      </c>
      <c r="H334" s="38">
        <v>3.25</v>
      </c>
      <c r="I334" s="38"/>
      <c r="J334" s="38">
        <v>1183.5</v>
      </c>
      <c r="K334" s="38">
        <f t="shared" si="29"/>
        <v>3846.375</v>
      </c>
      <c r="L334" s="38">
        <v>12</v>
      </c>
      <c r="M334" s="38"/>
      <c r="N334" s="45">
        <f>(K334*Table1[[#This Row],[Ühik2]])+M334</f>
        <v>46156.5</v>
      </c>
      <c r="O334" s="45">
        <f>Table1[[#This Row],[2020. EA ]]*0.338</f>
        <v>15600.897000000001</v>
      </c>
      <c r="P334" s="38"/>
    </row>
    <row r="335" spans="1:16" x14ac:dyDescent="0.25">
      <c r="A335" s="38" t="str">
        <f t="shared" si="31"/>
        <v>09</v>
      </c>
      <c r="B335" s="33" t="s">
        <v>319</v>
      </c>
      <c r="C335" s="38" t="str">
        <f>VLOOKUP(B335,Table4[],2,FALSE)</f>
        <v xml:space="preserve"> Laekvere Lasteaed</v>
      </c>
      <c r="D335" s="39" t="str">
        <f>VLOOKUP(Table1[[#This Row],[Tegevusala]],Table4[[Tegevusala kood]:[Tegevusala alanimetus]],4,FALSE)</f>
        <v>Alusharidus</v>
      </c>
      <c r="E335" s="38" t="str">
        <f>VLOOKUP(C335,Table4[[Tegevusala nimetus]:[Tegevusala koondnimetus]],2,FALSE)</f>
        <v>Haridus</v>
      </c>
      <c r="F335" s="38" t="s">
        <v>1848</v>
      </c>
      <c r="G335" s="38" t="s">
        <v>1349</v>
      </c>
      <c r="H335" s="38">
        <v>0.25</v>
      </c>
      <c r="I335" s="38"/>
      <c r="J335" s="38">
        <v>1315</v>
      </c>
      <c r="K335" s="38">
        <f t="shared" si="29"/>
        <v>328.75</v>
      </c>
      <c r="L335" s="38">
        <v>12</v>
      </c>
      <c r="M335" s="38"/>
      <c r="N335" s="45">
        <f>(K335*Table1[[#This Row],[Ühik2]])+M335</f>
        <v>3945</v>
      </c>
      <c r="O335" s="45">
        <f>Table1[[#This Row],[2020. EA ]]*0.338</f>
        <v>1333.41</v>
      </c>
      <c r="P335" s="38"/>
    </row>
    <row r="336" spans="1:16" x14ac:dyDescent="0.25">
      <c r="A336" s="38" t="str">
        <f t="shared" si="31"/>
        <v>09</v>
      </c>
      <c r="B336" s="33" t="s">
        <v>319</v>
      </c>
      <c r="C336" s="38" t="str">
        <f>VLOOKUP(B336,Table4[],2,FALSE)</f>
        <v xml:space="preserve"> Laekvere Lasteaed</v>
      </c>
      <c r="D336" s="39" t="str">
        <f>VLOOKUP(Table1[[#This Row],[Tegevusala]],Table4[[Tegevusala kood]:[Tegevusala alanimetus]],4,FALSE)</f>
        <v>Alusharidus</v>
      </c>
      <c r="E336" s="38" t="str">
        <f>VLOOKUP(C336,Table4[[Tegevusala nimetus]:[Tegevusala koondnimetus]],2,FALSE)</f>
        <v>Haridus</v>
      </c>
      <c r="F336" s="38" t="s">
        <v>1848</v>
      </c>
      <c r="G336" s="38" t="s">
        <v>1249</v>
      </c>
      <c r="H336" s="38">
        <v>2</v>
      </c>
      <c r="I336" s="38"/>
      <c r="J336" s="38">
        <v>702</v>
      </c>
      <c r="K336" s="38">
        <f t="shared" si="29"/>
        <v>1404</v>
      </c>
      <c r="L336" s="38">
        <v>12</v>
      </c>
      <c r="M336" s="38"/>
      <c r="N336" s="45">
        <f>(K336*Table1[[#This Row],[Ühik2]])+M336</f>
        <v>16848</v>
      </c>
      <c r="O336" s="45">
        <f>Table1[[#This Row],[2020. EA ]]*0.338</f>
        <v>5694.6240000000007</v>
      </c>
      <c r="P336" s="38"/>
    </row>
    <row r="337" spans="1:16" x14ac:dyDescent="0.25">
      <c r="A337" s="38" t="str">
        <f t="shared" si="31"/>
        <v>09</v>
      </c>
      <c r="B337" s="33" t="s">
        <v>319</v>
      </c>
      <c r="C337" s="38" t="str">
        <f>VLOOKUP(B337,Table4[],2,FALSE)</f>
        <v xml:space="preserve"> Laekvere Lasteaed</v>
      </c>
      <c r="D337" s="39" t="str">
        <f>VLOOKUP(Table1[[#This Row],[Tegevusala]],Table4[[Tegevusala kood]:[Tegevusala alanimetus]],4,FALSE)</f>
        <v>Alusharidus</v>
      </c>
      <c r="E337" s="38" t="str">
        <f>VLOOKUP(C337,Table4[[Tegevusala nimetus]:[Tegevusala koondnimetus]],2,FALSE)</f>
        <v>Haridus</v>
      </c>
      <c r="F337" s="38" t="s">
        <v>1848</v>
      </c>
      <c r="G337" s="38" t="s">
        <v>1865</v>
      </c>
      <c r="H337" s="38">
        <v>2</v>
      </c>
      <c r="I337" s="38"/>
      <c r="J337" s="38">
        <v>702</v>
      </c>
      <c r="K337" s="38">
        <f t="shared" si="29"/>
        <v>1404</v>
      </c>
      <c r="L337" s="38">
        <v>12</v>
      </c>
      <c r="M337" s="38"/>
      <c r="N337" s="45">
        <f>(K337*Table1[[#This Row],[Ühik2]])+M337</f>
        <v>16848</v>
      </c>
      <c r="O337" s="45">
        <f>Table1[[#This Row],[2020. EA ]]*0.338</f>
        <v>5694.6240000000007</v>
      </c>
      <c r="P337" s="38"/>
    </row>
    <row r="338" spans="1:16" x14ac:dyDescent="0.25">
      <c r="A338" s="38" t="str">
        <f t="shared" si="31"/>
        <v>09</v>
      </c>
      <c r="B338" s="33" t="s">
        <v>319</v>
      </c>
      <c r="C338" s="38" t="str">
        <f>VLOOKUP(B338,Table4[],2,FALSE)</f>
        <v xml:space="preserve"> Laekvere Lasteaed</v>
      </c>
      <c r="D338" s="39" t="str">
        <f>VLOOKUP(Table1[[#This Row],[Tegevusala]],Table4[[Tegevusala kood]:[Tegevusala alanimetus]],4,FALSE)</f>
        <v>Alusharidus</v>
      </c>
      <c r="E338" s="38" t="str">
        <f>VLOOKUP(C338,Table4[[Tegevusala nimetus]:[Tegevusala koondnimetus]],2,FALSE)</f>
        <v>Haridus</v>
      </c>
      <c r="F338" s="38" t="s">
        <v>1848</v>
      </c>
      <c r="G338" s="38" t="s">
        <v>1866</v>
      </c>
      <c r="H338" s="38">
        <v>1</v>
      </c>
      <c r="I338" s="38"/>
      <c r="J338" s="38">
        <v>1183.5</v>
      </c>
      <c r="K338" s="38">
        <f t="shared" si="29"/>
        <v>1183.5</v>
      </c>
      <c r="L338" s="38">
        <v>12</v>
      </c>
      <c r="M338" s="38"/>
      <c r="N338" s="45">
        <f>(K338*Table1[[#This Row],[Ühik2]])+M338</f>
        <v>14202</v>
      </c>
      <c r="O338" s="45">
        <f>Table1[[#This Row],[2020. EA ]]*0.338</f>
        <v>4800.2760000000007</v>
      </c>
      <c r="P338" s="38"/>
    </row>
    <row r="339" spans="1:16" x14ac:dyDescent="0.25">
      <c r="A339" s="38" t="str">
        <f t="shared" si="31"/>
        <v>09</v>
      </c>
      <c r="B339" s="33" t="s">
        <v>319</v>
      </c>
      <c r="C339" s="38" t="str">
        <f>VLOOKUP(B339,Table4[],2,FALSE)</f>
        <v xml:space="preserve"> Laekvere Lasteaed</v>
      </c>
      <c r="D339" s="39" t="str">
        <f>VLOOKUP(Table1[[#This Row],[Tegevusala]],Table4[[Tegevusala kood]:[Tegevusala alanimetus]],4,FALSE)</f>
        <v>Alusharidus</v>
      </c>
      <c r="E339" s="38" t="str">
        <f>VLOOKUP(C339,Table4[[Tegevusala nimetus]:[Tegevusala koondnimetus]],2,FALSE)</f>
        <v>Haridus</v>
      </c>
      <c r="F339" s="38" t="s">
        <v>1848</v>
      </c>
      <c r="G339" s="38" t="s">
        <v>1867</v>
      </c>
      <c r="H339" s="38">
        <v>0</v>
      </c>
      <c r="I339" s="38"/>
      <c r="J339" s="38">
        <v>756</v>
      </c>
      <c r="K339" s="38">
        <f t="shared" si="29"/>
        <v>0</v>
      </c>
      <c r="L339" s="38">
        <v>12</v>
      </c>
      <c r="M339" s="38"/>
      <c r="N339" s="45">
        <f>(K339*Table1[[#This Row],[Ühik2]])+M339</f>
        <v>0</v>
      </c>
      <c r="O339" s="45">
        <f>Table1[[#This Row],[2020. EA ]]*0.338</f>
        <v>0</v>
      </c>
      <c r="P339" s="38"/>
    </row>
    <row r="340" spans="1:16" x14ac:dyDescent="0.25">
      <c r="A340" s="90" t="str">
        <f t="shared" si="31"/>
        <v>09</v>
      </c>
      <c r="B340" s="91" t="s">
        <v>319</v>
      </c>
      <c r="C340" s="90" t="str">
        <f>VLOOKUP(B340,Table4[],2,FALSE)</f>
        <v xml:space="preserve"> Laekvere Lasteaed</v>
      </c>
      <c r="D340" s="94" t="str">
        <f>VLOOKUP(Table1[[#This Row],[Tegevusala]],Table4[[Tegevusala kood]:[Tegevusala alanimetus]],4,FALSE)</f>
        <v>Alusharidus</v>
      </c>
      <c r="E340" s="90" t="str">
        <f>VLOOKUP(C340,Table4[[Tegevusala nimetus]:[Tegevusala koondnimetus]],2,FALSE)</f>
        <v>Haridus</v>
      </c>
      <c r="F340" s="90" t="s">
        <v>1848</v>
      </c>
      <c r="G340" s="90" t="s">
        <v>1381</v>
      </c>
      <c r="H340" s="90">
        <v>0</v>
      </c>
      <c r="I340" s="90"/>
      <c r="J340" s="90">
        <v>584</v>
      </c>
      <c r="K340" s="90">
        <f t="shared" si="29"/>
        <v>0</v>
      </c>
      <c r="L340" s="90">
        <v>12</v>
      </c>
      <c r="M340" s="90"/>
      <c r="N340" s="92">
        <f>(K340*Table1[[#This Row],[Ühik2]])+M340</f>
        <v>0</v>
      </c>
      <c r="O340" s="92">
        <f>Table1[[#This Row],[2020. EA ]]*0.338</f>
        <v>0</v>
      </c>
      <c r="P340" s="90"/>
    </row>
    <row r="341" spans="1:16" x14ac:dyDescent="0.25">
      <c r="A341" s="90" t="str">
        <f t="shared" si="31"/>
        <v>09</v>
      </c>
      <c r="B341" s="91" t="s">
        <v>319</v>
      </c>
      <c r="C341" s="90" t="str">
        <f>VLOOKUP(B341,Table4[],2,FALSE)</f>
        <v xml:space="preserve"> Laekvere Lasteaed</v>
      </c>
      <c r="D341" s="94" t="str">
        <f>VLOOKUP(Table1[[#This Row],[Tegevusala]],Table4[[Tegevusala kood]:[Tegevusala alanimetus]],4,FALSE)</f>
        <v>Alusharidus</v>
      </c>
      <c r="E341" s="90" t="str">
        <f>VLOOKUP(C341,Table4[[Tegevusala nimetus]:[Tegevusala koondnimetus]],2,FALSE)</f>
        <v>Haridus</v>
      </c>
      <c r="F341" s="90" t="s">
        <v>1848</v>
      </c>
      <c r="G341" s="90" t="s">
        <v>461</v>
      </c>
      <c r="H341" s="90">
        <v>1</v>
      </c>
      <c r="I341" s="90"/>
      <c r="J341" s="90">
        <v>584</v>
      </c>
      <c r="K341" s="90">
        <f t="shared" si="29"/>
        <v>584</v>
      </c>
      <c r="L341" s="90">
        <v>12</v>
      </c>
      <c r="M341" s="90"/>
      <c r="N341" s="92">
        <f>(K341*Table1[[#This Row],[Ühik2]])+M341</f>
        <v>7008</v>
      </c>
      <c r="O341" s="92">
        <f>Table1[[#This Row],[2020. EA ]]*0.338</f>
        <v>2368.7040000000002</v>
      </c>
      <c r="P341" s="90"/>
    </row>
    <row r="342" spans="1:16" x14ac:dyDescent="0.25">
      <c r="A342" s="38" t="str">
        <f t="shared" si="31"/>
        <v>09</v>
      </c>
      <c r="B342" s="33" t="s">
        <v>319</v>
      </c>
      <c r="C342" s="38" t="str">
        <f>VLOOKUP(B342,Table4[],2,FALSE)</f>
        <v xml:space="preserve"> Laekvere Lasteaed</v>
      </c>
      <c r="D342" s="39" t="str">
        <f>VLOOKUP(Table1[[#This Row],[Tegevusala]],Table4[[Tegevusala kood]:[Tegevusala alanimetus]],4,FALSE)</f>
        <v>Alusharidus</v>
      </c>
      <c r="E342" s="38" t="str">
        <f>VLOOKUP(C342,Table4[[Tegevusala nimetus]:[Tegevusala koondnimetus]],2,FALSE)</f>
        <v>Haridus</v>
      </c>
      <c r="F342" s="38" t="s">
        <v>1848</v>
      </c>
      <c r="G342" s="38" t="s">
        <v>1351</v>
      </c>
      <c r="H342" s="38">
        <v>0</v>
      </c>
      <c r="I342" s="38"/>
      <c r="J342" s="38">
        <v>805</v>
      </c>
      <c r="K342" s="38">
        <f t="shared" si="29"/>
        <v>0</v>
      </c>
      <c r="L342" s="38">
        <v>12</v>
      </c>
      <c r="M342" s="38"/>
      <c r="N342" s="45">
        <f>(K342*Table1[[#This Row],[Ühik2]])+M342</f>
        <v>0</v>
      </c>
      <c r="O342" s="45">
        <f>Table1[[#This Row],[2020. EA ]]*0.338</f>
        <v>0</v>
      </c>
      <c r="P342" s="38"/>
    </row>
    <row r="343" spans="1:16" x14ac:dyDescent="0.25">
      <c r="A343" s="38" t="str">
        <f t="shared" si="31"/>
        <v>09</v>
      </c>
      <c r="B343" s="33" t="s">
        <v>319</v>
      </c>
      <c r="C343" s="38" t="str">
        <f>VLOOKUP(B343,Table4[],2,FALSE)</f>
        <v xml:space="preserve"> Laekvere Lasteaed</v>
      </c>
      <c r="D343" s="39" t="str">
        <f>VLOOKUP(Table1[[#This Row],[Tegevusala]],Table4[[Tegevusala kood]:[Tegevusala alanimetus]],4,FALSE)</f>
        <v>Alusharidus</v>
      </c>
      <c r="E343" s="38" t="str">
        <f>VLOOKUP(C343,Table4[[Tegevusala nimetus]:[Tegevusala koondnimetus]],2,FALSE)</f>
        <v>Haridus</v>
      </c>
      <c r="F343" s="38" t="s">
        <v>1848</v>
      </c>
      <c r="G343" s="38" t="s">
        <v>1868</v>
      </c>
      <c r="H343" s="38">
        <v>0</v>
      </c>
      <c r="I343" s="38"/>
      <c r="J343" s="38">
        <v>691</v>
      </c>
      <c r="K343" s="38">
        <f t="shared" si="29"/>
        <v>0</v>
      </c>
      <c r="L343" s="38">
        <v>12</v>
      </c>
      <c r="M343" s="38"/>
      <c r="N343" s="45">
        <f>(K343*Table1[[#This Row],[Ühik2]])+M343</f>
        <v>0</v>
      </c>
      <c r="O343" s="45">
        <f>Table1[[#This Row],[2020. EA ]]*0.338</f>
        <v>0</v>
      </c>
      <c r="P343" s="38"/>
    </row>
    <row r="344" spans="1:16" x14ac:dyDescent="0.25">
      <c r="A344" s="38" t="str">
        <f t="shared" si="31"/>
        <v>09</v>
      </c>
      <c r="B344" s="33" t="s">
        <v>319</v>
      </c>
      <c r="C344" s="38" t="str">
        <f>VLOOKUP(B344,Table4[],2,FALSE)</f>
        <v xml:space="preserve"> Laekvere Lasteaed</v>
      </c>
      <c r="D344" s="39" t="str">
        <f>VLOOKUP(Table1[[#This Row],[Tegevusala]],Table4[[Tegevusala kood]:[Tegevusala alanimetus]],4,FALSE)</f>
        <v>Alusharidus</v>
      </c>
      <c r="E344" s="38" t="str">
        <f>VLOOKUP(C344,Table4[[Tegevusala nimetus]:[Tegevusala koondnimetus]],2,FALSE)</f>
        <v>Haridus</v>
      </c>
      <c r="F344" s="38" t="s">
        <v>1848</v>
      </c>
      <c r="G344" s="38" t="s">
        <v>466</v>
      </c>
      <c r="H344" s="38">
        <v>0</v>
      </c>
      <c r="I344" s="38"/>
      <c r="J344" s="38">
        <v>724</v>
      </c>
      <c r="K344" s="38">
        <f t="shared" si="29"/>
        <v>0</v>
      </c>
      <c r="L344" s="38">
        <v>12</v>
      </c>
      <c r="M344" s="38"/>
      <c r="N344" s="45">
        <f>(K344*Table1[[#This Row],[Ühik2]])+M344</f>
        <v>0</v>
      </c>
      <c r="O344" s="45">
        <f>Table1[[#This Row],[2020. EA ]]*0.338</f>
        <v>0</v>
      </c>
      <c r="P344" s="38"/>
    </row>
    <row r="345" spans="1:16" x14ac:dyDescent="0.25">
      <c r="A345" s="38" t="str">
        <f t="shared" si="31"/>
        <v>09</v>
      </c>
      <c r="B345" s="33" t="s">
        <v>319</v>
      </c>
      <c r="C345" s="38" t="str">
        <f>VLOOKUP(B345,Table4[],2,FALSE)</f>
        <v xml:space="preserve"> Laekvere Lasteaed</v>
      </c>
      <c r="D345" s="39" t="str">
        <f>VLOOKUP(Table1[[#This Row],[Tegevusala]],Table4[[Tegevusala kood]:[Tegevusala alanimetus]],4,FALSE)</f>
        <v>Alusharidus</v>
      </c>
      <c r="E345" s="38" t="str">
        <f>VLOOKUP(C345,Table4[[Tegevusala nimetus]:[Tegevusala koondnimetus]],2,FALSE)</f>
        <v>Haridus</v>
      </c>
      <c r="F345" s="38" t="s">
        <v>1848</v>
      </c>
      <c r="G345" s="38" t="s">
        <v>466</v>
      </c>
      <c r="H345" s="38">
        <v>0</v>
      </c>
      <c r="I345" s="38"/>
      <c r="J345" s="38">
        <v>632</v>
      </c>
      <c r="K345" s="38">
        <f t="shared" si="29"/>
        <v>0</v>
      </c>
      <c r="L345" s="38">
        <v>12</v>
      </c>
      <c r="M345" s="38"/>
      <c r="N345" s="45">
        <f>(K345*Table1[[#This Row],[Ühik2]])+M345</f>
        <v>0</v>
      </c>
      <c r="O345" s="45">
        <f>Table1[[#This Row],[2020. EA ]]*0.338</f>
        <v>0</v>
      </c>
      <c r="P345" s="38"/>
    </row>
    <row r="346" spans="1:16" x14ac:dyDescent="0.25">
      <c r="A346" s="38" t="str">
        <f t="shared" si="31"/>
        <v>09</v>
      </c>
      <c r="B346" s="33" t="s">
        <v>319</v>
      </c>
      <c r="C346" s="38" t="str">
        <f>VLOOKUP(B346,Table4[],2,FALSE)</f>
        <v xml:space="preserve"> Laekvere Lasteaed</v>
      </c>
      <c r="D346" s="39" t="str">
        <f>VLOOKUP(Table1[[#This Row],[Tegevusala]],Table4[[Tegevusala kood]:[Tegevusala alanimetus]],4,FALSE)</f>
        <v>Alusharidus</v>
      </c>
      <c r="E346" s="38" t="str">
        <f>VLOOKUP(C346,Table4[[Tegevusala nimetus]:[Tegevusala koondnimetus]],2,FALSE)</f>
        <v>Haridus</v>
      </c>
      <c r="F346" s="38" t="s">
        <v>1848</v>
      </c>
      <c r="G346" s="38" t="s">
        <v>1869</v>
      </c>
      <c r="H346" s="38">
        <v>0</v>
      </c>
      <c r="I346" s="38"/>
      <c r="J346" s="38">
        <v>632</v>
      </c>
      <c r="K346" s="38">
        <f t="shared" si="29"/>
        <v>0</v>
      </c>
      <c r="L346" s="38">
        <v>12</v>
      </c>
      <c r="M346" s="38"/>
      <c r="N346" s="45">
        <f>(K346*Table1[[#This Row],[Ühik2]])+M346</f>
        <v>0</v>
      </c>
      <c r="O346" s="45">
        <f>Table1[[#This Row],[2020. EA ]]*0.338</f>
        <v>0</v>
      </c>
      <c r="P346" s="38"/>
    </row>
    <row r="347" spans="1:16" x14ac:dyDescent="0.25">
      <c r="A347" s="38" t="str">
        <f t="shared" si="31"/>
        <v>09</v>
      </c>
      <c r="B347" s="33" t="s">
        <v>319</v>
      </c>
      <c r="C347" s="38" t="str">
        <f>VLOOKUP(B347,Table4[],2,FALSE)</f>
        <v xml:space="preserve"> Laekvere Lasteaed</v>
      </c>
      <c r="D347" s="39" t="str">
        <f>VLOOKUP(Table1[[#This Row],[Tegevusala]],Table4[[Tegevusala kood]:[Tegevusala alanimetus]],4,FALSE)</f>
        <v>Alusharidus</v>
      </c>
      <c r="E347" s="38" t="str">
        <f>VLOOKUP(C347,Table4[[Tegevusala nimetus]:[Tegevusala koondnimetus]],2,FALSE)</f>
        <v>Haridus</v>
      </c>
      <c r="F347" s="38" t="s">
        <v>1848</v>
      </c>
      <c r="G347" s="38" t="s">
        <v>1377</v>
      </c>
      <c r="H347" s="38">
        <v>0</v>
      </c>
      <c r="I347" s="38"/>
      <c r="J347" s="38">
        <v>853</v>
      </c>
      <c r="K347" s="38">
        <f t="shared" si="29"/>
        <v>0</v>
      </c>
      <c r="L347" s="38">
        <v>12</v>
      </c>
      <c r="M347" s="38"/>
      <c r="N347" s="45">
        <f>(K347*Table1[[#This Row],[Ühik2]])+M347</f>
        <v>0</v>
      </c>
      <c r="O347" s="45">
        <f>Table1[[#This Row],[2020. EA ]]*0.338</f>
        <v>0</v>
      </c>
      <c r="P347" s="38"/>
    </row>
    <row r="348" spans="1:16" x14ac:dyDescent="0.25">
      <c r="A348" s="90" t="str">
        <f t="shared" si="31"/>
        <v>09</v>
      </c>
      <c r="B348" s="91" t="s">
        <v>319</v>
      </c>
      <c r="C348" s="90" t="str">
        <f>VLOOKUP(B348,Table4[],2,FALSE)</f>
        <v xml:space="preserve"> Laekvere Lasteaed</v>
      </c>
      <c r="D348" s="94" t="str">
        <f>VLOOKUP(Table1[[#This Row],[Tegevusala]],Table4[[Tegevusala kood]:[Tegevusala alanimetus]],4,FALSE)</f>
        <v>Alusharidus</v>
      </c>
      <c r="E348" s="90" t="str">
        <f>VLOOKUP(C348,Table4[[Tegevusala nimetus]:[Tegevusala koondnimetus]],2,FALSE)</f>
        <v>Haridus</v>
      </c>
      <c r="F348" s="90" t="s">
        <v>1848</v>
      </c>
      <c r="G348" s="90" t="s">
        <v>1382</v>
      </c>
      <c r="H348" s="90">
        <v>0</v>
      </c>
      <c r="I348" s="90"/>
      <c r="J348" s="90">
        <v>584</v>
      </c>
      <c r="K348" s="90">
        <f t="shared" si="29"/>
        <v>0</v>
      </c>
      <c r="L348" s="90">
        <v>12</v>
      </c>
      <c r="M348" s="90"/>
      <c r="N348" s="92">
        <f>(K348*Table1[[#This Row],[Ühik2]])+M348</f>
        <v>0</v>
      </c>
      <c r="O348" s="92">
        <f>Table1[[#This Row],[2020. EA ]]*0.338</f>
        <v>0</v>
      </c>
      <c r="P348" s="90"/>
    </row>
    <row r="349" spans="1:16" x14ac:dyDescent="0.25">
      <c r="A349" s="38" t="str">
        <f t="shared" si="31"/>
        <v>09</v>
      </c>
      <c r="B349" s="33" t="s">
        <v>319</v>
      </c>
      <c r="C349" s="38" t="str">
        <f>VLOOKUP(B349,Table4[],2,FALSE)</f>
        <v xml:space="preserve"> Laekvere Lasteaed</v>
      </c>
      <c r="D349" s="39" t="str">
        <f>VLOOKUP(Table1[[#This Row],[Tegevusala]],Table4[[Tegevusala kood]:[Tegevusala alanimetus]],4,FALSE)</f>
        <v>Alusharidus</v>
      </c>
      <c r="E349" s="38" t="str">
        <f>VLOOKUP(C349,Table4[[Tegevusala nimetus]:[Tegevusala koondnimetus]],2,FALSE)</f>
        <v>Haridus</v>
      </c>
      <c r="F349" s="38" t="s">
        <v>1848</v>
      </c>
      <c r="G349" s="38" t="s">
        <v>1870</v>
      </c>
      <c r="H349" s="38">
        <v>0</v>
      </c>
      <c r="I349" s="38"/>
      <c r="J349" s="38">
        <v>664</v>
      </c>
      <c r="K349" s="38">
        <f t="shared" si="29"/>
        <v>0</v>
      </c>
      <c r="L349" s="38">
        <v>12</v>
      </c>
      <c r="M349" s="38"/>
      <c r="N349" s="45">
        <f>(K349*Table1[[#This Row],[Ühik2]])+M349</f>
        <v>0</v>
      </c>
      <c r="O349" s="45">
        <f>Table1[[#This Row],[2020. EA ]]*0.338</f>
        <v>0</v>
      </c>
      <c r="P349" s="38"/>
    </row>
    <row r="350" spans="1:16" x14ac:dyDescent="0.25">
      <c r="A350" s="14" t="str">
        <f t="shared" ref="A350:A365" si="32">LEFT(B350,2)</f>
        <v>09</v>
      </c>
      <c r="B350" t="s">
        <v>2226</v>
      </c>
      <c r="C350" s="14" t="str">
        <f>VLOOKUP(B350,Table4[],2,FALSE)</f>
        <v>Muuga-Laekvere Kool</v>
      </c>
      <c r="D350" s="39" t="str">
        <f>VLOOKUP(Table1[[#This Row],[Tegevusala]],Table4[[Tegevusala kood]:[Tegevusala alanimetus]],4,FALSE)</f>
        <v>Põhihariduse otsekulud</v>
      </c>
      <c r="E350" s="14" t="str">
        <f>VLOOKUP(C350,Table4[[Tegevusala nimetus]:[Tegevusala koondnimetus]],2,FALSE)</f>
        <v>Haridus</v>
      </c>
      <c r="F350" s="14" t="s">
        <v>1848</v>
      </c>
      <c r="G350" s="14" t="s">
        <v>1864</v>
      </c>
      <c r="H350" s="14">
        <v>0.5</v>
      </c>
      <c r="I350" s="14"/>
      <c r="J350" s="14">
        <v>1250</v>
      </c>
      <c r="K350" s="14">
        <f t="shared" si="29"/>
        <v>625</v>
      </c>
      <c r="L350" s="14">
        <v>12</v>
      </c>
      <c r="M350" s="14"/>
      <c r="N350" s="44">
        <f>(K350*Table1[[#This Row],[Ühik2]])+M350</f>
        <v>7500</v>
      </c>
      <c r="O350" s="44">
        <f>Table1[[#This Row],[2020. EA ]]*0.338</f>
        <v>2535</v>
      </c>
      <c r="P350" s="14"/>
    </row>
    <row r="351" spans="1:16" x14ac:dyDescent="0.25">
      <c r="A351" s="14" t="str">
        <f t="shared" si="32"/>
        <v>09</v>
      </c>
      <c r="B351" t="s">
        <v>2226</v>
      </c>
      <c r="C351" s="14" t="str">
        <f>VLOOKUP(B351,Table4[],2,FALSE)</f>
        <v>Muuga-Laekvere Kool</v>
      </c>
      <c r="D351" s="39" t="str">
        <f>VLOOKUP(Table1[[#This Row],[Tegevusala]],Table4[[Tegevusala kood]:[Tegevusala alanimetus]],4,FALSE)</f>
        <v>Põhihariduse otsekulud</v>
      </c>
      <c r="E351" s="14" t="str">
        <f>VLOOKUP(C351,Table4[[Tegevusala nimetus]:[Tegevusala koondnimetus]],2,FALSE)</f>
        <v>Haridus</v>
      </c>
      <c r="F351" s="14" t="s">
        <v>1848</v>
      </c>
      <c r="G351" s="14" t="s">
        <v>1290</v>
      </c>
      <c r="H351" s="14">
        <v>0.25</v>
      </c>
      <c r="I351" s="14"/>
      <c r="J351" s="14">
        <v>1250</v>
      </c>
      <c r="K351" s="14">
        <f t="shared" si="29"/>
        <v>312.5</v>
      </c>
      <c r="L351" s="14">
        <v>12</v>
      </c>
      <c r="M351" s="14"/>
      <c r="N351" s="44">
        <f>(K351*Table1[[#This Row],[Ühik2]])+M351</f>
        <v>3750</v>
      </c>
      <c r="O351" s="44">
        <f>Table1[[#This Row],[2020. EA ]]*0.338</f>
        <v>1267.5</v>
      </c>
      <c r="P351" s="14"/>
    </row>
    <row r="352" spans="1:16" x14ac:dyDescent="0.25">
      <c r="A352" s="14" t="str">
        <f t="shared" si="32"/>
        <v>09</v>
      </c>
      <c r="B352" t="s">
        <v>2226</v>
      </c>
      <c r="C352" s="14" t="str">
        <f>VLOOKUP(B352,Table4[],2,FALSE)</f>
        <v>Muuga-Laekvere Kool</v>
      </c>
      <c r="D352" s="39" t="str">
        <f>VLOOKUP(Table1[[#This Row],[Tegevusala]],Table4[[Tegevusala kood]:[Tegevusala alanimetus]],4,FALSE)</f>
        <v>Põhihariduse otsekulud</v>
      </c>
      <c r="E352" s="14" t="str">
        <f>VLOOKUP(C352,Table4[[Tegevusala nimetus]:[Tegevusala koondnimetus]],2,FALSE)</f>
        <v>Haridus</v>
      </c>
      <c r="F352" s="14" t="s">
        <v>1848</v>
      </c>
      <c r="G352" s="14" t="s">
        <v>1249</v>
      </c>
      <c r="H352" s="14">
        <v>0</v>
      </c>
      <c r="I352" s="14"/>
      <c r="J352" s="14">
        <v>702</v>
      </c>
      <c r="K352" s="14">
        <f t="shared" si="29"/>
        <v>0</v>
      </c>
      <c r="L352" s="14">
        <v>12</v>
      </c>
      <c r="M352" s="14"/>
      <c r="N352" s="44">
        <f>(K352*Table1[[#This Row],[Ühik2]])+M352</f>
        <v>0</v>
      </c>
      <c r="O352" s="44">
        <f>Table1[[#This Row],[2020. EA ]]*0.338</f>
        <v>0</v>
      </c>
      <c r="P352" s="14"/>
    </row>
    <row r="353" spans="1:16" x14ac:dyDescent="0.25">
      <c r="A353" s="14" t="str">
        <f t="shared" si="32"/>
        <v>09</v>
      </c>
      <c r="B353" t="s">
        <v>2226</v>
      </c>
      <c r="C353" s="14" t="str">
        <f>VLOOKUP(B353,Table4[],2,FALSE)</f>
        <v>Muuga-Laekvere Kool</v>
      </c>
      <c r="D353" s="39" t="str">
        <f>VLOOKUP(Table1[[#This Row],[Tegevusala]],Table4[[Tegevusala kood]:[Tegevusala alanimetus]],4,FALSE)</f>
        <v>Põhihariduse otsekulud</v>
      </c>
      <c r="E353" s="14" t="str">
        <f>VLOOKUP(C353,Table4[[Tegevusala nimetus]:[Tegevusala koondnimetus]],2,FALSE)</f>
        <v>Haridus</v>
      </c>
      <c r="F353" s="14" t="s">
        <v>1848</v>
      </c>
      <c r="G353" s="14" t="s">
        <v>1865</v>
      </c>
      <c r="H353" s="14">
        <v>0</v>
      </c>
      <c r="I353" s="14"/>
      <c r="J353" s="14">
        <v>702</v>
      </c>
      <c r="K353" s="14">
        <f t="shared" si="29"/>
        <v>0</v>
      </c>
      <c r="L353" s="14">
        <v>12</v>
      </c>
      <c r="M353" s="14"/>
      <c r="N353" s="44">
        <f>(K353*Table1[[#This Row],[Ühik2]])+M353</f>
        <v>0</v>
      </c>
      <c r="O353" s="44">
        <f>Table1[[#This Row],[2020. EA ]]*0.338</f>
        <v>0</v>
      </c>
      <c r="P353" s="14"/>
    </row>
    <row r="354" spans="1:16" x14ac:dyDescent="0.25">
      <c r="A354" s="14" t="str">
        <f t="shared" si="32"/>
        <v>09</v>
      </c>
      <c r="B354" t="s">
        <v>2226</v>
      </c>
      <c r="C354" s="14" t="str">
        <f>VLOOKUP(B354,Table4[],2,FALSE)</f>
        <v>Muuga-Laekvere Kool</v>
      </c>
      <c r="D354" s="39" t="str">
        <f>VLOOKUP(Table1[[#This Row],[Tegevusala]],Table4[[Tegevusala kood]:[Tegevusala alanimetus]],4,FALSE)</f>
        <v>Põhihariduse otsekulud</v>
      </c>
      <c r="E354" s="14" t="str">
        <f>VLOOKUP(C354,Table4[[Tegevusala nimetus]:[Tegevusala koondnimetus]],2,FALSE)</f>
        <v>Haridus</v>
      </c>
      <c r="F354" s="14" t="s">
        <v>1848</v>
      </c>
      <c r="G354" s="14" t="s">
        <v>1866</v>
      </c>
      <c r="H354" s="14">
        <v>0</v>
      </c>
      <c r="I354" s="14"/>
      <c r="J354" s="14">
        <v>1000</v>
      </c>
      <c r="K354" s="14">
        <f t="shared" si="29"/>
        <v>0</v>
      </c>
      <c r="L354" s="14">
        <v>12</v>
      </c>
      <c r="M354" s="14"/>
      <c r="N354" s="44">
        <f>(K354*Table1[[#This Row],[Ühik2]])+M354</f>
        <v>0</v>
      </c>
      <c r="O354" s="44">
        <f>Table1[[#This Row],[2020. EA ]]*0.338</f>
        <v>0</v>
      </c>
      <c r="P354" s="14"/>
    </row>
    <row r="355" spans="1:16" x14ac:dyDescent="0.25">
      <c r="A355" s="14" t="str">
        <f t="shared" si="32"/>
        <v>09</v>
      </c>
      <c r="B355" t="s">
        <v>2226</v>
      </c>
      <c r="C355" s="14" t="str">
        <f>VLOOKUP(B355,Table4[],2,FALSE)</f>
        <v>Muuga-Laekvere Kool</v>
      </c>
      <c r="D355" s="39" t="str">
        <f>VLOOKUP(Table1[[#This Row],[Tegevusala]],Table4[[Tegevusala kood]:[Tegevusala alanimetus]],4,FALSE)</f>
        <v>Põhihariduse otsekulud</v>
      </c>
      <c r="E355" s="14" t="str">
        <f>VLOOKUP(C355,Table4[[Tegevusala nimetus]:[Tegevusala koondnimetus]],2,FALSE)</f>
        <v>Haridus</v>
      </c>
      <c r="F355" s="14" t="s">
        <v>1848</v>
      </c>
      <c r="G355" s="14" t="s">
        <v>1867</v>
      </c>
      <c r="H355" s="14">
        <v>0.7</v>
      </c>
      <c r="I355" s="14"/>
      <c r="J355" s="14">
        <v>756</v>
      </c>
      <c r="K355" s="14">
        <f t="shared" si="29"/>
        <v>529.19999999999993</v>
      </c>
      <c r="L355" s="37">
        <v>10</v>
      </c>
      <c r="M355" s="14"/>
      <c r="N355" s="44">
        <f>(K355*Table1[[#This Row],[Ühik2]])+M355</f>
        <v>5291.9999999999991</v>
      </c>
      <c r="O355" s="44">
        <f>Table1[[#This Row],[2020. EA ]]*0.338</f>
        <v>1788.6959999999999</v>
      </c>
      <c r="P355" s="14"/>
    </row>
    <row r="356" spans="1:16" x14ac:dyDescent="0.25">
      <c r="A356" s="90" t="str">
        <f t="shared" si="32"/>
        <v>09</v>
      </c>
      <c r="B356" s="91" t="s">
        <v>2226</v>
      </c>
      <c r="C356" s="90" t="str">
        <f>VLOOKUP(B356,Table4[],2,FALSE)</f>
        <v>Muuga-Laekvere Kool</v>
      </c>
      <c r="D356" s="94" t="str">
        <f>VLOOKUP(Table1[[#This Row],[Tegevusala]],Table4[[Tegevusala kood]:[Tegevusala alanimetus]],4,FALSE)</f>
        <v>Põhihariduse otsekulud</v>
      </c>
      <c r="E356" s="90" t="str">
        <f>VLOOKUP(C356,Table4[[Tegevusala nimetus]:[Tegevusala koondnimetus]],2,FALSE)</f>
        <v>Haridus</v>
      </c>
      <c r="F356" s="90" t="s">
        <v>1848</v>
      </c>
      <c r="G356" s="90" t="s">
        <v>1381</v>
      </c>
      <c r="H356" s="90">
        <v>2</v>
      </c>
      <c r="I356" s="90"/>
      <c r="J356" s="90">
        <v>584</v>
      </c>
      <c r="K356" s="90">
        <f t="shared" si="29"/>
        <v>1168</v>
      </c>
      <c r="L356" s="90">
        <v>12</v>
      </c>
      <c r="M356" s="90"/>
      <c r="N356" s="92">
        <f>(K356*Table1[[#This Row],[Ühik2]])+M356</f>
        <v>14016</v>
      </c>
      <c r="O356" s="92">
        <f>Table1[[#This Row],[2020. EA ]]*0.338</f>
        <v>4737.4080000000004</v>
      </c>
      <c r="P356" s="90"/>
    </row>
    <row r="357" spans="1:16" x14ac:dyDescent="0.25">
      <c r="A357" s="90" t="str">
        <f t="shared" si="32"/>
        <v>09</v>
      </c>
      <c r="B357" s="91" t="s">
        <v>2226</v>
      </c>
      <c r="C357" s="90" t="str">
        <f>VLOOKUP(B357,Table4[],2,FALSE)</f>
        <v>Muuga-Laekvere Kool</v>
      </c>
      <c r="D357" s="94" t="str">
        <f>VLOOKUP(Table1[[#This Row],[Tegevusala]],Table4[[Tegevusala kood]:[Tegevusala alanimetus]],4,FALSE)</f>
        <v>Põhihariduse otsekulud</v>
      </c>
      <c r="E357" s="90" t="str">
        <f>VLOOKUP(C357,Table4[[Tegevusala nimetus]:[Tegevusala koondnimetus]],2,FALSE)</f>
        <v>Haridus</v>
      </c>
      <c r="F357" s="90" t="s">
        <v>1848</v>
      </c>
      <c r="G357" s="90" t="s">
        <v>461</v>
      </c>
      <c r="H357" s="90">
        <v>0</v>
      </c>
      <c r="I357" s="90"/>
      <c r="J357" s="90">
        <v>584</v>
      </c>
      <c r="K357" s="90">
        <f t="shared" si="29"/>
        <v>0</v>
      </c>
      <c r="L357" s="90">
        <v>12</v>
      </c>
      <c r="M357" s="90"/>
      <c r="N357" s="92">
        <f>(K357*Table1[[#This Row],[Ühik2]])+M357</f>
        <v>0</v>
      </c>
      <c r="O357" s="92">
        <f>Table1[[#This Row],[2020. EA ]]*0.338</f>
        <v>0</v>
      </c>
      <c r="P357" s="90"/>
    </row>
    <row r="358" spans="1:16" x14ac:dyDescent="0.25">
      <c r="A358" s="14" t="str">
        <f t="shared" si="32"/>
        <v>09</v>
      </c>
      <c r="B358" t="s">
        <v>2226</v>
      </c>
      <c r="C358" s="14" t="str">
        <f>VLOOKUP(B358,Table4[],2,FALSE)</f>
        <v>Muuga-Laekvere Kool</v>
      </c>
      <c r="D358" s="39" t="str">
        <f>VLOOKUP(Table1[[#This Row],[Tegevusala]],Table4[[Tegevusala kood]:[Tegevusala alanimetus]],4,FALSE)</f>
        <v>Põhihariduse otsekulud</v>
      </c>
      <c r="E358" s="14" t="str">
        <f>VLOOKUP(C358,Table4[[Tegevusala nimetus]:[Tegevusala koondnimetus]],2,FALSE)</f>
        <v>Haridus</v>
      </c>
      <c r="F358" s="14" t="s">
        <v>1848</v>
      </c>
      <c r="G358" s="14" t="s">
        <v>1351</v>
      </c>
      <c r="H358" s="14">
        <v>1</v>
      </c>
      <c r="I358" s="14"/>
      <c r="J358" s="14">
        <v>805</v>
      </c>
      <c r="K358" s="14">
        <f t="shared" si="29"/>
        <v>805</v>
      </c>
      <c r="L358" s="14">
        <v>12</v>
      </c>
      <c r="M358" s="14"/>
      <c r="N358" s="44">
        <f>(K358*Table1[[#This Row],[Ühik2]])+M358</f>
        <v>9660</v>
      </c>
      <c r="O358" s="44">
        <f>Table1[[#This Row],[2020. EA ]]*0.338</f>
        <v>3265.0800000000004</v>
      </c>
      <c r="P358" s="14"/>
    </row>
    <row r="359" spans="1:16" x14ac:dyDescent="0.25">
      <c r="A359" s="14" t="str">
        <f t="shared" si="32"/>
        <v>09</v>
      </c>
      <c r="B359" t="s">
        <v>2226</v>
      </c>
      <c r="C359" s="14" t="str">
        <f>VLOOKUP(B359,Table4[],2,FALSE)</f>
        <v>Muuga-Laekvere Kool</v>
      </c>
      <c r="D359" s="39" t="str">
        <f>VLOOKUP(Table1[[#This Row],[Tegevusala]],Table4[[Tegevusala kood]:[Tegevusala alanimetus]],4,FALSE)</f>
        <v>Põhihariduse otsekulud</v>
      </c>
      <c r="E359" s="14" t="str">
        <f>VLOOKUP(C359,Table4[[Tegevusala nimetus]:[Tegevusala koondnimetus]],2,FALSE)</f>
        <v>Haridus</v>
      </c>
      <c r="F359" s="14" t="s">
        <v>1848</v>
      </c>
      <c r="G359" s="14" t="s">
        <v>1868</v>
      </c>
      <c r="H359" s="14">
        <v>0</v>
      </c>
      <c r="I359" s="14"/>
      <c r="J359" s="14">
        <v>691</v>
      </c>
      <c r="K359" s="14">
        <f t="shared" si="29"/>
        <v>0</v>
      </c>
      <c r="L359" s="14">
        <v>12</v>
      </c>
      <c r="M359" s="14"/>
      <c r="N359" s="44">
        <f>(K359*Table1[[#This Row],[Ühik2]])+M359</f>
        <v>0</v>
      </c>
      <c r="O359" s="44">
        <f>Table1[[#This Row],[2020. EA ]]*0.338</f>
        <v>0</v>
      </c>
      <c r="P359" s="14"/>
    </row>
    <row r="360" spans="1:16" x14ac:dyDescent="0.25">
      <c r="A360" s="14" t="str">
        <f t="shared" si="32"/>
        <v>09</v>
      </c>
      <c r="B360" t="s">
        <v>2226</v>
      </c>
      <c r="C360" s="14" t="str">
        <f>VLOOKUP(B360,Table4[],2,FALSE)</f>
        <v>Muuga-Laekvere Kool</v>
      </c>
      <c r="D360" s="39" t="str">
        <f>VLOOKUP(Table1[[#This Row],[Tegevusala]],Table4[[Tegevusala kood]:[Tegevusala alanimetus]],4,FALSE)</f>
        <v>Põhihariduse otsekulud</v>
      </c>
      <c r="E360" s="14" t="str">
        <f>VLOOKUP(C360,Table4[[Tegevusala nimetus]:[Tegevusala koondnimetus]],2,FALSE)</f>
        <v>Haridus</v>
      </c>
      <c r="F360" s="14" t="s">
        <v>1848</v>
      </c>
      <c r="G360" s="14" t="s">
        <v>466</v>
      </c>
      <c r="H360" s="14">
        <v>1</v>
      </c>
      <c r="I360" s="14"/>
      <c r="J360" s="14">
        <v>724</v>
      </c>
      <c r="K360" s="14">
        <f t="shared" si="29"/>
        <v>724</v>
      </c>
      <c r="L360" s="14">
        <v>12</v>
      </c>
      <c r="M360" s="14"/>
      <c r="N360" s="44">
        <f>(K360*Table1[[#This Row],[Ühik2]])+M360</f>
        <v>8688</v>
      </c>
      <c r="O360" s="44">
        <f>Table1[[#This Row],[2020. EA ]]*0.338</f>
        <v>2936.5440000000003</v>
      </c>
      <c r="P360" s="14"/>
    </row>
    <row r="361" spans="1:16" x14ac:dyDescent="0.25">
      <c r="A361" s="14" t="str">
        <f t="shared" si="32"/>
        <v>09</v>
      </c>
      <c r="B361" t="s">
        <v>2226</v>
      </c>
      <c r="C361" s="14" t="str">
        <f>VLOOKUP(B361,Table4[],2,FALSE)</f>
        <v>Muuga-Laekvere Kool</v>
      </c>
      <c r="D361" s="39" t="str">
        <f>VLOOKUP(Table1[[#This Row],[Tegevusala]],Table4[[Tegevusala kood]:[Tegevusala alanimetus]],4,FALSE)</f>
        <v>Põhihariduse otsekulud</v>
      </c>
      <c r="E361" s="14" t="str">
        <f>VLOOKUP(C361,Table4[[Tegevusala nimetus]:[Tegevusala koondnimetus]],2,FALSE)</f>
        <v>Haridus</v>
      </c>
      <c r="F361" s="14" t="s">
        <v>1848</v>
      </c>
      <c r="G361" s="14" t="s">
        <v>466</v>
      </c>
      <c r="H361" s="14">
        <v>0</v>
      </c>
      <c r="I361" s="14"/>
      <c r="J361" s="14">
        <v>632</v>
      </c>
      <c r="K361" s="14">
        <f t="shared" si="29"/>
        <v>0</v>
      </c>
      <c r="L361" s="14">
        <v>12</v>
      </c>
      <c r="M361" s="14"/>
      <c r="N361" s="44">
        <f>(K361*Table1[[#This Row],[Ühik2]])+M361</f>
        <v>0</v>
      </c>
      <c r="O361" s="44">
        <f>Table1[[#This Row],[2020. EA ]]*0.338</f>
        <v>0</v>
      </c>
      <c r="P361" s="14"/>
    </row>
    <row r="362" spans="1:16" x14ac:dyDescent="0.25">
      <c r="A362" s="14" t="str">
        <f t="shared" si="32"/>
        <v>09</v>
      </c>
      <c r="B362" t="s">
        <v>2226</v>
      </c>
      <c r="C362" s="14" t="str">
        <f>VLOOKUP(B362,Table4[],2,FALSE)</f>
        <v>Muuga-Laekvere Kool</v>
      </c>
      <c r="D362" s="39" t="str">
        <f>VLOOKUP(Table1[[#This Row],[Tegevusala]],Table4[[Tegevusala kood]:[Tegevusala alanimetus]],4,FALSE)</f>
        <v>Põhihariduse otsekulud</v>
      </c>
      <c r="E362" s="14" t="str">
        <f>VLOOKUP(C362,Table4[[Tegevusala nimetus]:[Tegevusala koondnimetus]],2,FALSE)</f>
        <v>Haridus</v>
      </c>
      <c r="F362" s="14" t="s">
        <v>1848</v>
      </c>
      <c r="G362" s="14" t="s">
        <v>1869</v>
      </c>
      <c r="H362" s="14">
        <v>1</v>
      </c>
      <c r="I362" s="14"/>
      <c r="J362" s="14">
        <v>632</v>
      </c>
      <c r="K362" s="14">
        <f t="shared" si="29"/>
        <v>632</v>
      </c>
      <c r="L362" s="14">
        <v>12</v>
      </c>
      <c r="M362" s="14"/>
      <c r="N362" s="44">
        <f>(K362*Table1[[#This Row],[Ühik2]])+M362</f>
        <v>7584</v>
      </c>
      <c r="O362" s="44">
        <f>Table1[[#This Row],[2020. EA ]]*0.338</f>
        <v>2563.3920000000003</v>
      </c>
      <c r="P362" s="14"/>
    </row>
    <row r="363" spans="1:16" x14ac:dyDescent="0.25">
      <c r="A363" s="14" t="str">
        <f t="shared" si="32"/>
        <v>09</v>
      </c>
      <c r="B363" t="s">
        <v>2226</v>
      </c>
      <c r="C363" s="14" t="str">
        <f>VLOOKUP(B363,Table4[],2,FALSE)</f>
        <v>Muuga-Laekvere Kool</v>
      </c>
      <c r="D363" s="39" t="str">
        <f>VLOOKUP(Table1[[#This Row],[Tegevusala]],Table4[[Tegevusala kood]:[Tegevusala alanimetus]],4,FALSE)</f>
        <v>Põhihariduse otsekulud</v>
      </c>
      <c r="E363" s="14" t="str">
        <f>VLOOKUP(C363,Table4[[Tegevusala nimetus]:[Tegevusala koondnimetus]],2,FALSE)</f>
        <v>Haridus</v>
      </c>
      <c r="F363" s="14" t="s">
        <v>1848</v>
      </c>
      <c r="G363" s="14" t="s">
        <v>1377</v>
      </c>
      <c r="H363" s="14">
        <v>0</v>
      </c>
      <c r="I363" s="14"/>
      <c r="J363" s="14">
        <v>853</v>
      </c>
      <c r="K363" s="14">
        <f t="shared" si="29"/>
        <v>0</v>
      </c>
      <c r="L363" s="14">
        <v>12</v>
      </c>
      <c r="M363" s="14"/>
      <c r="N363" s="44">
        <f>(K363*Table1[[#This Row],[Ühik2]])+M363</f>
        <v>0</v>
      </c>
      <c r="O363" s="44">
        <f>Table1[[#This Row],[2020. EA ]]*0.338</f>
        <v>0</v>
      </c>
      <c r="P363" s="14"/>
    </row>
    <row r="364" spans="1:16" x14ac:dyDescent="0.25">
      <c r="A364" s="90" t="str">
        <f t="shared" si="32"/>
        <v>09</v>
      </c>
      <c r="B364" s="91" t="s">
        <v>2226</v>
      </c>
      <c r="C364" s="90" t="str">
        <f>VLOOKUP(B364,Table4[],2,FALSE)</f>
        <v>Muuga-Laekvere Kool</v>
      </c>
      <c r="D364" s="94" t="str">
        <f>VLOOKUP(Table1[[#This Row],[Tegevusala]],Table4[[Tegevusala kood]:[Tegevusala alanimetus]],4,FALSE)</f>
        <v>Põhihariduse otsekulud</v>
      </c>
      <c r="E364" s="90" t="str">
        <f>VLOOKUP(C364,Table4[[Tegevusala nimetus]:[Tegevusala koondnimetus]],2,FALSE)</f>
        <v>Haridus</v>
      </c>
      <c r="F364" s="90" t="s">
        <v>1848</v>
      </c>
      <c r="G364" s="90" t="s">
        <v>1382</v>
      </c>
      <c r="H364" s="90">
        <v>0.3</v>
      </c>
      <c r="I364" s="90"/>
      <c r="J364" s="90">
        <v>584</v>
      </c>
      <c r="K364" s="90">
        <f t="shared" si="29"/>
        <v>175.2</v>
      </c>
      <c r="L364" s="90">
        <v>12</v>
      </c>
      <c r="M364" s="90"/>
      <c r="N364" s="92">
        <f>(K364*Table1[[#This Row],[Ühik2]])+M364</f>
        <v>2102.3999999999996</v>
      </c>
      <c r="O364" s="92">
        <f>Table1[[#This Row],[2020. EA ]]*0.338</f>
        <v>710.61119999999994</v>
      </c>
      <c r="P364" s="90"/>
    </row>
    <row r="365" spans="1:16" x14ac:dyDescent="0.25">
      <c r="A365" s="14" t="str">
        <f t="shared" si="32"/>
        <v>09</v>
      </c>
      <c r="B365" t="s">
        <v>2226</v>
      </c>
      <c r="C365" s="14" t="str">
        <f>VLOOKUP(B365,Table4[],2,FALSE)</f>
        <v>Muuga-Laekvere Kool</v>
      </c>
      <c r="D365" s="39" t="str">
        <f>VLOOKUP(Table1[[#This Row],[Tegevusala]],Table4[[Tegevusala kood]:[Tegevusala alanimetus]],4,FALSE)</f>
        <v>Põhihariduse otsekulud</v>
      </c>
      <c r="E365" s="14" t="str">
        <f>VLOOKUP(C365,Table4[[Tegevusala nimetus]:[Tegevusala koondnimetus]],2,FALSE)</f>
        <v>Haridus</v>
      </c>
      <c r="F365" s="14" t="s">
        <v>1848</v>
      </c>
      <c r="G365" s="14" t="s">
        <v>1870</v>
      </c>
      <c r="H365" s="14">
        <v>1.29</v>
      </c>
      <c r="I365" s="14"/>
      <c r="J365" s="14">
        <v>664</v>
      </c>
      <c r="K365" s="14">
        <f t="shared" si="29"/>
        <v>856.56000000000006</v>
      </c>
      <c r="L365" s="14">
        <v>9</v>
      </c>
      <c r="M365" s="14"/>
      <c r="N365" s="44">
        <f>(K365*Table1[[#This Row],[Ühik2]])+M365</f>
        <v>7709.0400000000009</v>
      </c>
      <c r="O365" s="44">
        <f>Table1[[#This Row],[2020. EA ]]*0.338</f>
        <v>2605.6555200000003</v>
      </c>
      <c r="P365" s="14"/>
    </row>
    <row r="366" spans="1:16" x14ac:dyDescent="0.25">
      <c r="A366" s="14" t="str">
        <f t="shared" ref="A366:A381" si="33">LEFT(B366,2)</f>
        <v>09</v>
      </c>
      <c r="B366" s="49" t="s">
        <v>2226</v>
      </c>
      <c r="C366" s="14" t="str">
        <f>VLOOKUP(B366,Table4[],2,FALSE)</f>
        <v>Muuga-Laekvere Kool</v>
      </c>
      <c r="D366" s="39" t="str">
        <f>VLOOKUP(Table1[[#This Row],[Tegevusala]],Table4[[Tegevusala kood]:[Tegevusala alanimetus]],4,FALSE)</f>
        <v>Põhihariduse otsekulud</v>
      </c>
      <c r="E366" s="14" t="str">
        <f>VLOOKUP(C366,Table4[[Tegevusala nimetus]:[Tegevusala koondnimetus]],2,FALSE)</f>
        <v>Haridus</v>
      </c>
      <c r="F366" s="14" t="s">
        <v>1848</v>
      </c>
      <c r="G366" s="14" t="s">
        <v>1864</v>
      </c>
      <c r="H366" s="14">
        <v>0.25</v>
      </c>
      <c r="I366" s="14"/>
      <c r="J366" s="14">
        <v>1250</v>
      </c>
      <c r="K366" s="14">
        <f t="shared" si="29"/>
        <v>312.5</v>
      </c>
      <c r="L366" s="14">
        <v>12</v>
      </c>
      <c r="M366" s="14"/>
      <c r="N366" s="44">
        <f>(K366*Table1[[#This Row],[Ühik2]])+M366</f>
        <v>3750</v>
      </c>
      <c r="O366" s="44">
        <f>Table1[[#This Row],[2020. EA ]]*0.338</f>
        <v>1267.5</v>
      </c>
      <c r="P366" s="14"/>
    </row>
    <row r="367" spans="1:16" x14ac:dyDescent="0.25">
      <c r="A367" s="14" t="str">
        <f t="shared" si="33"/>
        <v>09</v>
      </c>
      <c r="B367" s="49" t="s">
        <v>2226</v>
      </c>
      <c r="C367" s="14" t="str">
        <f>VLOOKUP(B367,Table4[],2,FALSE)</f>
        <v>Muuga-Laekvere Kool</v>
      </c>
      <c r="D367" s="39" t="str">
        <f>VLOOKUP(Table1[[#This Row],[Tegevusala]],Table4[[Tegevusala kood]:[Tegevusala alanimetus]],4,FALSE)</f>
        <v>Põhihariduse otsekulud</v>
      </c>
      <c r="E367" s="14" t="str">
        <f>VLOOKUP(C367,Table4[[Tegevusala nimetus]:[Tegevusala koondnimetus]],2,FALSE)</f>
        <v>Haridus</v>
      </c>
      <c r="F367" s="14" t="s">
        <v>1848</v>
      </c>
      <c r="G367" s="14" t="s">
        <v>1290</v>
      </c>
      <c r="H367" s="14">
        <v>0.25</v>
      </c>
      <c r="I367" s="14"/>
      <c r="J367" s="14">
        <v>1250</v>
      </c>
      <c r="K367" s="14">
        <f t="shared" si="29"/>
        <v>312.5</v>
      </c>
      <c r="L367" s="14">
        <v>12</v>
      </c>
      <c r="M367" s="14"/>
      <c r="N367" s="44">
        <f>(K367*Table1[[#This Row],[Ühik2]])+M367</f>
        <v>3750</v>
      </c>
      <c r="O367" s="44">
        <f>Table1[[#This Row],[2020. EA ]]*0.338</f>
        <v>1267.5</v>
      </c>
      <c r="P367" s="14"/>
    </row>
    <row r="368" spans="1:16" x14ac:dyDescent="0.25">
      <c r="A368" s="14" t="str">
        <f t="shared" si="33"/>
        <v>09</v>
      </c>
      <c r="B368" s="49" t="s">
        <v>2226</v>
      </c>
      <c r="C368" s="14" t="str">
        <f>VLOOKUP(B368,Table4[],2,FALSE)</f>
        <v>Muuga-Laekvere Kool</v>
      </c>
      <c r="D368" s="39" t="str">
        <f>VLOOKUP(Table1[[#This Row],[Tegevusala]],Table4[[Tegevusala kood]:[Tegevusala alanimetus]],4,FALSE)</f>
        <v>Põhihariduse otsekulud</v>
      </c>
      <c r="E368" s="14" t="str">
        <f>VLOOKUP(C368,Table4[[Tegevusala nimetus]:[Tegevusala koondnimetus]],2,FALSE)</f>
        <v>Haridus</v>
      </c>
      <c r="F368" s="14" t="s">
        <v>1848</v>
      </c>
      <c r="G368" s="14" t="s">
        <v>1249</v>
      </c>
      <c r="H368" s="14">
        <v>0</v>
      </c>
      <c r="I368" s="14"/>
      <c r="J368" s="14">
        <v>702</v>
      </c>
      <c r="K368" s="14">
        <f t="shared" ref="K368:K389" si="34">H368*J368</f>
        <v>0</v>
      </c>
      <c r="L368" s="14">
        <v>12</v>
      </c>
      <c r="M368" s="14"/>
      <c r="N368" s="44">
        <f>(K368*Table1[[#This Row],[Ühik2]])+M368</f>
        <v>0</v>
      </c>
      <c r="O368" s="44">
        <f>Table1[[#This Row],[2020. EA ]]*0.338</f>
        <v>0</v>
      </c>
      <c r="P368" s="14"/>
    </row>
    <row r="369" spans="1:16" x14ac:dyDescent="0.25">
      <c r="A369" s="14" t="str">
        <f t="shared" si="33"/>
        <v>09</v>
      </c>
      <c r="B369" s="49" t="s">
        <v>2226</v>
      </c>
      <c r="C369" s="14" t="str">
        <f>VLOOKUP(B369,Table4[],2,FALSE)</f>
        <v>Muuga-Laekvere Kool</v>
      </c>
      <c r="D369" s="39" t="str">
        <f>VLOOKUP(Table1[[#This Row],[Tegevusala]],Table4[[Tegevusala kood]:[Tegevusala alanimetus]],4,FALSE)</f>
        <v>Põhihariduse otsekulud</v>
      </c>
      <c r="E369" s="14" t="str">
        <f>VLOOKUP(C369,Table4[[Tegevusala nimetus]:[Tegevusala koondnimetus]],2,FALSE)</f>
        <v>Haridus</v>
      </c>
      <c r="F369" s="14" t="s">
        <v>1848</v>
      </c>
      <c r="G369" s="14" t="s">
        <v>1865</v>
      </c>
      <c r="H369" s="14">
        <v>0</v>
      </c>
      <c r="I369" s="14"/>
      <c r="J369" s="14">
        <v>702</v>
      </c>
      <c r="K369" s="14">
        <f t="shared" si="34"/>
        <v>0</v>
      </c>
      <c r="L369" s="14">
        <v>12</v>
      </c>
      <c r="M369" s="14"/>
      <c r="N369" s="44">
        <f>(K369*Table1[[#This Row],[Ühik2]])+M369</f>
        <v>0</v>
      </c>
      <c r="O369" s="44">
        <f>Table1[[#This Row],[2020. EA ]]*0.338</f>
        <v>0</v>
      </c>
      <c r="P369" s="14"/>
    </row>
    <row r="370" spans="1:16" x14ac:dyDescent="0.25">
      <c r="A370" s="14" t="str">
        <f t="shared" si="33"/>
        <v>09</v>
      </c>
      <c r="B370" s="49" t="s">
        <v>2226</v>
      </c>
      <c r="C370" s="14" t="str">
        <f>VLOOKUP(B370,Table4[],2,FALSE)</f>
        <v>Muuga-Laekvere Kool</v>
      </c>
      <c r="D370" s="39" t="str">
        <f>VLOOKUP(Table1[[#This Row],[Tegevusala]],Table4[[Tegevusala kood]:[Tegevusala alanimetus]],4,FALSE)</f>
        <v>Põhihariduse otsekulud</v>
      </c>
      <c r="E370" s="14" t="str">
        <f>VLOOKUP(C370,Table4[[Tegevusala nimetus]:[Tegevusala koondnimetus]],2,FALSE)</f>
        <v>Haridus</v>
      </c>
      <c r="F370" s="14" t="s">
        <v>1848</v>
      </c>
      <c r="G370" s="14" t="s">
        <v>1866</v>
      </c>
      <c r="H370" s="14">
        <v>0</v>
      </c>
      <c r="I370" s="14"/>
      <c r="J370" s="14">
        <v>1000</v>
      </c>
      <c r="K370" s="14">
        <f t="shared" si="34"/>
        <v>0</v>
      </c>
      <c r="L370" s="14">
        <v>12</v>
      </c>
      <c r="M370" s="14"/>
      <c r="N370" s="44">
        <f>(K370*Table1[[#This Row],[Ühik2]])+M370</f>
        <v>0</v>
      </c>
      <c r="O370" s="44">
        <f>Table1[[#This Row],[2020. EA ]]*0.338</f>
        <v>0</v>
      </c>
      <c r="P370" s="14"/>
    </row>
    <row r="371" spans="1:16" x14ac:dyDescent="0.25">
      <c r="A371" s="14" t="str">
        <f t="shared" si="33"/>
        <v>09</v>
      </c>
      <c r="B371" s="49" t="s">
        <v>2226</v>
      </c>
      <c r="C371" s="14" t="str">
        <f>VLOOKUP(B371,Table4[],2,FALSE)</f>
        <v>Muuga-Laekvere Kool</v>
      </c>
      <c r="D371" s="39" t="str">
        <f>VLOOKUP(Table1[[#This Row],[Tegevusala]],Table4[[Tegevusala kood]:[Tegevusala alanimetus]],4,FALSE)</f>
        <v>Põhihariduse otsekulud</v>
      </c>
      <c r="E371" s="14" t="str">
        <f>VLOOKUP(C371,Table4[[Tegevusala nimetus]:[Tegevusala koondnimetus]],2,FALSE)</f>
        <v>Haridus</v>
      </c>
      <c r="F371" s="14" t="s">
        <v>1848</v>
      </c>
      <c r="G371" s="14" t="s">
        <v>1867</v>
      </c>
      <c r="H371" s="14">
        <v>0.7</v>
      </c>
      <c r="I371" s="14"/>
      <c r="J371" s="14">
        <v>756</v>
      </c>
      <c r="K371" s="14">
        <f t="shared" si="34"/>
        <v>529.19999999999993</v>
      </c>
      <c r="L371" s="14">
        <v>12</v>
      </c>
      <c r="M371" s="14"/>
      <c r="N371" s="44">
        <f>(K371*Table1[[#This Row],[Ühik2]])+M371</f>
        <v>6350.4</v>
      </c>
      <c r="O371" s="44">
        <f>Table1[[#This Row],[2020. EA ]]*0.338</f>
        <v>2146.4351999999999</v>
      </c>
      <c r="P371" s="14"/>
    </row>
    <row r="372" spans="1:16" x14ac:dyDescent="0.25">
      <c r="A372" s="90" t="str">
        <f t="shared" si="33"/>
        <v>09</v>
      </c>
      <c r="B372" s="97" t="s">
        <v>2226</v>
      </c>
      <c r="C372" s="90" t="str">
        <f>VLOOKUP(B372,Table4[],2,FALSE)</f>
        <v>Muuga-Laekvere Kool</v>
      </c>
      <c r="D372" s="94" t="str">
        <f>VLOOKUP(Table1[[#This Row],[Tegevusala]],Table4[[Tegevusala kood]:[Tegevusala alanimetus]],4,FALSE)</f>
        <v>Põhihariduse otsekulud</v>
      </c>
      <c r="E372" s="90" t="str">
        <f>VLOOKUP(C372,Table4[[Tegevusala nimetus]:[Tegevusala koondnimetus]],2,FALSE)</f>
        <v>Haridus</v>
      </c>
      <c r="F372" s="90" t="s">
        <v>1848</v>
      </c>
      <c r="G372" s="90" t="s">
        <v>1381</v>
      </c>
      <c r="H372" s="90">
        <v>1</v>
      </c>
      <c r="I372" s="90"/>
      <c r="J372" s="90">
        <v>584</v>
      </c>
      <c r="K372" s="90">
        <f t="shared" si="34"/>
        <v>584</v>
      </c>
      <c r="L372" s="90">
        <v>12</v>
      </c>
      <c r="M372" s="90"/>
      <c r="N372" s="92">
        <f>(K372*Table1[[#This Row],[Ühik2]])+M372</f>
        <v>7008</v>
      </c>
      <c r="O372" s="92">
        <f>Table1[[#This Row],[2020. EA ]]*0.338</f>
        <v>2368.7040000000002</v>
      </c>
      <c r="P372" s="90"/>
    </row>
    <row r="373" spans="1:16" x14ac:dyDescent="0.25">
      <c r="A373" s="90" t="str">
        <f t="shared" si="33"/>
        <v>09</v>
      </c>
      <c r="B373" s="97" t="s">
        <v>2226</v>
      </c>
      <c r="C373" s="90" t="str">
        <f>VLOOKUP(B373,Table4[],2,FALSE)</f>
        <v>Muuga-Laekvere Kool</v>
      </c>
      <c r="D373" s="94" t="str">
        <f>VLOOKUP(Table1[[#This Row],[Tegevusala]],Table4[[Tegevusala kood]:[Tegevusala alanimetus]],4,FALSE)</f>
        <v>Põhihariduse otsekulud</v>
      </c>
      <c r="E373" s="90" t="str">
        <f>VLOOKUP(C373,Table4[[Tegevusala nimetus]:[Tegevusala koondnimetus]],2,FALSE)</f>
        <v>Haridus</v>
      </c>
      <c r="F373" s="90" t="s">
        <v>1848</v>
      </c>
      <c r="G373" s="90" t="s">
        <v>461</v>
      </c>
      <c r="H373" s="90">
        <v>1</v>
      </c>
      <c r="I373" s="90"/>
      <c r="J373" s="90">
        <v>584</v>
      </c>
      <c r="K373" s="90">
        <f t="shared" si="34"/>
        <v>584</v>
      </c>
      <c r="L373" s="90">
        <v>12</v>
      </c>
      <c r="M373" s="90"/>
      <c r="N373" s="92">
        <f>(K373*Table1[[#This Row],[Ühik2]])+M373</f>
        <v>7008</v>
      </c>
      <c r="O373" s="92">
        <f>Table1[[#This Row],[2020. EA ]]*0.338</f>
        <v>2368.7040000000002</v>
      </c>
      <c r="P373" s="90"/>
    </row>
    <row r="374" spans="1:16" x14ac:dyDescent="0.25">
      <c r="A374" s="14" t="str">
        <f t="shared" si="33"/>
        <v>09</v>
      </c>
      <c r="B374" s="49" t="s">
        <v>2226</v>
      </c>
      <c r="C374" s="14" t="str">
        <f>VLOOKUP(B374,Table4[],2,FALSE)</f>
        <v>Muuga-Laekvere Kool</v>
      </c>
      <c r="D374" s="39" t="str">
        <f>VLOOKUP(Table1[[#This Row],[Tegevusala]],Table4[[Tegevusala kood]:[Tegevusala alanimetus]],4,FALSE)</f>
        <v>Põhihariduse otsekulud</v>
      </c>
      <c r="E374" s="14" t="str">
        <f>VLOOKUP(C374,Table4[[Tegevusala nimetus]:[Tegevusala koondnimetus]],2,FALSE)</f>
        <v>Haridus</v>
      </c>
      <c r="F374" s="14" t="s">
        <v>1848</v>
      </c>
      <c r="G374" s="14" t="s">
        <v>1351</v>
      </c>
      <c r="H374" s="14">
        <v>0</v>
      </c>
      <c r="I374" s="14"/>
      <c r="J374" s="14">
        <v>805</v>
      </c>
      <c r="K374" s="14">
        <f t="shared" si="34"/>
        <v>0</v>
      </c>
      <c r="L374" s="14">
        <v>12</v>
      </c>
      <c r="M374" s="14"/>
      <c r="N374" s="44">
        <f>(K374*Table1[[#This Row],[Ühik2]])+M374</f>
        <v>0</v>
      </c>
      <c r="O374" s="44">
        <f>Table1[[#This Row],[2020. EA ]]*0.338</f>
        <v>0</v>
      </c>
      <c r="P374" s="14"/>
    </row>
    <row r="375" spans="1:16" x14ac:dyDescent="0.25">
      <c r="A375" s="14" t="str">
        <f t="shared" si="33"/>
        <v>09</v>
      </c>
      <c r="B375" s="49" t="s">
        <v>2226</v>
      </c>
      <c r="C375" s="14" t="str">
        <f>VLOOKUP(B375,Table4[],2,FALSE)</f>
        <v>Muuga-Laekvere Kool</v>
      </c>
      <c r="D375" s="39" t="str">
        <f>VLOOKUP(Table1[[#This Row],[Tegevusala]],Table4[[Tegevusala kood]:[Tegevusala alanimetus]],4,FALSE)</f>
        <v>Põhihariduse otsekulud</v>
      </c>
      <c r="E375" s="14" t="str">
        <f>VLOOKUP(C375,Table4[[Tegevusala nimetus]:[Tegevusala koondnimetus]],2,FALSE)</f>
        <v>Haridus</v>
      </c>
      <c r="F375" s="14" t="s">
        <v>1848</v>
      </c>
      <c r="G375" s="14" t="s">
        <v>1868</v>
      </c>
      <c r="H375" s="14">
        <v>1</v>
      </c>
      <c r="I375" s="14"/>
      <c r="J375" s="14">
        <v>691</v>
      </c>
      <c r="K375" s="14">
        <f t="shared" si="34"/>
        <v>691</v>
      </c>
      <c r="L375" s="14">
        <v>12</v>
      </c>
      <c r="M375" s="14"/>
      <c r="N375" s="44">
        <f>(K375*Table1[[#This Row],[Ühik2]])+M375</f>
        <v>8292</v>
      </c>
      <c r="O375" s="44">
        <f>Table1[[#This Row],[2020. EA ]]*0.338</f>
        <v>2802.6960000000004</v>
      </c>
      <c r="P375" s="14"/>
    </row>
    <row r="376" spans="1:16" x14ac:dyDescent="0.25">
      <c r="A376" s="14" t="str">
        <f t="shared" si="33"/>
        <v>09</v>
      </c>
      <c r="B376" s="49" t="s">
        <v>2226</v>
      </c>
      <c r="C376" s="14" t="str">
        <f>VLOOKUP(B376,Table4[],2,FALSE)</f>
        <v>Muuga-Laekvere Kool</v>
      </c>
      <c r="D376" s="39" t="str">
        <f>VLOOKUP(Table1[[#This Row],[Tegevusala]],Table4[[Tegevusala kood]:[Tegevusala alanimetus]],4,FALSE)</f>
        <v>Põhihariduse otsekulud</v>
      </c>
      <c r="E376" s="14" t="str">
        <f>VLOOKUP(C376,Table4[[Tegevusala nimetus]:[Tegevusala koondnimetus]],2,FALSE)</f>
        <v>Haridus</v>
      </c>
      <c r="F376" s="14" t="s">
        <v>1848</v>
      </c>
      <c r="G376" s="14" t="s">
        <v>466</v>
      </c>
      <c r="H376" s="14">
        <v>0</v>
      </c>
      <c r="I376" s="14"/>
      <c r="J376" s="14">
        <v>724</v>
      </c>
      <c r="K376" s="14">
        <f t="shared" si="34"/>
        <v>0</v>
      </c>
      <c r="L376" s="14">
        <v>12</v>
      </c>
      <c r="M376" s="14"/>
      <c r="N376" s="44">
        <f>(K376*Table1[[#This Row],[Ühik2]])+M376</f>
        <v>0</v>
      </c>
      <c r="O376" s="44">
        <f>Table1[[#This Row],[2020. EA ]]*0.338</f>
        <v>0</v>
      </c>
      <c r="P376" s="14"/>
    </row>
    <row r="377" spans="1:16" x14ac:dyDescent="0.25">
      <c r="A377" s="14" t="str">
        <f t="shared" si="33"/>
        <v>09</v>
      </c>
      <c r="B377" s="49" t="s">
        <v>2226</v>
      </c>
      <c r="C377" s="14" t="str">
        <f>VLOOKUP(B377,Table4[],2,FALSE)</f>
        <v>Muuga-Laekvere Kool</v>
      </c>
      <c r="D377" s="39" t="str">
        <f>VLOOKUP(Table1[[#This Row],[Tegevusala]],Table4[[Tegevusala kood]:[Tegevusala alanimetus]],4,FALSE)</f>
        <v>Põhihariduse otsekulud</v>
      </c>
      <c r="E377" s="14" t="str">
        <f>VLOOKUP(C377,Table4[[Tegevusala nimetus]:[Tegevusala koondnimetus]],2,FALSE)</f>
        <v>Haridus</v>
      </c>
      <c r="F377" s="14" t="s">
        <v>1848</v>
      </c>
      <c r="G377" s="14" t="s">
        <v>466</v>
      </c>
      <c r="H377" s="14">
        <v>1</v>
      </c>
      <c r="I377" s="14"/>
      <c r="J377" s="14">
        <v>632</v>
      </c>
      <c r="K377" s="14">
        <f t="shared" si="34"/>
        <v>632</v>
      </c>
      <c r="L377" s="14">
        <v>12</v>
      </c>
      <c r="M377" s="14"/>
      <c r="N377" s="44">
        <f>(K377*Table1[[#This Row],[Ühik2]])+M377</f>
        <v>7584</v>
      </c>
      <c r="O377" s="44">
        <f>Table1[[#This Row],[2020. EA ]]*0.338</f>
        <v>2563.3920000000003</v>
      </c>
      <c r="P377" s="14"/>
    </row>
    <row r="378" spans="1:16" x14ac:dyDescent="0.25">
      <c r="A378" s="14" t="str">
        <f t="shared" si="33"/>
        <v>09</v>
      </c>
      <c r="B378" s="49" t="s">
        <v>2226</v>
      </c>
      <c r="C378" s="14" t="str">
        <f>VLOOKUP(B378,Table4[],2,FALSE)</f>
        <v>Muuga-Laekvere Kool</v>
      </c>
      <c r="D378" s="39" t="str">
        <f>VLOOKUP(Table1[[#This Row],[Tegevusala]],Table4[[Tegevusala kood]:[Tegevusala alanimetus]],4,FALSE)</f>
        <v>Põhihariduse otsekulud</v>
      </c>
      <c r="E378" s="14" t="str">
        <f>VLOOKUP(C378,Table4[[Tegevusala nimetus]:[Tegevusala koondnimetus]],2,FALSE)</f>
        <v>Haridus</v>
      </c>
      <c r="F378" s="14" t="s">
        <v>1848</v>
      </c>
      <c r="G378" s="14" t="s">
        <v>1869</v>
      </c>
      <c r="H378" s="14">
        <v>0</v>
      </c>
      <c r="I378" s="14"/>
      <c r="J378" s="14">
        <v>632</v>
      </c>
      <c r="K378" s="14">
        <f t="shared" si="34"/>
        <v>0</v>
      </c>
      <c r="L378" s="14">
        <v>12</v>
      </c>
      <c r="M378" s="14"/>
      <c r="N378" s="44">
        <f>(K378*Table1[[#This Row],[Ühik2]])+M378</f>
        <v>0</v>
      </c>
      <c r="O378" s="44">
        <f>Table1[[#This Row],[2020. EA ]]*0.338</f>
        <v>0</v>
      </c>
      <c r="P378" s="14"/>
    </row>
    <row r="379" spans="1:16" x14ac:dyDescent="0.25">
      <c r="A379" s="14" t="str">
        <f t="shared" si="33"/>
        <v>09</v>
      </c>
      <c r="B379" s="49" t="s">
        <v>2226</v>
      </c>
      <c r="C379" s="14" t="str">
        <f>VLOOKUP(B379,Table4[],2,FALSE)</f>
        <v>Muuga-Laekvere Kool</v>
      </c>
      <c r="D379" s="39" t="str">
        <f>VLOOKUP(Table1[[#This Row],[Tegevusala]],Table4[[Tegevusala kood]:[Tegevusala alanimetus]],4,FALSE)</f>
        <v>Põhihariduse otsekulud</v>
      </c>
      <c r="E379" s="14" t="str">
        <f>VLOOKUP(C379,Table4[[Tegevusala nimetus]:[Tegevusala koondnimetus]],2,FALSE)</f>
        <v>Haridus</v>
      </c>
      <c r="F379" s="14" t="s">
        <v>1848</v>
      </c>
      <c r="G379" s="14" t="s">
        <v>1377</v>
      </c>
      <c r="H379" s="14">
        <v>0.25</v>
      </c>
      <c r="I379" s="14"/>
      <c r="J379" s="14">
        <v>853</v>
      </c>
      <c r="K379" s="14">
        <f t="shared" si="34"/>
        <v>213.25</v>
      </c>
      <c r="L379" s="14">
        <v>12</v>
      </c>
      <c r="M379" s="14"/>
      <c r="N379" s="44">
        <f>(K379*Table1[[#This Row],[Ühik2]])+M379</f>
        <v>2559</v>
      </c>
      <c r="O379" s="44">
        <f>Table1[[#This Row],[2020. EA ]]*0.338</f>
        <v>864.94200000000001</v>
      </c>
      <c r="P379" s="14"/>
    </row>
    <row r="380" spans="1:16" x14ac:dyDescent="0.25">
      <c r="A380" s="90" t="str">
        <f t="shared" si="33"/>
        <v>09</v>
      </c>
      <c r="B380" s="97" t="s">
        <v>2226</v>
      </c>
      <c r="C380" s="90" t="str">
        <f>VLOOKUP(B380,Table4[],2,FALSE)</f>
        <v>Muuga-Laekvere Kool</v>
      </c>
      <c r="D380" s="94" t="str">
        <f>VLOOKUP(Table1[[#This Row],[Tegevusala]],Table4[[Tegevusala kood]:[Tegevusala alanimetus]],4,FALSE)</f>
        <v>Põhihariduse otsekulud</v>
      </c>
      <c r="E380" s="90" t="str">
        <f>VLOOKUP(C380,Table4[[Tegevusala nimetus]:[Tegevusala koondnimetus]],2,FALSE)</f>
        <v>Haridus</v>
      </c>
      <c r="F380" s="90" t="s">
        <v>1848</v>
      </c>
      <c r="G380" s="90" t="s">
        <v>1382</v>
      </c>
      <c r="H380" s="90">
        <v>0</v>
      </c>
      <c r="I380" s="90"/>
      <c r="J380" s="90">
        <v>584</v>
      </c>
      <c r="K380" s="90">
        <f t="shared" si="34"/>
        <v>0</v>
      </c>
      <c r="L380" s="90">
        <v>12</v>
      </c>
      <c r="M380" s="90"/>
      <c r="N380" s="92">
        <f>(K380*Table1[[#This Row],[Ühik2]])+M380</f>
        <v>0</v>
      </c>
      <c r="O380" s="92">
        <f>Table1[[#This Row],[2020. EA ]]*0.338</f>
        <v>0</v>
      </c>
      <c r="P380" s="90"/>
    </row>
    <row r="381" spans="1:16" x14ac:dyDescent="0.25">
      <c r="A381" s="14" t="str">
        <f t="shared" si="33"/>
        <v>09</v>
      </c>
      <c r="B381" s="50" t="s">
        <v>2226</v>
      </c>
      <c r="C381" s="14" t="str">
        <f>VLOOKUP(B381,Table4[],2,FALSE)</f>
        <v>Muuga-Laekvere Kool</v>
      </c>
      <c r="D381" s="39" t="str">
        <f>VLOOKUP(Table1[[#This Row],[Tegevusala]],Table4[[Tegevusala kood]:[Tegevusala alanimetus]],4,FALSE)</f>
        <v>Põhihariduse otsekulud</v>
      </c>
      <c r="E381" s="14" t="str">
        <f>VLOOKUP(C381,Table4[[Tegevusala nimetus]:[Tegevusala koondnimetus]],2,FALSE)</f>
        <v>Haridus</v>
      </c>
      <c r="F381" s="14" t="s">
        <v>1848</v>
      </c>
      <c r="G381" s="14" t="s">
        <v>1889</v>
      </c>
      <c r="H381" s="14">
        <v>1.31</v>
      </c>
      <c r="I381" s="14"/>
      <c r="J381" s="14">
        <v>664</v>
      </c>
      <c r="K381" s="14">
        <f t="shared" si="34"/>
        <v>869.84</v>
      </c>
      <c r="L381" s="14">
        <v>9</v>
      </c>
      <c r="M381" s="14"/>
      <c r="N381" s="44">
        <f>(K381*Table1[[#This Row],[Ühik2]])+M381</f>
        <v>7828.56</v>
      </c>
      <c r="O381" s="44">
        <f>Table1[[#This Row],[2020. EA ]]*0.338</f>
        <v>2646.0532800000001</v>
      </c>
      <c r="P381" s="14"/>
    </row>
    <row r="382" spans="1:16" hidden="1" x14ac:dyDescent="0.25">
      <c r="A382" s="14" t="str">
        <f t="shared" ref="A382:A387" si="35">LEFT(B382,2)</f>
        <v>06</v>
      </c>
      <c r="B382" t="s">
        <v>2211</v>
      </c>
      <c r="C382" s="14" t="str">
        <f>VLOOKUP(B382,Table4[],2,FALSE)</f>
        <v>Ulvi, Vinni-Pajusti teeninduspiirkond</v>
      </c>
      <c r="D382" s="39" t="str">
        <f>VLOOKUP(Table1[[#This Row],[Tegevusala]],Table4[[Tegevusala kood]:[Tegevusala alanimetus]],4,FALSE)</f>
        <v>Muu elamu- ja kommunaalmajanduse tegevus</v>
      </c>
      <c r="E382" s="14" t="str">
        <f>VLOOKUP(C382,Table4[[Tegevusala nimetus]:[Tegevusala koondnimetus]],2,FALSE)</f>
        <v>Elamu- ja kommunaalmajandus</v>
      </c>
      <c r="F382" t="s">
        <v>1897</v>
      </c>
      <c r="G382" s="14" t="s">
        <v>1921</v>
      </c>
      <c r="H382" s="14">
        <v>1</v>
      </c>
      <c r="I382" s="14" t="s">
        <v>2005</v>
      </c>
      <c r="J382" s="14">
        <v>390</v>
      </c>
      <c r="K382" s="14">
        <f t="shared" si="34"/>
        <v>390</v>
      </c>
      <c r="L382" s="14">
        <v>12</v>
      </c>
      <c r="M382" s="14"/>
      <c r="N382" s="44">
        <f>(K382*Table1[[#This Row],[Ühik2]])+M382</f>
        <v>4680</v>
      </c>
      <c r="O382" s="44">
        <f>Table1[[#This Row],[2020. EA ]]*0.338</f>
        <v>1581.8400000000001</v>
      </c>
      <c r="P382" s="14"/>
    </row>
    <row r="383" spans="1:16" hidden="1" x14ac:dyDescent="0.25">
      <c r="A383" s="14" t="str">
        <f t="shared" si="35"/>
        <v>06</v>
      </c>
      <c r="B383" t="s">
        <v>2211</v>
      </c>
      <c r="C383" s="14" t="str">
        <f>VLOOKUP(B383,Table4[],2,FALSE)</f>
        <v>Ulvi, Vinni-Pajusti teeninduspiirkond</v>
      </c>
      <c r="D383" s="39" t="str">
        <f>VLOOKUP(Table1[[#This Row],[Tegevusala]],Table4[[Tegevusala kood]:[Tegevusala alanimetus]],4,FALSE)</f>
        <v>Muu elamu- ja kommunaalmajanduse tegevus</v>
      </c>
      <c r="E383" s="14" t="str">
        <f>VLOOKUP(C383,Table4[[Tegevusala nimetus]:[Tegevusala koondnimetus]],2,FALSE)</f>
        <v>Elamu- ja kommunaalmajandus</v>
      </c>
      <c r="F383" t="s">
        <v>1897</v>
      </c>
      <c r="G383" s="14" t="s">
        <v>1922</v>
      </c>
      <c r="H383" s="14">
        <v>170</v>
      </c>
      <c r="I383" s="14" t="s">
        <v>2164</v>
      </c>
      <c r="J383" s="14">
        <v>6</v>
      </c>
      <c r="K383" s="14">
        <f t="shared" si="34"/>
        <v>1020</v>
      </c>
      <c r="L383" s="14">
        <v>12</v>
      </c>
      <c r="M383" s="14"/>
      <c r="N383" s="44">
        <f>(K383*Table1[[#This Row],[Ühik2]])+M383</f>
        <v>12240</v>
      </c>
      <c r="O383" s="44">
        <f>Table1[[#This Row],[2020. EA ]]*0.338</f>
        <v>4137.12</v>
      </c>
      <c r="P383" s="14"/>
    </row>
    <row r="384" spans="1:16" hidden="1" x14ac:dyDescent="0.25">
      <c r="A384" s="14" t="str">
        <f t="shared" si="35"/>
        <v>06</v>
      </c>
      <c r="B384" t="s">
        <v>2211</v>
      </c>
      <c r="C384" s="14" t="str">
        <f>VLOOKUP(B384,Table4[],2,FALSE)</f>
        <v>Ulvi, Vinni-Pajusti teeninduspiirkond</v>
      </c>
      <c r="D384" s="39" t="str">
        <f>VLOOKUP(Table1[[#This Row],[Tegevusala]],Table4[[Tegevusala kood]:[Tegevusala alanimetus]],4,FALSE)</f>
        <v>Muu elamu- ja kommunaalmajanduse tegevus</v>
      </c>
      <c r="E384" s="14" t="str">
        <f>VLOOKUP(C384,Table4[[Tegevusala nimetus]:[Tegevusala koondnimetus]],2,FALSE)</f>
        <v>Elamu- ja kommunaalmajandus</v>
      </c>
      <c r="F384" t="s">
        <v>1897</v>
      </c>
      <c r="G384" s="14" t="s">
        <v>1922</v>
      </c>
      <c r="H384" s="14">
        <v>170</v>
      </c>
      <c r="I384" s="14" t="s">
        <v>2164</v>
      </c>
      <c r="J384" s="14">
        <v>6</v>
      </c>
      <c r="K384" s="14">
        <f t="shared" si="34"/>
        <v>1020</v>
      </c>
      <c r="L384" s="14">
        <v>12</v>
      </c>
      <c r="M384" s="14"/>
      <c r="N384" s="44">
        <f>(K384*Table1[[#This Row],[Ühik2]])+M384</f>
        <v>12240</v>
      </c>
      <c r="O384" s="44">
        <f>Table1[[#This Row],[2020. EA ]]*0.008</f>
        <v>97.92</v>
      </c>
      <c r="P384" s="14" t="s">
        <v>1924</v>
      </c>
    </row>
    <row r="385" spans="1:16" hidden="1" x14ac:dyDescent="0.25">
      <c r="A385" s="14" t="str">
        <f t="shared" si="35"/>
        <v>06</v>
      </c>
      <c r="B385" t="s">
        <v>2211</v>
      </c>
      <c r="C385" s="14" t="str">
        <f>VLOOKUP(B385,Table4[],2,FALSE)</f>
        <v>Ulvi, Vinni-Pajusti teeninduspiirkond</v>
      </c>
      <c r="D385" s="39" t="str">
        <f>VLOOKUP(Table1[[#This Row],[Tegevusala]],Table4[[Tegevusala kood]:[Tegevusala alanimetus]],4,FALSE)</f>
        <v>Muu elamu- ja kommunaalmajanduse tegevus</v>
      </c>
      <c r="E385" s="14" t="str">
        <f>VLOOKUP(C385,Table4[[Tegevusala nimetus]:[Tegevusala koondnimetus]],2,FALSE)</f>
        <v>Elamu- ja kommunaalmajandus</v>
      </c>
      <c r="F385" t="s">
        <v>1897</v>
      </c>
      <c r="G385" s="14" t="s">
        <v>1923</v>
      </c>
      <c r="H385" s="14">
        <v>170</v>
      </c>
      <c r="I385" s="14" t="s">
        <v>2164</v>
      </c>
      <c r="J385" s="14">
        <v>6</v>
      </c>
      <c r="K385" s="14">
        <f t="shared" si="34"/>
        <v>1020</v>
      </c>
      <c r="L385" s="14">
        <v>12</v>
      </c>
      <c r="M385" s="14"/>
      <c r="N385" s="44">
        <f>(K385*Table1[[#This Row],[Ühik2]])+M385</f>
        <v>12240</v>
      </c>
      <c r="O385" s="44">
        <f>Table1[[#This Row],[2020. EA ]]*0.338</f>
        <v>4137.12</v>
      </c>
      <c r="P385" s="14"/>
    </row>
    <row r="386" spans="1:16" hidden="1" x14ac:dyDescent="0.25">
      <c r="A386" s="14" t="str">
        <f t="shared" si="35"/>
        <v>06</v>
      </c>
      <c r="B386" t="s">
        <v>2211</v>
      </c>
      <c r="C386" s="14" t="str">
        <f>VLOOKUP(B386,Table4[],2,FALSE)</f>
        <v>Ulvi, Vinni-Pajusti teeninduspiirkond</v>
      </c>
      <c r="D386" s="39" t="str">
        <f>VLOOKUP(Table1[[#This Row],[Tegevusala]],Table4[[Tegevusala kood]:[Tegevusala alanimetus]],4,FALSE)</f>
        <v>Muu elamu- ja kommunaalmajanduse tegevus</v>
      </c>
      <c r="E386" s="14" t="str">
        <f>VLOOKUP(C386,Table4[[Tegevusala nimetus]:[Tegevusala koondnimetus]],2,FALSE)</f>
        <v>Elamu- ja kommunaalmajandus</v>
      </c>
      <c r="F386" t="s">
        <v>1897</v>
      </c>
      <c r="G386" s="14" t="s">
        <v>463</v>
      </c>
      <c r="H386" s="14">
        <v>170</v>
      </c>
      <c r="I386" s="14" t="s">
        <v>2164</v>
      </c>
      <c r="J386" s="14">
        <v>6</v>
      </c>
      <c r="K386" s="14">
        <f t="shared" si="34"/>
        <v>1020</v>
      </c>
      <c r="L386" s="14">
        <v>12</v>
      </c>
      <c r="M386" s="14"/>
      <c r="N386" s="44">
        <f>(K386*Table1[[#This Row],[Ühik2]])+M386</f>
        <v>12240</v>
      </c>
      <c r="O386" s="44">
        <f>Table1[[#This Row],[2020. EA ]]*0.338</f>
        <v>4137.12</v>
      </c>
      <c r="P386" s="14"/>
    </row>
    <row r="387" spans="1:16" hidden="1" x14ac:dyDescent="0.25">
      <c r="A387" s="14" t="str">
        <f t="shared" si="35"/>
        <v>06</v>
      </c>
      <c r="B387" t="s">
        <v>2211</v>
      </c>
      <c r="C387" s="14" t="str">
        <f>VLOOKUP(B387,Table4[],2,FALSE)</f>
        <v>Ulvi, Vinni-Pajusti teeninduspiirkond</v>
      </c>
      <c r="D387" s="39" t="str">
        <f>VLOOKUP(Table1[[#This Row],[Tegevusala]],Table4[[Tegevusala kood]:[Tegevusala alanimetus]],4,FALSE)</f>
        <v>Muu elamu- ja kommunaalmajanduse tegevus</v>
      </c>
      <c r="E387" s="14" t="str">
        <f>VLOOKUP(C387,Table4[[Tegevusala nimetus]:[Tegevusala koondnimetus]],2,FALSE)</f>
        <v>Elamu- ja kommunaalmajandus</v>
      </c>
      <c r="F387" t="s">
        <v>1897</v>
      </c>
      <c r="G387" s="14" t="s">
        <v>916</v>
      </c>
      <c r="H387" s="14">
        <v>90</v>
      </c>
      <c r="I387" s="14" t="s">
        <v>2164</v>
      </c>
      <c r="J387" s="14">
        <v>5</v>
      </c>
      <c r="K387" s="14">
        <f t="shared" si="34"/>
        <v>450</v>
      </c>
      <c r="L387" s="14">
        <v>12</v>
      </c>
      <c r="M387" s="14"/>
      <c r="N387" s="44">
        <f>(K387*Table1[[#This Row],[Ühik2]])+M387</f>
        <v>5400</v>
      </c>
      <c r="O387" s="44">
        <f>Table1[[#This Row],[2020. EA ]]*0.338</f>
        <v>1825.2</v>
      </c>
      <c r="P387" s="14"/>
    </row>
    <row r="388" spans="1:16" hidden="1" x14ac:dyDescent="0.25">
      <c r="A388" s="14" t="str">
        <f>LEFT(B388,2)</f>
        <v>01</v>
      </c>
      <c r="B388" t="s">
        <v>15</v>
      </c>
      <c r="C388" s="14" t="str">
        <f>VLOOKUP(B388,Table4[],2,FALSE)</f>
        <v xml:space="preserve"> Valla- ja linnavalitsus</v>
      </c>
      <c r="D388" s="39" t="str">
        <f>VLOOKUP(Table1[[#This Row],[Tegevusala]],Table4[[Tegevusala kood]:[Tegevusala alanimetus]],4,FALSE)</f>
        <v>Valla- ja linnavalitsus</v>
      </c>
      <c r="E388" s="14" t="str">
        <f>VLOOKUP(C388,Table4[[Tegevusala nimetus]:[Tegevusala koondnimetus]],2,FALSE)</f>
        <v>Üldised valitsussektori teenused</v>
      </c>
      <c r="F388" s="14" t="s">
        <v>1949</v>
      </c>
      <c r="G388" s="14" t="s">
        <v>1985</v>
      </c>
      <c r="H388" s="14">
        <v>1</v>
      </c>
      <c r="I388" s="14"/>
      <c r="J388" s="14"/>
      <c r="K388" s="14">
        <f t="shared" si="34"/>
        <v>0</v>
      </c>
      <c r="L388" s="14">
        <v>1</v>
      </c>
      <c r="M388" s="14">
        <v>2000</v>
      </c>
      <c r="N388" s="44">
        <f>(K388*Table1[[#This Row],[Ühik2]])+M388</f>
        <v>2000</v>
      </c>
      <c r="O388" s="44">
        <f>Table1[[#This Row],[2020. EA ]]*0.338</f>
        <v>676</v>
      </c>
      <c r="P388" s="14"/>
    </row>
    <row r="389" spans="1:16" hidden="1" x14ac:dyDescent="0.25">
      <c r="A389" s="14" t="str">
        <f>LEFT(B389,2)</f>
        <v>01</v>
      </c>
      <c r="B389" t="s">
        <v>15</v>
      </c>
      <c r="C389" s="14" t="str">
        <f>VLOOKUP(B389,Table4[],2,FALSE)</f>
        <v xml:space="preserve"> Valla- ja linnavalitsus</v>
      </c>
      <c r="D389" s="39" t="str">
        <f>VLOOKUP(Table1[[#This Row],[Tegevusala]],Table4[[Tegevusala kood]:[Tegevusala alanimetus]],4,FALSE)</f>
        <v>Valla- ja linnavalitsus</v>
      </c>
      <c r="E389" s="14" t="str">
        <f>VLOOKUP(C389,Table4[[Tegevusala nimetus]:[Tegevusala koondnimetus]],2,FALSE)</f>
        <v>Üldised valitsussektori teenused</v>
      </c>
      <c r="F389" s="14" t="s">
        <v>1949</v>
      </c>
      <c r="G389" s="14" t="s">
        <v>1986</v>
      </c>
      <c r="H389" s="14">
        <v>1</v>
      </c>
      <c r="I389" s="14"/>
      <c r="J389" s="14"/>
      <c r="K389" s="14">
        <f t="shared" si="34"/>
        <v>0</v>
      </c>
      <c r="L389" s="14">
        <v>1</v>
      </c>
      <c r="M389" s="14">
        <v>6000</v>
      </c>
      <c r="N389" s="44">
        <f>(K389*Table1[[#This Row],[Ühik2]])+M389</f>
        <v>6000</v>
      </c>
      <c r="O389" s="44">
        <f>Table1[[#This Row],[2020. EA ]]*0.338</f>
        <v>2028.0000000000002</v>
      </c>
      <c r="P389" s="14"/>
    </row>
    <row r="390" spans="1:16" hidden="1" x14ac:dyDescent="0.25">
      <c r="A390" s="14" t="str">
        <f t="shared" ref="A390:A395" si="36">LEFT(B390,2)</f>
        <v>08</v>
      </c>
      <c r="B390" s="58" t="s">
        <v>301</v>
      </c>
      <c r="C390" s="14" t="str">
        <f>VLOOKUP(B390,Table4[],2,FALSE)</f>
        <v xml:space="preserve"> Pajusti klubi</v>
      </c>
      <c r="D390" s="39" t="str">
        <f>VLOOKUP(Table1[[#This Row],[Tegevusala]],Table4[[Tegevusala kood]:[Tegevusala alanimetus]],4,FALSE)</f>
        <v>Rahvakultuur</v>
      </c>
      <c r="E390" s="14" t="str">
        <f>VLOOKUP(C390,Table4[[Tegevusala nimetus]:[Tegevusala koondnimetus]],2,FALSE)</f>
        <v>Vabaaeg, kultuur ja religioon</v>
      </c>
      <c r="F390" s="14" t="s">
        <v>1823</v>
      </c>
      <c r="G390" s="14" t="s">
        <v>2022</v>
      </c>
      <c r="H390" s="14">
        <v>1</v>
      </c>
      <c r="I390" s="14"/>
      <c r="J390" s="14"/>
      <c r="K390" s="14">
        <f t="shared" ref="K390:K395" si="37">H390*J390</f>
        <v>0</v>
      </c>
      <c r="L390" s="14"/>
      <c r="M390" s="14">
        <f>552*12</f>
        <v>6624</v>
      </c>
      <c r="N390" s="44">
        <f>(K390*Table1[[#This Row],[Ühik2]])+M390</f>
        <v>6624</v>
      </c>
      <c r="O390" s="44">
        <f>Table1[[#This Row],[2020. EA ]]*0.338</f>
        <v>2238.9120000000003</v>
      </c>
      <c r="P390" s="14"/>
    </row>
    <row r="391" spans="1:16" hidden="1" x14ac:dyDescent="0.25">
      <c r="A391" s="14" t="str">
        <f t="shared" si="36"/>
        <v>08</v>
      </c>
      <c r="B391" s="36" t="s">
        <v>2051</v>
      </c>
      <c r="C391" s="14" t="str">
        <f>VLOOKUP(B391,Table4[],2,FALSE)</f>
        <v>Vinni Vallamuuseum</v>
      </c>
      <c r="D391" s="39" t="str">
        <f>VLOOKUP(Table1[[#This Row],[Tegevusala]],Table4[[Tegevusala kood]:[Tegevusala alanimetus]],4,FALSE)</f>
        <v>Muuseumid</v>
      </c>
      <c r="E391" s="14" t="str">
        <f>VLOOKUP(C391,Table4[[Tegevusala nimetus]:[Tegevusala koondnimetus]],2,FALSE)</f>
        <v>Vabaaeg, kultuur ja religioon</v>
      </c>
      <c r="F391" s="14" t="s">
        <v>2056</v>
      </c>
      <c r="G391" s="14" t="s">
        <v>2064</v>
      </c>
      <c r="H391" s="14">
        <v>6</v>
      </c>
      <c r="I391" s="14" t="s">
        <v>2005</v>
      </c>
      <c r="J391" s="14">
        <v>747.38400000000001</v>
      </c>
      <c r="K391" s="14">
        <f t="shared" si="37"/>
        <v>4484.3040000000001</v>
      </c>
      <c r="L391" s="14">
        <v>3</v>
      </c>
      <c r="M391" s="14"/>
      <c r="N391" s="44">
        <f>(K391*Table1[[#This Row],[Ühik2]])+M391</f>
        <v>13452.912</v>
      </c>
      <c r="O391" s="44">
        <f>Table1[[#This Row],[2020. EA ]]*0.338</f>
        <v>4547.0842560000001</v>
      </c>
      <c r="P391" s="14"/>
    </row>
    <row r="392" spans="1:16" hidden="1" x14ac:dyDescent="0.25">
      <c r="A392" s="37" t="str">
        <f t="shared" si="36"/>
        <v>08</v>
      </c>
      <c r="B392" s="51" t="s">
        <v>2051</v>
      </c>
      <c r="C392" s="37" t="str">
        <f>VLOOKUP(B392,Table4[],2,FALSE)</f>
        <v>Vinni Vallamuuseum</v>
      </c>
      <c r="D392" s="48" t="str">
        <f>VLOOKUP(Table1[[#This Row],[Tegevusala]],Table4[[Tegevusala kood]:[Tegevusala alanimetus]],4,FALSE)</f>
        <v>Muuseumid</v>
      </c>
      <c r="E392" s="37" t="str">
        <f>VLOOKUP(C392,Table4[[Tegevusala nimetus]:[Tegevusala koondnimetus]],2,FALSE)</f>
        <v>Vabaaeg, kultuur ja religioon</v>
      </c>
      <c r="F392" s="37" t="s">
        <v>2056</v>
      </c>
      <c r="G392" s="37" t="s">
        <v>505</v>
      </c>
      <c r="H392" s="37">
        <v>1</v>
      </c>
      <c r="I392" s="37" t="s">
        <v>2005</v>
      </c>
      <c r="J392" s="37">
        <v>1560</v>
      </c>
      <c r="K392" s="37">
        <f t="shared" si="37"/>
        <v>1560</v>
      </c>
      <c r="L392" s="37">
        <v>12</v>
      </c>
      <c r="M392" s="37"/>
      <c r="N392" s="46">
        <f>(K392*Table1[[#This Row],[Ühik2]])+M392</f>
        <v>18720</v>
      </c>
      <c r="O392" s="46">
        <f>Table1[[#This Row],[2020. EA ]]*0.338</f>
        <v>6327.3600000000006</v>
      </c>
      <c r="P392" s="37"/>
    </row>
    <row r="393" spans="1:16" hidden="1" x14ac:dyDescent="0.25">
      <c r="A393" s="14" t="str">
        <f t="shared" si="36"/>
        <v>03</v>
      </c>
      <c r="B393" s="42" t="s">
        <v>27</v>
      </c>
      <c r="C393" s="14" t="str">
        <f>VLOOKUP(B393,Table4[],2,FALSE)</f>
        <v xml:space="preserve"> Päästeteenused</v>
      </c>
      <c r="D393" s="39" t="str">
        <f>VLOOKUP(Table1[[#This Row],[Tegevusala]],Table4[[Tegevusala kood]:[Tegevusala alanimetus]],4,FALSE)</f>
        <v>Päästeteenused</v>
      </c>
      <c r="E393" s="14" t="str">
        <f>VLOOKUP(C393,Table4[[Tegevusala nimetus]:[Tegevusala koondnimetus]],2,FALSE)</f>
        <v>Avalik kord ja julgeolek</v>
      </c>
      <c r="F393" s="14" t="s">
        <v>752</v>
      </c>
      <c r="G393" s="14" t="s">
        <v>2118</v>
      </c>
      <c r="H393" s="14">
        <v>7</v>
      </c>
      <c r="I393" s="14" t="s">
        <v>2005</v>
      </c>
      <c r="J393" s="14">
        <v>30</v>
      </c>
      <c r="K393" s="14">
        <f t="shared" si="37"/>
        <v>210</v>
      </c>
      <c r="L393" s="14">
        <v>4</v>
      </c>
      <c r="M393" s="14"/>
      <c r="N393" s="44">
        <f>(K393*Table1[[#This Row],[Ühik2]])+M393</f>
        <v>840</v>
      </c>
      <c r="O393" s="44">
        <f>Table1[[#This Row],[2020. EA ]]*0.338</f>
        <v>283.92</v>
      </c>
      <c r="P393" s="14"/>
    </row>
    <row r="394" spans="1:16" x14ac:dyDescent="0.25">
      <c r="A394" s="14" t="str">
        <f t="shared" si="36"/>
        <v>09</v>
      </c>
      <c r="B394" s="36" t="s">
        <v>51</v>
      </c>
      <c r="C394" s="14" t="str">
        <f>VLOOKUP(B394,Table4[],2,FALSE)</f>
        <v xml:space="preserve"> Noorte huviharidus ja huvitegevus</v>
      </c>
      <c r="D394" s="39" t="str">
        <f>VLOOKUP(Table1[[#This Row],[Tegevusala]],Table4[[Tegevusala kood]:[Tegevusala alanimetus]],4,FALSE)</f>
        <v>Noorte huviharidus ja huvitegevus</v>
      </c>
      <c r="E394" s="14" t="str">
        <f>VLOOKUP(C394,Table4[[Tegevusala nimetus]:[Tegevusala koondnimetus]],2,FALSE)</f>
        <v>Haridus</v>
      </c>
      <c r="F394" s="14" t="s">
        <v>752</v>
      </c>
      <c r="G394" s="14" t="s">
        <v>2141</v>
      </c>
      <c r="H394" s="14">
        <v>1</v>
      </c>
      <c r="I394" s="14" t="s">
        <v>241</v>
      </c>
      <c r="J394" s="14">
        <v>1440</v>
      </c>
      <c r="K394" s="14">
        <f t="shared" si="37"/>
        <v>1440</v>
      </c>
      <c r="L394" s="14">
        <v>1</v>
      </c>
      <c r="M394" s="14"/>
      <c r="N394" s="44">
        <f>(K394*Table1[[#This Row],[Ühik2]])+M394</f>
        <v>1440</v>
      </c>
      <c r="O394" s="44">
        <f>Table1[[#This Row],[2020. EA ]]*0.338</f>
        <v>486.72</v>
      </c>
      <c r="P394" s="14" t="s">
        <v>2136</v>
      </c>
    </row>
    <row r="395" spans="1:16" x14ac:dyDescent="0.25">
      <c r="A395" s="14" t="str">
        <f t="shared" si="36"/>
        <v>09</v>
      </c>
      <c r="B395" s="36" t="s">
        <v>51</v>
      </c>
      <c r="C395" s="14" t="str">
        <f>VLOOKUP(B395,Table4[],2,FALSE)</f>
        <v xml:space="preserve"> Noorte huviharidus ja huvitegevus</v>
      </c>
      <c r="D395" s="39" t="str">
        <f>VLOOKUP(Table1[[#This Row],[Tegevusala]],Table4[[Tegevusala kood]:[Tegevusala alanimetus]],4,FALSE)</f>
        <v>Noorte huviharidus ja huvitegevus</v>
      </c>
      <c r="E395" s="14" t="str">
        <f>VLOOKUP(C395,Table4[[Tegevusala nimetus]:[Tegevusala koondnimetus]],2,FALSE)</f>
        <v>Haridus</v>
      </c>
      <c r="F395" s="14" t="s">
        <v>752</v>
      </c>
      <c r="G395" s="14" t="s">
        <v>2141</v>
      </c>
      <c r="H395" s="14">
        <v>1</v>
      </c>
      <c r="I395" s="14" t="s">
        <v>241</v>
      </c>
      <c r="J395" s="14">
        <v>1440</v>
      </c>
      <c r="K395" s="14">
        <f t="shared" si="37"/>
        <v>1440</v>
      </c>
      <c r="L395" s="14">
        <v>1</v>
      </c>
      <c r="M395" s="14"/>
      <c r="N395" s="44">
        <f>(K395*Table1[[#This Row],[Ühik2]])+M395</f>
        <v>1440</v>
      </c>
      <c r="O395" s="44">
        <f>Table1[[#This Row],[2020. EA ]]*0.338</f>
        <v>486.72</v>
      </c>
      <c r="P395" s="14" t="s">
        <v>2142</v>
      </c>
    </row>
    <row r="396" spans="1:16" x14ac:dyDescent="0.25">
      <c r="A396" s="37" t="str">
        <f t="shared" ref="A396:A401" si="38">LEFT(B396,2)</f>
        <v>09</v>
      </c>
      <c r="B396" s="51" t="s">
        <v>247</v>
      </c>
      <c r="C396" s="37" t="str">
        <f>VLOOKUP(B396,Table4[],2,FALSE)</f>
        <v xml:space="preserve"> Roela kool</v>
      </c>
      <c r="D396" s="48" t="str">
        <f>VLOOKUP(Table1[[#This Row],[Tegevusala]],Table4[[Tegevusala kood]:[Tegevusala alanimetus]],4,FALSE)</f>
        <v>Põhihariduse otsekulud</v>
      </c>
      <c r="E396" s="37" t="str">
        <f>VLOOKUP(C396,Table4[[Tegevusala nimetus]:[Tegevusala koondnimetus]],2,FALSE)</f>
        <v>Haridus</v>
      </c>
      <c r="F396" s="37" t="s">
        <v>326</v>
      </c>
      <c r="G396" s="37" t="s">
        <v>2170</v>
      </c>
      <c r="H396" s="37">
        <v>1</v>
      </c>
      <c r="I396" s="37" t="s">
        <v>241</v>
      </c>
      <c r="J396" s="37">
        <v>5399.85</v>
      </c>
      <c r="K396" s="37">
        <f t="shared" ref="K396:K401" si="39">H396*J396</f>
        <v>5399.85</v>
      </c>
      <c r="L396" s="37">
        <v>1</v>
      </c>
      <c r="M396" s="37"/>
      <c r="N396" s="46">
        <f>(K396*Table1[[#This Row],[Ühik2]])+M396</f>
        <v>5399.85</v>
      </c>
      <c r="O396" s="46">
        <f>Table1[[#This Row],[2020. EA ]]*0.338</f>
        <v>1825.1493000000003</v>
      </c>
      <c r="P396" s="37"/>
    </row>
    <row r="397" spans="1:16" x14ac:dyDescent="0.25">
      <c r="A397" s="37" t="str">
        <f t="shared" si="38"/>
        <v>09</v>
      </c>
      <c r="B397" s="51" t="s">
        <v>247</v>
      </c>
      <c r="C397" s="37" t="str">
        <f>VLOOKUP(B397,Table4[],2,FALSE)</f>
        <v xml:space="preserve"> Roela kool</v>
      </c>
      <c r="D397" s="48" t="str">
        <f>VLOOKUP(Table1[[#This Row],[Tegevusala]],Table4[[Tegevusala kood]:[Tegevusala alanimetus]],4,FALSE)</f>
        <v>Põhihariduse otsekulud</v>
      </c>
      <c r="E397" s="37" t="str">
        <f>VLOOKUP(C397,Table4[[Tegevusala nimetus]:[Tegevusala koondnimetus]],2,FALSE)</f>
        <v>Haridus</v>
      </c>
      <c r="F397" s="37" t="s">
        <v>326</v>
      </c>
      <c r="G397" s="37" t="s">
        <v>2145</v>
      </c>
      <c r="H397" s="37">
        <v>1</v>
      </c>
      <c r="I397" s="37"/>
      <c r="J397" s="37">
        <v>1250</v>
      </c>
      <c r="K397" s="37">
        <f t="shared" si="39"/>
        <v>1250</v>
      </c>
      <c r="L397" s="37">
        <v>12</v>
      </c>
      <c r="M397" s="37"/>
      <c r="N397" s="46">
        <f>(K397*Table1[[#This Row],[Ühik2]])+M397</f>
        <v>15000</v>
      </c>
      <c r="O397" s="46">
        <f>Table1[[#This Row],[2020. EA ]]*0.338</f>
        <v>5070</v>
      </c>
      <c r="P397" s="37"/>
    </row>
    <row r="398" spans="1:16" x14ac:dyDescent="0.25">
      <c r="A398" s="14" t="str">
        <f t="shared" si="38"/>
        <v>09</v>
      </c>
      <c r="B398" s="42" t="s">
        <v>327</v>
      </c>
      <c r="C398" s="14" t="str">
        <f>VLOOKUP(B398,Table4[],2,FALSE)</f>
        <v xml:space="preserve"> Tudu kool</v>
      </c>
      <c r="D398" s="39" t="str">
        <f>VLOOKUP(Table1[[#This Row],[Tegevusala]],Table4[[Tegevusala kood]:[Tegevusala alanimetus]],4,FALSE)</f>
        <v>Põhihariduse otsekulud</v>
      </c>
      <c r="E398" s="14" t="str">
        <f>VLOOKUP(C398,Table4[[Tegevusala nimetus]:[Tegevusala koondnimetus]],2,FALSE)</f>
        <v>Haridus</v>
      </c>
      <c r="F398" s="38" t="s">
        <v>1704</v>
      </c>
      <c r="G398" s="14" t="s">
        <v>2170</v>
      </c>
      <c r="H398" s="14">
        <v>1</v>
      </c>
      <c r="I398" s="14" t="s">
        <v>241</v>
      </c>
      <c r="J398" s="14">
        <v>5399.85</v>
      </c>
      <c r="K398" s="14">
        <f t="shared" si="39"/>
        <v>5399.85</v>
      </c>
      <c r="L398" s="14">
        <v>1</v>
      </c>
      <c r="M398" s="14"/>
      <c r="N398" s="44">
        <f>(K398*Table1[[#This Row],[Ühik2]])+M398</f>
        <v>5399.85</v>
      </c>
      <c r="O398" s="44">
        <f>Table1[[#This Row],[2020. EA ]]*0.338</f>
        <v>1825.1493000000003</v>
      </c>
      <c r="P398" s="14"/>
    </row>
    <row r="399" spans="1:16" x14ac:dyDescent="0.25">
      <c r="A399" s="14" t="str">
        <f t="shared" si="38"/>
        <v>09</v>
      </c>
      <c r="B399" t="s">
        <v>329</v>
      </c>
      <c r="C399" s="14" t="str">
        <f>VLOOKUP(B399,Table4[],2,FALSE)</f>
        <v xml:space="preserve"> Vinni-Pajusti Gümnaasium</v>
      </c>
      <c r="D399" s="39" t="str">
        <f>VLOOKUP(Table1[[#This Row],[Tegevusala]],Table4[[Tegevusala kood]:[Tegevusala alanimetus]],4,FALSE)</f>
        <v>Põhihariduse otsekulud</v>
      </c>
      <c r="E399" s="14" t="str">
        <f>VLOOKUP(C399,Table4[[Tegevusala nimetus]:[Tegevusala koondnimetus]],2,FALSE)</f>
        <v>Haridus</v>
      </c>
      <c r="F399" s="14" t="s">
        <v>1428</v>
      </c>
      <c r="G399" s="14" t="s">
        <v>2170</v>
      </c>
      <c r="H399" s="14">
        <v>1</v>
      </c>
      <c r="I399" s="14" t="s">
        <v>241</v>
      </c>
      <c r="J399" s="14">
        <v>50458.146000000001</v>
      </c>
      <c r="K399" s="14">
        <f t="shared" si="39"/>
        <v>50458.146000000001</v>
      </c>
      <c r="L399" s="14">
        <v>1</v>
      </c>
      <c r="M399" s="14"/>
      <c r="N399" s="44">
        <f>(K399*Table1[[#This Row],[Ühik2]])+M399</f>
        <v>50458.146000000001</v>
      </c>
      <c r="O399" s="44">
        <f>Table1[[#This Row],[2020. EA ]]*0.338</f>
        <v>17054.853348000001</v>
      </c>
      <c r="P399" s="14"/>
    </row>
    <row r="400" spans="1:16" hidden="1" x14ac:dyDescent="0.25">
      <c r="A400" s="14" t="str">
        <f t="shared" si="38"/>
        <v>06</v>
      </c>
      <c r="B400" s="75" t="s">
        <v>254</v>
      </c>
      <c r="C400" s="14" t="str">
        <f>VLOOKUP(B400,Table4[],2,FALSE)</f>
        <v>Laekvere teeninduspiirkond</v>
      </c>
      <c r="D400" s="39" t="str">
        <f>VLOOKUP(Table1[[#This Row],[Tegevusala]],Table4[[Tegevusala kood]:[Tegevusala alanimetus]],4,FALSE)</f>
        <v>Muu elamu- ja kommunaalmajanduse tegevus</v>
      </c>
      <c r="E400" s="14" t="str">
        <f>VLOOKUP(C400,Table4[[Tegevusala nimetus]:[Tegevusala koondnimetus]],2,FALSE)</f>
        <v>Elamu- ja kommunaalmajandus</v>
      </c>
      <c r="F400" s="14" t="s">
        <v>831</v>
      </c>
      <c r="G400" s="14" t="s">
        <v>2148</v>
      </c>
      <c r="H400" s="14">
        <v>1</v>
      </c>
      <c r="I400" s="14" t="s">
        <v>2005</v>
      </c>
      <c r="J400" s="14">
        <v>250</v>
      </c>
      <c r="K400" s="14">
        <f t="shared" si="39"/>
        <v>250</v>
      </c>
      <c r="L400" s="14">
        <v>12</v>
      </c>
      <c r="M400" s="14"/>
      <c r="N400" s="44">
        <f>(K400*Table1[[#This Row],[Ühik2]])+M400</f>
        <v>3000</v>
      </c>
      <c r="O400" s="44">
        <f>Table1[[#This Row],[2020. EA ]]*0.338</f>
        <v>1014.0000000000001</v>
      </c>
      <c r="P400" s="14"/>
    </row>
    <row r="401" spans="1:16" hidden="1" x14ac:dyDescent="0.25">
      <c r="A401" s="14" t="str">
        <f t="shared" si="38"/>
        <v>08</v>
      </c>
      <c r="B401" s="75" t="s">
        <v>306</v>
      </c>
      <c r="C401" s="14" t="str">
        <f>VLOOKUP(B401,Table4[],2,FALSE)</f>
        <v>Laekvere Rahvamaja</v>
      </c>
      <c r="D401" s="39" t="str">
        <f>VLOOKUP(Table1[[#This Row],[Tegevusala]],Table4[[Tegevusala kood]:[Tegevusala alanimetus]],4,FALSE)</f>
        <v>Rahvakultuur</v>
      </c>
      <c r="E401" s="14" t="str">
        <f>VLOOKUP(C401,Table4[[Tegevusala nimetus]:[Tegevusala koondnimetus]],2,FALSE)</f>
        <v>Vabaaeg, kultuur ja religioon</v>
      </c>
      <c r="F401" s="38" t="s">
        <v>1090</v>
      </c>
      <c r="G401" s="14" t="s">
        <v>2151</v>
      </c>
      <c r="H401" s="14">
        <v>1</v>
      </c>
      <c r="I401" s="14" t="s">
        <v>241</v>
      </c>
      <c r="J401" s="14">
        <v>825.11</v>
      </c>
      <c r="K401" s="14">
        <f t="shared" si="39"/>
        <v>825.11</v>
      </c>
      <c r="L401" s="14">
        <v>1</v>
      </c>
      <c r="M401" s="14"/>
      <c r="N401" s="44">
        <f>(K401*Table1[[#This Row],[Ühik2]])+M401</f>
        <v>825.11</v>
      </c>
      <c r="O401" s="44">
        <f>Table1[[#This Row],[2020. EA ]]*0.338</f>
        <v>278.88718</v>
      </c>
      <c r="P401" s="14"/>
    </row>
    <row r="402" spans="1:16" x14ac:dyDescent="0.25">
      <c r="A402" s="14" t="str">
        <f t="shared" ref="A402:A408" si="40">LEFT(B402,2)</f>
        <v>09</v>
      </c>
      <c r="B402" s="100" t="s">
        <v>329</v>
      </c>
      <c r="C402" s="14" t="str">
        <f>VLOOKUP(B402,Table4[],2,FALSE)</f>
        <v xml:space="preserve"> Vinni-Pajusti Gümnaasium</v>
      </c>
      <c r="D402" s="39" t="str">
        <f>VLOOKUP(Table1[[#This Row],[Tegevusala]],Table4[[Tegevusala kood]:[Tegevusala alanimetus]],4,FALSE)</f>
        <v>Põhihariduse otsekulud</v>
      </c>
      <c r="E402" s="14" t="str">
        <f>VLOOKUP(C402,Table4[[Tegevusala nimetus]:[Tegevusala koondnimetus]],2,FALSE)</f>
        <v>Haridus</v>
      </c>
      <c r="F402" s="14" t="s">
        <v>1428</v>
      </c>
      <c r="G402" s="14" t="s">
        <v>2173</v>
      </c>
      <c r="H402" s="14">
        <v>1</v>
      </c>
      <c r="I402" s="14" t="s">
        <v>241</v>
      </c>
      <c r="J402" s="14">
        <v>470852.02</v>
      </c>
      <c r="K402" s="14">
        <f t="shared" ref="K402:K408" si="41">H402*J402</f>
        <v>470852.02</v>
      </c>
      <c r="L402" s="14">
        <v>1</v>
      </c>
      <c r="M402" s="14"/>
      <c r="N402" s="44">
        <f>(K402*Table1[[#This Row],[Ühik2]])+M402</f>
        <v>470852.02</v>
      </c>
      <c r="O402" s="44">
        <f>Table1[[#This Row],[2020. EA ]]*0.338</f>
        <v>159147.98276000001</v>
      </c>
      <c r="P402" s="14"/>
    </row>
    <row r="403" spans="1:16" x14ac:dyDescent="0.25">
      <c r="A403" s="14" t="str">
        <f t="shared" si="40"/>
        <v>09</v>
      </c>
      <c r="B403" s="100" t="s">
        <v>334</v>
      </c>
      <c r="C403" s="14" t="str">
        <f>VLOOKUP(B403,Table4[],2,FALSE)</f>
        <v xml:space="preserve"> Vinni-Pajusti Gümnaasium</v>
      </c>
      <c r="D403" s="39" t="str">
        <f>VLOOKUP(Table1[[#This Row],[Tegevusala]],Table4[[Tegevusala kood]:[Tegevusala alanimetus]],4,FALSE)</f>
        <v>Üldkeskhariduse otsekulud</v>
      </c>
      <c r="E403" s="14" t="str">
        <f>VLOOKUP(C403,Table4[[Tegevusala nimetus]:[Tegevusala koondnimetus]],2,FALSE)</f>
        <v>Haridus</v>
      </c>
      <c r="F403" s="14" t="s">
        <v>1428</v>
      </c>
      <c r="G403" s="14" t="s">
        <v>2174</v>
      </c>
      <c r="H403" s="14">
        <v>1</v>
      </c>
      <c r="I403" s="14" t="s">
        <v>241</v>
      </c>
      <c r="J403" s="14">
        <v>82511.210999999996</v>
      </c>
      <c r="K403" s="14">
        <f t="shared" si="41"/>
        <v>82511.210999999996</v>
      </c>
      <c r="L403" s="14">
        <v>1</v>
      </c>
      <c r="M403" s="14"/>
      <c r="N403" s="44">
        <f>(K403*Table1[[#This Row],[Ühik2]])+M403</f>
        <v>82511.210999999996</v>
      </c>
      <c r="O403" s="44">
        <f>Table1[[#This Row],[2020. EA ]]*0.338</f>
        <v>27888.789317999999</v>
      </c>
      <c r="P403" s="14"/>
    </row>
    <row r="404" spans="1:16" x14ac:dyDescent="0.25">
      <c r="A404" s="14" t="str">
        <f t="shared" si="40"/>
        <v>09</v>
      </c>
      <c r="B404" s="100" t="s">
        <v>247</v>
      </c>
      <c r="C404" s="14" t="str">
        <f>VLOOKUP(B404,Table4[],2,FALSE)</f>
        <v xml:space="preserve"> Roela kool</v>
      </c>
      <c r="D404" s="39" t="str">
        <f>VLOOKUP(Table1[[#This Row],[Tegevusala]],Table4[[Tegevusala kood]:[Tegevusala alanimetus]],4,FALSE)</f>
        <v>Põhihariduse otsekulud</v>
      </c>
      <c r="E404" s="14" t="str">
        <f>VLOOKUP(C404,Table4[[Tegevusala nimetus]:[Tegevusala koondnimetus]],2,FALSE)</f>
        <v>Haridus</v>
      </c>
      <c r="F404" s="14" t="s">
        <v>326</v>
      </c>
      <c r="G404" s="14" t="s">
        <v>2173</v>
      </c>
      <c r="H404" s="14">
        <v>1</v>
      </c>
      <c r="I404" s="14" t="s">
        <v>241</v>
      </c>
      <c r="J404" s="14">
        <v>171898.356</v>
      </c>
      <c r="K404" s="14">
        <f t="shared" si="41"/>
        <v>171898.356</v>
      </c>
      <c r="L404" s="14">
        <v>1</v>
      </c>
      <c r="M404" s="14"/>
      <c r="N404" s="44">
        <f>(K404*Table1[[#This Row],[Ühik2]])+M404</f>
        <v>171898.356</v>
      </c>
      <c r="O404" s="44">
        <f>Table1[[#This Row],[2020. EA ]]*0.338</f>
        <v>58101.644328000002</v>
      </c>
      <c r="P404" s="14"/>
    </row>
    <row r="405" spans="1:16" x14ac:dyDescent="0.25">
      <c r="A405" s="14" t="str">
        <f t="shared" si="40"/>
        <v>09</v>
      </c>
      <c r="B405" s="42" t="s">
        <v>327</v>
      </c>
      <c r="C405" s="14" t="str">
        <f>VLOOKUP(B405,Table4[],2,FALSE)</f>
        <v xml:space="preserve"> Tudu kool</v>
      </c>
      <c r="D405" s="39" t="str">
        <f>VLOOKUP(Table1[[#This Row],[Tegevusala]],Table4[[Tegevusala kood]:[Tegevusala alanimetus]],4,FALSE)</f>
        <v>Põhihariduse otsekulud</v>
      </c>
      <c r="E405" s="14" t="str">
        <f>VLOOKUP(C405,Table4[[Tegevusala nimetus]:[Tegevusala koondnimetus]],2,FALSE)</f>
        <v>Haridus</v>
      </c>
      <c r="F405" s="38" t="s">
        <v>1704</v>
      </c>
      <c r="G405" s="14" t="s">
        <v>2176</v>
      </c>
      <c r="H405" s="14">
        <v>1</v>
      </c>
      <c r="I405" s="14" t="s">
        <v>241</v>
      </c>
      <c r="J405" s="14">
        <v>52316.89</v>
      </c>
      <c r="K405" s="14">
        <f t="shared" si="41"/>
        <v>52316.89</v>
      </c>
      <c r="L405" s="14">
        <v>1</v>
      </c>
      <c r="M405" s="14"/>
      <c r="N405" s="44">
        <f>(K405*Table1[[#This Row],[Ühik2]])+M405</f>
        <v>52316.89</v>
      </c>
      <c r="O405" s="44">
        <f>Table1[[#This Row],[2020. EA ]]*0.338</f>
        <v>17683.108820000001</v>
      </c>
      <c r="P405" s="14"/>
    </row>
    <row r="406" spans="1:16" x14ac:dyDescent="0.25">
      <c r="A406" s="14" t="str">
        <f t="shared" si="40"/>
        <v>09</v>
      </c>
      <c r="B406" s="100" t="s">
        <v>2226</v>
      </c>
      <c r="C406" s="14" t="str">
        <f>VLOOKUP(B406,Table4[],2,FALSE)</f>
        <v>Muuga-Laekvere Kool</v>
      </c>
      <c r="D406" s="39" t="str">
        <f>VLOOKUP(Table1[[#This Row],[Tegevusala]],Table4[[Tegevusala kood]:[Tegevusala alanimetus]],4,FALSE)</f>
        <v>Põhihariduse otsekulud</v>
      </c>
      <c r="E406" s="14" t="str">
        <f>VLOOKUP(C406,Table4[[Tegevusala nimetus]:[Tegevusala koondnimetus]],2,FALSE)</f>
        <v>Haridus</v>
      </c>
      <c r="F406" s="14" t="s">
        <v>1848</v>
      </c>
      <c r="G406" s="14" t="s">
        <v>2170</v>
      </c>
      <c r="H406" s="14">
        <v>1</v>
      </c>
      <c r="I406" s="14" t="s">
        <v>241</v>
      </c>
      <c r="J406" s="14">
        <v>5399.85</v>
      </c>
      <c r="K406" s="14">
        <f t="shared" si="41"/>
        <v>5399.85</v>
      </c>
      <c r="L406" s="14">
        <v>1</v>
      </c>
      <c r="M406" s="14"/>
      <c r="N406" s="44">
        <f>(K406*Table1[[#This Row],[Ühik2]])+M406</f>
        <v>5399.85</v>
      </c>
      <c r="O406" s="44">
        <f>Table1[[#This Row],[2020. EA ]]*0.338</f>
        <v>1825.1493000000003</v>
      </c>
      <c r="P406" s="14"/>
    </row>
    <row r="407" spans="1:16" x14ac:dyDescent="0.25">
      <c r="A407" s="14" t="str">
        <f t="shared" si="40"/>
        <v>09</v>
      </c>
      <c r="B407" t="s">
        <v>2226</v>
      </c>
      <c r="C407" s="14" t="str">
        <f>VLOOKUP(B407,Table4[],2,FALSE)</f>
        <v>Muuga-Laekvere Kool</v>
      </c>
      <c r="D407" s="39" t="str">
        <f>VLOOKUP(Table1[[#This Row],[Tegevusala]],Table4[[Tegevusala kood]:[Tegevusala alanimetus]],4,FALSE)</f>
        <v>Põhihariduse otsekulud</v>
      </c>
      <c r="E407" s="14" t="str">
        <f>VLOOKUP(C407,Table4[[Tegevusala nimetus]:[Tegevusala koondnimetus]],2,FALSE)</f>
        <v>Haridus</v>
      </c>
      <c r="F407" s="14" t="s">
        <v>1848</v>
      </c>
      <c r="G407" s="14" t="s">
        <v>2176</v>
      </c>
      <c r="H407" s="14">
        <v>1</v>
      </c>
      <c r="I407" s="14" t="s">
        <v>241</v>
      </c>
      <c r="J407" s="14">
        <v>313901.34499999997</v>
      </c>
      <c r="K407" s="14">
        <f t="shared" si="41"/>
        <v>313901.34499999997</v>
      </c>
      <c r="L407" s="14">
        <v>1</v>
      </c>
      <c r="M407" s="14"/>
      <c r="N407" s="44">
        <f>(K407*Table1[[#This Row],[Ühik2]])+M407</f>
        <v>313901.34499999997</v>
      </c>
      <c r="O407" s="44">
        <f>Table1[[#This Row],[2020. EA ]]*0.338</f>
        <v>106098.65461</v>
      </c>
      <c r="P407" s="14"/>
    </row>
    <row r="408" spans="1:16" x14ac:dyDescent="0.25">
      <c r="A408" s="14" t="str">
        <f t="shared" si="40"/>
        <v>09</v>
      </c>
      <c r="B408" s="36" t="s">
        <v>1556</v>
      </c>
      <c r="C408" s="14" t="str">
        <f>VLOOKUP(B408,Table4[],2,FALSE)</f>
        <v xml:space="preserve"> Halduse tagatavad kulud</v>
      </c>
      <c r="D408" s="39" t="str">
        <f>VLOOKUP(Table1[[#This Row],[Tegevusala]],Table4[[Tegevusala kood]:[Tegevusala alanimetus]],4,FALSE)</f>
        <v>Muu haridus, sh hariduse haldus</v>
      </c>
      <c r="E408" s="14" t="str">
        <f>VLOOKUP(C408,Table4[[Tegevusala nimetus]:[Tegevusala koondnimetus]],2,FALSE)</f>
        <v>Haridus</v>
      </c>
      <c r="F408" s="14" t="s">
        <v>1519</v>
      </c>
      <c r="G408" s="14" t="s">
        <v>2177</v>
      </c>
      <c r="H408" s="14">
        <v>1</v>
      </c>
      <c r="I408" s="14" t="s">
        <v>241</v>
      </c>
      <c r="J408" s="14">
        <v>58554.559999999998</v>
      </c>
      <c r="K408" s="14">
        <f t="shared" si="41"/>
        <v>58554.559999999998</v>
      </c>
      <c r="L408" s="14">
        <v>1</v>
      </c>
      <c r="M408" s="14"/>
      <c r="N408" s="44">
        <f>(K408*Table1[[#This Row],[Ühik2]])+M408</f>
        <v>58554.559999999998</v>
      </c>
      <c r="O408" s="44">
        <f>Table1[[#This Row],[2020. EA ]]*0.338</f>
        <v>19791.441279999999</v>
      </c>
      <c r="P408" s="14"/>
    </row>
    <row r="409" spans="1:16" hidden="1" x14ac:dyDescent="0.25">
      <c r="A409" s="14" t="str">
        <f t="shared" ref="A409:A414" si="42">LEFT(B409,2)</f>
        <v>08</v>
      </c>
      <c r="B409" s="115" t="s">
        <v>295</v>
      </c>
      <c r="C409" s="14" t="str">
        <f>VLOOKUP(B409,Table4[],2,FALSE)</f>
        <v>Ulvi Raamatukogu</v>
      </c>
      <c r="D409" s="39" t="str">
        <f>VLOOKUP(Table1[[#This Row],[Tegevusala]],Table4[[Tegevusala kood]:[Tegevusala alanimetus]],4,FALSE)</f>
        <v>Raamatukogud</v>
      </c>
      <c r="E409" s="14" t="str">
        <f>VLOOKUP(C409,Table4[[Tegevusala nimetus]:[Tegevusala koondnimetus]],2,FALSE)</f>
        <v>Vabaaeg, kultuur ja religioon</v>
      </c>
      <c r="F409" s="38" t="s">
        <v>1650</v>
      </c>
      <c r="G409" s="14" t="s">
        <v>2237</v>
      </c>
      <c r="H409" s="14">
        <v>1</v>
      </c>
      <c r="I409" s="14"/>
      <c r="J409" s="14">
        <v>234</v>
      </c>
      <c r="K409" s="14">
        <f t="shared" ref="K409:K414" si="43">H409*J409</f>
        <v>234</v>
      </c>
      <c r="L409" s="14">
        <v>12</v>
      </c>
      <c r="M409" s="14"/>
      <c r="N409" s="44">
        <f>(K409*Table1[[#This Row],[Ühik2]])+M409</f>
        <v>2808</v>
      </c>
      <c r="O409" s="44">
        <f>Table1[[#This Row],[2020. EA ]]*0.338</f>
        <v>949.10400000000004</v>
      </c>
      <c r="P409" s="14"/>
    </row>
    <row r="410" spans="1:16" x14ac:dyDescent="0.25">
      <c r="A410" s="14" t="str">
        <f t="shared" si="42"/>
        <v>09</v>
      </c>
      <c r="B410" s="116" t="s">
        <v>53</v>
      </c>
      <c r="C410" s="14" t="str">
        <f>VLOOKUP(B410,Table4[],2,FALSE)</f>
        <v xml:space="preserve"> Koolitransport</v>
      </c>
      <c r="D410" s="39" t="str">
        <f>VLOOKUP(Table1[[#This Row],[Tegevusala]],Table4[[Tegevusala kood]:[Tegevusala alanimetus]],4,FALSE)</f>
        <v>Koolitransport</v>
      </c>
      <c r="E410" s="14" t="str">
        <f>VLOOKUP(C410,Table4[[Tegevusala nimetus]:[Tegevusala koondnimetus]],2,FALSE)</f>
        <v>Haridus</v>
      </c>
      <c r="F410" t="s">
        <v>786</v>
      </c>
      <c r="G410" s="14" t="s">
        <v>2238</v>
      </c>
      <c r="H410" s="14">
        <v>1</v>
      </c>
      <c r="I410" s="14"/>
      <c r="J410" s="14">
        <v>300</v>
      </c>
      <c r="K410" s="14">
        <f t="shared" si="43"/>
        <v>300</v>
      </c>
      <c r="L410" s="14">
        <v>4</v>
      </c>
      <c r="M410" s="14"/>
      <c r="N410" s="44">
        <f>(K410*Table1[[#This Row],[Ühik2]])+M410</f>
        <v>1200</v>
      </c>
      <c r="O410" s="44">
        <f>Table1[[#This Row],[2020. EA ]]*0.338</f>
        <v>405.6</v>
      </c>
      <c r="P410" s="14"/>
    </row>
    <row r="411" spans="1:16" hidden="1" x14ac:dyDescent="0.25">
      <c r="A411" s="14" t="str">
        <f t="shared" si="42"/>
        <v>08</v>
      </c>
      <c r="B411" s="117" t="s">
        <v>289</v>
      </c>
      <c r="C411" s="14" t="str">
        <f>VLOOKUP(B411,Table4[],2,FALSE)</f>
        <v xml:space="preserve"> Vilde kirjanduspreemia</v>
      </c>
      <c r="D411" s="39" t="str">
        <f>VLOOKUP(Table1[[#This Row],[Tegevusala]],Table4[[Tegevusala kood]:[Tegevusala alanimetus]],4,FALSE)</f>
        <v>Vaba aja üritused</v>
      </c>
      <c r="E411" s="14" t="str">
        <f>VLOOKUP(C411,Table4[[Tegevusala nimetus]:[Tegevusala koondnimetus]],2,FALSE)</f>
        <v>Vabaaeg, kultuur ja religioon</v>
      </c>
      <c r="F411" s="14" t="s">
        <v>1068</v>
      </c>
      <c r="G411" s="14" t="s">
        <v>1929</v>
      </c>
      <c r="H411" s="14">
        <v>1</v>
      </c>
      <c r="I411" s="14"/>
      <c r="J411" s="14">
        <v>1297</v>
      </c>
      <c r="K411" s="14">
        <f t="shared" si="43"/>
        <v>1297</v>
      </c>
      <c r="L411" s="14">
        <v>1</v>
      </c>
      <c r="M411" s="14"/>
      <c r="N411" s="44">
        <f>(K411*Table1[[#This Row],[Ühik2]])+M411</f>
        <v>1297</v>
      </c>
      <c r="O411" s="44">
        <f>Table1[[#This Row],[2020. EA ]]*0.338</f>
        <v>438.38600000000002</v>
      </c>
      <c r="P411" s="14"/>
    </row>
    <row r="412" spans="1:16" hidden="1" x14ac:dyDescent="0.25">
      <c r="A412" s="14" t="str">
        <f t="shared" si="42"/>
        <v>10</v>
      </c>
      <c r="B412" s="117" t="s">
        <v>55</v>
      </c>
      <c r="C412" s="14" t="str">
        <f>VLOOKUP(B412,Table4[],2,FALSE)</f>
        <v xml:space="preserve"> Puuetega inimeste sotsiaalhoolekandeasutused</v>
      </c>
      <c r="D412" s="39" t="str">
        <f>VLOOKUP(Table1[[#This Row],[Tegevusala]],Table4[[Tegevusala kood]:[Tegevusala alanimetus]],4,FALSE)</f>
        <v>Puuetega inimeste sotsiaalhoolekandeasutused</v>
      </c>
      <c r="E412" s="14" t="str">
        <f>VLOOKUP(C412,Table4[[Tegevusala nimetus]:[Tegevusala koondnimetus]],2,FALSE)</f>
        <v>Sotsiaalne kaitse</v>
      </c>
      <c r="F412" s="14" t="s">
        <v>444</v>
      </c>
      <c r="G412" s="14" t="s">
        <v>698</v>
      </c>
      <c r="H412" s="14">
        <v>1</v>
      </c>
      <c r="I412" s="14"/>
      <c r="J412" s="14">
        <v>6267.56</v>
      </c>
      <c r="K412" s="14">
        <f t="shared" si="43"/>
        <v>6267.56</v>
      </c>
      <c r="L412" s="14">
        <v>1</v>
      </c>
      <c r="M412" s="14"/>
      <c r="N412" s="44">
        <f>(K412*Table1[[#This Row],[Ühik2]])+M412</f>
        <v>6267.56</v>
      </c>
      <c r="O412" s="44">
        <f>Table1[[#This Row],[2020. EA ]]*0.338</f>
        <v>2118.4352800000001</v>
      </c>
      <c r="P412" s="14"/>
    </row>
    <row r="413" spans="1:16" hidden="1" x14ac:dyDescent="0.25">
      <c r="A413" s="14" t="str">
        <f t="shared" si="42"/>
        <v>10</v>
      </c>
      <c r="B413" s="117" t="s">
        <v>353</v>
      </c>
      <c r="C413" s="14" t="str">
        <f>VLOOKUP(B413,Table4[],2,FALSE)</f>
        <v xml:space="preserve"> Tugiisikud puuetega inimestele</v>
      </c>
      <c r="D413" s="39" t="str">
        <f>VLOOKUP(Table1[[#This Row],[Tegevusala]],Table4[[Tegevusala kood]:[Tegevusala alanimetus]],4,FALSE)</f>
        <v>Muu puuetega inimeste sotsiaalne kaitse</v>
      </c>
      <c r="E413" s="14" t="str">
        <f>VLOOKUP(C413,Table4[[Tegevusala nimetus]:[Tegevusala koondnimetus]],2,FALSE)</f>
        <v>Sotsiaalne kaitse</v>
      </c>
      <c r="F413" s="14" t="s">
        <v>444</v>
      </c>
      <c r="G413" s="14" t="s">
        <v>659</v>
      </c>
      <c r="H413" s="14">
        <v>1</v>
      </c>
      <c r="I413" s="14"/>
      <c r="J413" s="14">
        <v>2242.15</v>
      </c>
      <c r="K413" s="14">
        <f t="shared" si="43"/>
        <v>2242.15</v>
      </c>
      <c r="L413" s="14">
        <v>1</v>
      </c>
      <c r="M413" s="14"/>
      <c r="N413" s="44">
        <f>(K413*Table1[[#This Row],[Ühik2]])+M413</f>
        <v>2242.15</v>
      </c>
      <c r="O413" s="44">
        <f>Table1[[#This Row],[2020. EA ]]*0.338</f>
        <v>757.84670000000006</v>
      </c>
      <c r="P413" s="14"/>
    </row>
    <row r="414" spans="1:16" hidden="1" x14ac:dyDescent="0.25">
      <c r="A414" s="14" t="str">
        <f t="shared" si="42"/>
        <v>10</v>
      </c>
      <c r="B414" s="117" t="s">
        <v>354</v>
      </c>
      <c r="C414" s="14" t="str">
        <f>VLOOKUP(B414,Table4[],2,FALSE)</f>
        <v xml:space="preserve"> Hooldajatoetused</v>
      </c>
      <c r="D414" s="39" t="str">
        <f>VLOOKUP(Table1[[#This Row],[Tegevusala]],Table4[[Tegevusala kood]:[Tegevusala alanimetus]],4,FALSE)</f>
        <v>Muu puuetega inimeste sotsiaalne kaitse</v>
      </c>
      <c r="E414" s="14" t="str">
        <f>VLOOKUP(C414,Table4[[Tegevusala nimetus]:[Tegevusala koondnimetus]],2,FALSE)</f>
        <v>Sotsiaalne kaitse</v>
      </c>
      <c r="F414" s="14" t="s">
        <v>444</v>
      </c>
      <c r="G414" s="14" t="s">
        <v>686</v>
      </c>
      <c r="H414" s="14">
        <v>1</v>
      </c>
      <c r="I414" s="14"/>
      <c r="J414" s="14">
        <v>3191.33</v>
      </c>
      <c r="K414" s="14">
        <f t="shared" si="43"/>
        <v>3191.33</v>
      </c>
      <c r="L414" s="14">
        <v>1</v>
      </c>
      <c r="M414" s="14"/>
      <c r="N414" s="44">
        <f>(K414*Table1[[#This Row],[Ühik2]])+M414</f>
        <v>3191.33</v>
      </c>
      <c r="O414" s="44">
        <f>Table1[[#This Row],[2020. EA ]]*0.338</f>
        <v>1078.6695400000001</v>
      </c>
      <c r="P414" s="14"/>
    </row>
    <row r="415" spans="1:16" hidden="1" x14ac:dyDescent="0.25">
      <c r="A415" s="14" t="str">
        <f>LEFT(B415,2)</f>
        <v>10</v>
      </c>
      <c r="B415" s="119" t="s">
        <v>368</v>
      </c>
      <c r="C415" s="14" t="str">
        <f>VLOOKUP(B415,Table4[],2,FALSE)</f>
        <v xml:space="preserve"> Muud asutused</v>
      </c>
      <c r="D415" s="39" t="str">
        <f>VLOOKUP(Table1[[#This Row],[Tegevusala]],Table4[[Tegevusala kood]:[Tegevusala alanimetus]],4,FALSE)</f>
        <v>Laste ja noorte sotsiaalhoolekande asutused</v>
      </c>
      <c r="E415" s="14" t="str">
        <f>VLOOKUP(C415,Table4[[Tegevusala nimetus]:[Tegevusala koondnimetus]],2,FALSE)</f>
        <v>Sotsiaalne kaitse</v>
      </c>
      <c r="F415" s="14" t="s">
        <v>444</v>
      </c>
      <c r="G415" s="14" t="s">
        <v>2241</v>
      </c>
      <c r="H415" s="14">
        <v>1</v>
      </c>
      <c r="I415" s="14"/>
      <c r="J415" s="14">
        <v>3700</v>
      </c>
      <c r="K415" s="14">
        <f>H415*J415</f>
        <v>3700</v>
      </c>
      <c r="L415" s="14">
        <v>1</v>
      </c>
      <c r="M415" s="14"/>
      <c r="N415" s="44">
        <f>(K415*Table1[[#This Row],[Ühik2]])+M415</f>
        <v>3700</v>
      </c>
      <c r="O415" s="44">
        <f>Table1[[#This Row],[2020. EA ]]*0.338</f>
        <v>1250.6000000000001</v>
      </c>
      <c r="P415" s="14"/>
    </row>
    <row r="416" spans="1:16" hidden="1" x14ac:dyDescent="0.25">
      <c r="A416" s="14" t="str">
        <f>LEFT(B416,2)</f>
        <v>10</v>
      </c>
      <c r="B416" s="119" t="s">
        <v>375</v>
      </c>
      <c r="C416" s="14" t="str">
        <f>VLOOKUP(B416,Table4[],2,FALSE)</f>
        <v xml:space="preserve"> Tugiisikud (perekondade ja laste)</v>
      </c>
      <c r="D416" s="39" t="str">
        <f>VLOOKUP(Table1[[#This Row],[Tegevusala]],Table4[[Tegevusala kood]:[Tegevusala alanimetus]],4,FALSE)</f>
        <v>Muu perekondade ja laste sotsiaalne kaitse</v>
      </c>
      <c r="E416" s="14" t="str">
        <f>VLOOKUP(C416,Table4[[Tegevusala nimetus]:[Tegevusala koondnimetus]],2,FALSE)</f>
        <v>Sotsiaalne kaitse</v>
      </c>
      <c r="F416" s="14" t="s">
        <v>444</v>
      </c>
      <c r="G416" s="14" t="s">
        <v>2242</v>
      </c>
      <c r="H416" s="14">
        <v>1</v>
      </c>
      <c r="I416" s="14"/>
      <c r="J416" s="14">
        <v>3112.2</v>
      </c>
      <c r="K416" s="14">
        <f>H416*J416</f>
        <v>3112.2</v>
      </c>
      <c r="L416" s="14">
        <v>1</v>
      </c>
      <c r="M416" s="14"/>
      <c r="N416" s="44">
        <f>(K416*Table1[[#This Row],[Ühik2]])+M416</f>
        <v>3112.2</v>
      </c>
      <c r="O416" s="44">
        <f>Table1[[#This Row],[2020. EA ]]*0.338</f>
        <v>1051.9236000000001</v>
      </c>
      <c r="P416" s="14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85" zoomScaleNormal="85" workbookViewId="0">
      <selection activeCell="A11" sqref="A11"/>
    </sheetView>
  </sheetViews>
  <sheetFormatPr defaultRowHeight="15" x14ac:dyDescent="0.25"/>
  <cols>
    <col min="1" max="1" width="59" customWidth="1"/>
    <col min="2" max="2" width="15.42578125" bestFit="1" customWidth="1"/>
  </cols>
  <sheetData>
    <row r="1" spans="1:2" x14ac:dyDescent="0.25">
      <c r="A1" s="4" t="s">
        <v>9</v>
      </c>
      <c r="B1" t="s">
        <v>443</v>
      </c>
    </row>
    <row r="3" spans="1:2" x14ac:dyDescent="0.25">
      <c r="A3" s="4" t="s">
        <v>378</v>
      </c>
      <c r="B3" t="s">
        <v>381</v>
      </c>
    </row>
    <row r="4" spans="1:2" x14ac:dyDescent="0.25">
      <c r="A4" s="5" t="s">
        <v>161</v>
      </c>
      <c r="B4" s="2"/>
    </row>
    <row r="5" spans="1:2" x14ac:dyDescent="0.25">
      <c r="A5" s="6" t="s">
        <v>78</v>
      </c>
      <c r="B5" s="2">
        <v>5657881.3200000003</v>
      </c>
    </row>
    <row r="6" spans="1:2" x14ac:dyDescent="0.25">
      <c r="A6" s="5" t="s">
        <v>163</v>
      </c>
      <c r="B6" s="2"/>
    </row>
    <row r="7" spans="1:2" x14ac:dyDescent="0.25">
      <c r="A7" s="6" t="s">
        <v>83</v>
      </c>
      <c r="B7" s="2">
        <v>87300</v>
      </c>
    </row>
    <row r="8" spans="1:2" x14ac:dyDescent="0.25">
      <c r="A8" s="6" t="s">
        <v>521</v>
      </c>
      <c r="B8" s="2">
        <v>13300</v>
      </c>
    </row>
    <row r="9" spans="1:2" x14ac:dyDescent="0.25">
      <c r="A9" s="6" t="s">
        <v>522</v>
      </c>
      <c r="B9" s="2">
        <v>0</v>
      </c>
    </row>
    <row r="10" spans="1:2" x14ac:dyDescent="0.25">
      <c r="A10" s="5" t="s">
        <v>80</v>
      </c>
      <c r="B10" s="2">
        <v>602051.152</v>
      </c>
    </row>
    <row r="11" spans="1:2" x14ac:dyDescent="0.25">
      <c r="A11" s="5" t="s">
        <v>519</v>
      </c>
      <c r="B11" s="2">
        <v>61700.069999999992</v>
      </c>
    </row>
    <row r="12" spans="1:2" x14ac:dyDescent="0.25">
      <c r="A12" s="5" t="s">
        <v>2002</v>
      </c>
      <c r="B12" s="2">
        <v>725000</v>
      </c>
    </row>
    <row r="13" spans="1:2" x14ac:dyDescent="0.25">
      <c r="A13" s="5" t="s">
        <v>379</v>
      </c>
      <c r="B13" s="2">
        <v>7147232.5420000004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F16" zoomScale="85" zoomScaleNormal="85" workbookViewId="0">
      <selection activeCell="J41" sqref="J41"/>
    </sheetView>
  </sheetViews>
  <sheetFormatPr defaultRowHeight="15" x14ac:dyDescent="0.25"/>
  <cols>
    <col min="1" max="1" width="11.5703125" customWidth="1"/>
    <col min="2" max="2" width="13" customWidth="1"/>
    <col min="3" max="4" width="21.7109375" customWidth="1"/>
    <col min="5" max="5" width="26.28515625" customWidth="1"/>
    <col min="6" max="6" width="38" customWidth="1"/>
    <col min="7" max="7" width="34.28515625" customWidth="1"/>
    <col min="8" max="8" width="7.42578125" bestFit="1" customWidth="1"/>
    <col min="9" max="11" width="8.42578125" bestFit="1" customWidth="1"/>
    <col min="12" max="12" width="9.28515625" bestFit="1" customWidth="1"/>
    <col min="13" max="13" width="19.140625" style="2" customWidth="1"/>
    <col min="14" max="14" width="31.42578125" bestFit="1" customWidth="1"/>
    <col min="16" max="16" width="25.42578125" customWidth="1"/>
    <col min="17" max="17" width="15.85546875" customWidth="1"/>
    <col min="18" max="18" width="14" customWidth="1"/>
    <col min="19" max="20" width="25.85546875" customWidth="1"/>
    <col min="21" max="21" width="21" customWidth="1"/>
  </cols>
  <sheetData>
    <row r="1" spans="1:21" x14ac:dyDescent="0.25">
      <c r="A1" s="11" t="s">
        <v>7</v>
      </c>
      <c r="B1" s="12" t="s">
        <v>1</v>
      </c>
      <c r="C1" s="12" t="s">
        <v>246</v>
      </c>
      <c r="D1" t="s">
        <v>472</v>
      </c>
      <c r="E1" s="12" t="s">
        <v>67</v>
      </c>
      <c r="F1" s="12" t="s">
        <v>5</v>
      </c>
      <c r="G1" s="12" t="s">
        <v>6</v>
      </c>
      <c r="H1" s="12" t="s">
        <v>609</v>
      </c>
      <c r="I1" s="12" t="s">
        <v>610</v>
      </c>
      <c r="J1" s="12" t="s">
        <v>611</v>
      </c>
      <c r="K1" s="12" t="s">
        <v>612</v>
      </c>
      <c r="L1" s="12" t="s">
        <v>613</v>
      </c>
      <c r="M1" s="13" t="s">
        <v>380</v>
      </c>
      <c r="N1" s="13" t="s">
        <v>165</v>
      </c>
      <c r="O1" s="12" t="s">
        <v>2</v>
      </c>
      <c r="P1" s="12" t="s">
        <v>91</v>
      </c>
      <c r="Q1" s="12" t="s">
        <v>77</v>
      </c>
      <c r="R1" s="12" t="s">
        <v>9</v>
      </c>
      <c r="S1" s="12" t="s">
        <v>160</v>
      </c>
      <c r="T1" s="12" t="s">
        <v>1987</v>
      </c>
      <c r="U1" s="28" t="s">
        <v>135</v>
      </c>
    </row>
    <row r="2" spans="1:21" x14ac:dyDescent="0.25">
      <c r="A2" t="str">
        <f t="shared" ref="A2:A19" si="0">LEFT(B2,2)</f>
        <v>09</v>
      </c>
      <c r="B2" t="s">
        <v>317</v>
      </c>
      <c r="C2" t="str">
        <f>VLOOKUP(B2,Table4[],2,FALSE)</f>
        <v xml:space="preserve"> Ulvi Lasteaed</v>
      </c>
      <c r="D2" s="1" t="str">
        <f>VLOOKUP(Table6[[#This Row],[Tegevusala]],Table4[[Tegevusala kood]:[Tegevusala alanimetus]],4,FALSE)</f>
        <v>Alusharidus</v>
      </c>
      <c r="E2" t="str">
        <f>VLOOKUP(Table6[[#This Row],[Tegevusala]],Table4[[Tegevusala kood]:[Tegevusala alanimetus]],3,FALSE)</f>
        <v>Haridus</v>
      </c>
      <c r="F2" t="s">
        <v>608</v>
      </c>
      <c r="G2" t="s">
        <v>614</v>
      </c>
      <c r="H2">
        <v>20.8</v>
      </c>
      <c r="I2" t="s">
        <v>1375</v>
      </c>
      <c r="J2">
        <v>11.5</v>
      </c>
      <c r="K2" t="s">
        <v>1376</v>
      </c>
      <c r="L2">
        <v>20</v>
      </c>
      <c r="M2" s="40">
        <f>Table6[[#This Row],[ühik]]*Table6[[#This Row],[ühik3]]*Table6[[#This Row],[hind]]</f>
        <v>4784</v>
      </c>
      <c r="N2" t="s">
        <v>616</v>
      </c>
      <c r="O2">
        <v>32201</v>
      </c>
      <c r="P2" t="str">
        <f>VLOOKUP(Table6[[#This Row],[Konto]],Table5[[Konto]:[Konto nimetus]],2,FALSE)</f>
        <v>Lasteiatasu - õppekulu</v>
      </c>
      <c r="Q2">
        <v>32</v>
      </c>
      <c r="R2" t="str">
        <f t="shared" ref="R2:R19" si="1">LEFT(O2,2)</f>
        <v>32</v>
      </c>
      <c r="S2" t="str">
        <f>VLOOKUP(Table6[[#This Row],[Tulu/kulu liik2]],Table5[[Tulu/kulu liik]:[Kontode koondnimetus]],4,FALSE)</f>
        <v>Tulud kaupade ja teenuste müügist</v>
      </c>
      <c r="T2" t="str">
        <f>VLOOKUP(Table6[[#This Row],[Tulu/kulu liik2]],Table5[],6,FALSE)</f>
        <v>Tulud kaupade ja teenuste müügist</v>
      </c>
      <c r="U2" t="str">
        <f>VLOOKUP(Table6[[#This Row],[Tulu/kulu liik2]],Table5[],5,FALSE)</f>
        <v>Põhitegevuse tulu</v>
      </c>
    </row>
    <row r="3" spans="1:21" x14ac:dyDescent="0.25">
      <c r="A3" t="str">
        <f t="shared" si="0"/>
        <v>09</v>
      </c>
      <c r="B3" t="s">
        <v>317</v>
      </c>
      <c r="C3" t="str">
        <f>VLOOKUP(B3,Table4[],2,FALSE)</f>
        <v xml:space="preserve"> Ulvi Lasteaed</v>
      </c>
      <c r="D3" t="str">
        <f>VLOOKUP(Table6[[#This Row],[Tegevusala]],Table4[[Tegevusala kood]:[Tegevusala alanimetus]],4,FALSE)</f>
        <v>Alusharidus</v>
      </c>
      <c r="E3" t="str">
        <f>VLOOKUP(Table6[[#This Row],[Tegevusala]],Table4[[Tegevusala kood]:[Tegevusala alanimetus]],3,FALSE)</f>
        <v>Haridus</v>
      </c>
      <c r="F3" t="s">
        <v>608</v>
      </c>
      <c r="G3" t="s">
        <v>615</v>
      </c>
      <c r="H3">
        <v>3.2</v>
      </c>
      <c r="I3" t="s">
        <v>1375</v>
      </c>
      <c r="J3">
        <v>11.5</v>
      </c>
      <c r="K3" t="s">
        <v>1376</v>
      </c>
      <c r="L3">
        <v>20</v>
      </c>
      <c r="M3" s="40">
        <f>Table6[[#This Row],[ühik]]*Table6[[#This Row],[ühik3]]*Table6[[#This Row],[hind]]</f>
        <v>736.00000000000011</v>
      </c>
      <c r="N3" t="s">
        <v>616</v>
      </c>
      <c r="O3">
        <v>32201</v>
      </c>
      <c r="P3" t="str">
        <f>VLOOKUP(Table6[[#This Row],[Konto]],Table5[[Konto]:[Konto nimetus]],2,FALSE)</f>
        <v>Lasteiatasu - õppekulu</v>
      </c>
      <c r="Q3">
        <v>32</v>
      </c>
      <c r="R3" t="str">
        <f t="shared" si="1"/>
        <v>32</v>
      </c>
      <c r="S3" t="str">
        <f>VLOOKUP(Table6[[#This Row],[Tulu/kulu liik2]],Table5[[Tulu/kulu liik]:[Kontode koondnimetus]],4,FALSE)</f>
        <v>Tulud kaupade ja teenuste müügist</v>
      </c>
      <c r="T3" t="str">
        <f>VLOOKUP(Table6[[#This Row],[Tulu/kulu liik2]],Table5[],6,FALSE)</f>
        <v>Tulud kaupade ja teenuste müügist</v>
      </c>
      <c r="U3" t="str">
        <f>VLOOKUP(Table6[[#This Row],[Tulu/kulu liik2]],Table5[],5,FALSE)</f>
        <v>Põhitegevuse tulu</v>
      </c>
    </row>
    <row r="4" spans="1:21" x14ac:dyDescent="0.25">
      <c r="A4" t="str">
        <f t="shared" si="0"/>
        <v>09</v>
      </c>
      <c r="B4" t="s">
        <v>317</v>
      </c>
      <c r="C4" t="str">
        <f>VLOOKUP(B4,Table4[],2,FALSE)</f>
        <v xml:space="preserve"> Ulvi Lasteaed</v>
      </c>
      <c r="D4" t="str">
        <f>VLOOKUP(Table6[[#This Row],[Tegevusala]],Table4[[Tegevusala kood]:[Tegevusala alanimetus]],4,FALSE)</f>
        <v>Alusharidus</v>
      </c>
      <c r="E4" t="str">
        <f>VLOOKUP(Table6[[#This Row],[Tegevusala]],Table4[[Tegevusala kood]:[Tegevusala alanimetus]],3,FALSE)</f>
        <v>Haridus</v>
      </c>
      <c r="F4" t="s">
        <v>608</v>
      </c>
      <c r="G4" t="s">
        <v>617</v>
      </c>
      <c r="H4">
        <v>221</v>
      </c>
      <c r="I4" t="s">
        <v>1648</v>
      </c>
      <c r="J4">
        <v>24</v>
      </c>
      <c r="L4">
        <v>1</v>
      </c>
      <c r="M4" s="40">
        <f>Table6[[#This Row],[ühik]]*Table6[[#This Row],[ühik3]]*Table6[[#This Row],[hind]]</f>
        <v>5304</v>
      </c>
      <c r="N4" t="s">
        <v>2008</v>
      </c>
      <c r="O4">
        <v>32206</v>
      </c>
      <c r="P4" t="str">
        <f>VLOOKUP(Table6[[#This Row],[Konto]],Table5[[Konto]:[Konto nimetus]],2,FALSE)</f>
        <v>Lasteaia toiduraha</v>
      </c>
      <c r="Q4">
        <v>32</v>
      </c>
      <c r="R4" t="str">
        <f t="shared" si="1"/>
        <v>32</v>
      </c>
      <c r="S4" t="str">
        <f>VLOOKUP(Table6[[#This Row],[Tulu/kulu liik2]],Table5[[Tulu/kulu liik]:[Kontode koondnimetus]],4,FALSE)</f>
        <v>Tulud kaupade ja teenuste müügist</v>
      </c>
      <c r="T4" t="str">
        <f>VLOOKUP(Table6[[#This Row],[Tulu/kulu liik2]],Table5[],6,FALSE)</f>
        <v>Tulud kaupade ja teenuste müügist</v>
      </c>
      <c r="U4" t="str">
        <f>VLOOKUP(Table6[[#This Row],[Tulu/kulu liik2]],Table5[],5,FALSE)</f>
        <v>Põhitegevuse tulu</v>
      </c>
    </row>
    <row r="5" spans="1:21" x14ac:dyDescent="0.25">
      <c r="A5" t="str">
        <f t="shared" si="0"/>
        <v>09</v>
      </c>
      <c r="B5" t="s">
        <v>309</v>
      </c>
      <c r="C5" t="str">
        <f>VLOOKUP(B5,Table4[],2,FALSE)</f>
        <v xml:space="preserve"> Vinni Lasteaed</v>
      </c>
      <c r="D5" t="str">
        <f>VLOOKUP(Table6[[#This Row],[Tegevusala]],Table4[[Tegevusala kood]:[Tegevusala alanimetus]],4,FALSE)</f>
        <v>Alusharidus</v>
      </c>
      <c r="E5" t="str">
        <f>VLOOKUP(Table6[[#This Row],[Tegevusala]],Table4[[Tegevusala kood]:[Tegevusala alanimetus]],3,FALSE)</f>
        <v>Haridus</v>
      </c>
      <c r="F5" t="s">
        <v>618</v>
      </c>
      <c r="G5" t="s">
        <v>614</v>
      </c>
      <c r="H5">
        <v>20.8</v>
      </c>
      <c r="I5" t="s">
        <v>1375</v>
      </c>
      <c r="J5">
        <v>10.5</v>
      </c>
      <c r="K5" t="s">
        <v>1376</v>
      </c>
      <c r="L5">
        <v>20</v>
      </c>
      <c r="M5" s="40">
        <f>Table6[[#This Row],[ühik]]*Table6[[#This Row],[ühik3]]*Table6[[#This Row],[hind]]</f>
        <v>4368</v>
      </c>
      <c r="N5" t="s">
        <v>616</v>
      </c>
      <c r="O5">
        <v>32201</v>
      </c>
      <c r="P5" t="str">
        <f>VLOOKUP(Table6[[#This Row],[Konto]],Table5[[Konto]:[Konto nimetus]],2,FALSE)</f>
        <v>Lasteiatasu - õppekulu</v>
      </c>
      <c r="Q5">
        <v>32</v>
      </c>
      <c r="R5" t="str">
        <f t="shared" si="1"/>
        <v>32</v>
      </c>
      <c r="S5" t="str">
        <f>VLOOKUP(Table6[[#This Row],[Tulu/kulu liik2]],Table5[[Tulu/kulu liik]:[Kontode koondnimetus]],4,FALSE)</f>
        <v>Tulud kaupade ja teenuste müügist</v>
      </c>
      <c r="T5" t="str">
        <f>VLOOKUP(Table6[[#This Row],[Tulu/kulu liik2]],Table5[],6,FALSE)</f>
        <v>Tulud kaupade ja teenuste müügist</v>
      </c>
      <c r="U5" t="str">
        <f>VLOOKUP(Table6[[#This Row],[Tulu/kulu liik2]],Table5[],5,FALSE)</f>
        <v>Põhitegevuse tulu</v>
      </c>
    </row>
    <row r="6" spans="1:21" x14ac:dyDescent="0.25">
      <c r="A6" t="str">
        <f t="shared" si="0"/>
        <v>09</v>
      </c>
      <c r="B6" t="s">
        <v>309</v>
      </c>
      <c r="C6" t="str">
        <f>VLOOKUP(B6,Table4[],2,FALSE)</f>
        <v xml:space="preserve"> Vinni Lasteaed</v>
      </c>
      <c r="D6" t="str">
        <f>VLOOKUP(Table6[[#This Row],[Tegevusala]],Table4[[Tegevusala kood]:[Tegevusala alanimetus]],4,FALSE)</f>
        <v>Alusharidus</v>
      </c>
      <c r="E6" t="str">
        <f>VLOOKUP(Table6[[#This Row],[Tegevusala]],Table4[[Tegevusala kood]:[Tegevusala alanimetus]],3,FALSE)</f>
        <v>Haridus</v>
      </c>
      <c r="F6" t="s">
        <v>618</v>
      </c>
      <c r="G6" t="s">
        <v>1194</v>
      </c>
      <c r="H6">
        <v>64</v>
      </c>
      <c r="I6" t="s">
        <v>1375</v>
      </c>
      <c r="J6">
        <v>10.5</v>
      </c>
      <c r="K6" t="s">
        <v>1376</v>
      </c>
      <c r="L6">
        <v>20</v>
      </c>
      <c r="M6" s="40">
        <f>Table6[[#This Row],[ühik]]*Table6[[#This Row],[ühik3]]*Table6[[#This Row],[hind]]</f>
        <v>13440</v>
      </c>
      <c r="N6" t="s">
        <v>616</v>
      </c>
      <c r="O6">
        <v>32201</v>
      </c>
      <c r="P6" t="str">
        <f>VLOOKUP(Table6[[#This Row],[Konto]],Table5[[Konto]:[Konto nimetus]],2,FALSE)</f>
        <v>Lasteiatasu - õppekulu</v>
      </c>
      <c r="Q6">
        <v>32</v>
      </c>
      <c r="R6" t="str">
        <f t="shared" si="1"/>
        <v>32</v>
      </c>
      <c r="S6" t="str">
        <f>VLOOKUP(Table6[[#This Row],[Tulu/kulu liik2]],Table5[[Tulu/kulu liik]:[Kontode koondnimetus]],4,FALSE)</f>
        <v>Tulud kaupade ja teenuste müügist</v>
      </c>
      <c r="T6" t="str">
        <f>VLOOKUP(Table6[[#This Row],[Tulu/kulu liik2]],Table5[],6,FALSE)</f>
        <v>Tulud kaupade ja teenuste müügist</v>
      </c>
      <c r="U6" t="str">
        <f>VLOOKUP(Table6[[#This Row],[Tulu/kulu liik2]],Table5[],5,FALSE)</f>
        <v>Põhitegevuse tulu</v>
      </c>
    </row>
    <row r="7" spans="1:21" x14ac:dyDescent="0.25">
      <c r="A7" t="str">
        <f t="shared" si="0"/>
        <v>09</v>
      </c>
      <c r="B7" t="s">
        <v>309</v>
      </c>
      <c r="C7" t="str">
        <f>VLOOKUP(B7,Table4[],2,FALSE)</f>
        <v xml:space="preserve"> Vinni Lasteaed</v>
      </c>
      <c r="D7" t="str">
        <f>VLOOKUP(Table6[[#This Row],[Tegevusala]],Table4[[Tegevusala kood]:[Tegevusala alanimetus]],4,FALSE)</f>
        <v>Alusharidus</v>
      </c>
      <c r="E7" t="str">
        <f>VLOOKUP(Table6[[#This Row],[Tegevusala]],Table4[[Tegevusala kood]:[Tegevusala alanimetus]],3,FALSE)</f>
        <v>Haridus</v>
      </c>
      <c r="F7" t="s">
        <v>618</v>
      </c>
      <c r="G7" t="s">
        <v>617</v>
      </c>
      <c r="H7">
        <v>221</v>
      </c>
      <c r="I7" t="s">
        <v>1648</v>
      </c>
      <c r="J7">
        <v>84.8</v>
      </c>
      <c r="K7" t="s">
        <v>1375</v>
      </c>
      <c r="L7">
        <v>0.95</v>
      </c>
      <c r="M7" s="40">
        <f>Table6[[#This Row],[ühik]]*Table6[[#This Row],[ühik3]]*Table6[[#This Row],[hind]]</f>
        <v>17803.759999999998</v>
      </c>
      <c r="N7" t="s">
        <v>2008</v>
      </c>
      <c r="O7">
        <v>32206</v>
      </c>
      <c r="P7" t="str">
        <f>VLOOKUP(Table6[[#This Row],[Konto]],Table5[[Konto]:[Konto nimetus]],2,FALSE)</f>
        <v>Lasteaia toiduraha</v>
      </c>
      <c r="Q7">
        <v>32</v>
      </c>
      <c r="R7" t="str">
        <f t="shared" si="1"/>
        <v>32</v>
      </c>
      <c r="S7" t="str">
        <f>VLOOKUP(Table6[[#This Row],[Tulu/kulu liik2]],Table5[[Tulu/kulu liik]:[Kontode koondnimetus]],4,FALSE)</f>
        <v>Tulud kaupade ja teenuste müügist</v>
      </c>
      <c r="T7" t="str">
        <f>VLOOKUP(Table6[[#This Row],[Tulu/kulu liik2]],Table5[],6,FALSE)</f>
        <v>Tulud kaupade ja teenuste müügist</v>
      </c>
      <c r="U7" t="str">
        <f>VLOOKUP(Table6[[#This Row],[Tulu/kulu liik2]],Table5[],5,FALSE)</f>
        <v>Põhitegevuse tulu</v>
      </c>
    </row>
    <row r="8" spans="1:21" x14ac:dyDescent="0.25">
      <c r="A8" s="33" t="str">
        <f t="shared" si="0"/>
        <v>09</v>
      </c>
      <c r="B8" s="33" t="s">
        <v>311</v>
      </c>
      <c r="C8" s="33" t="str">
        <f>VLOOKUP(B8,Table4[],2,FALSE)</f>
        <v xml:space="preserve"> Pajusti Lasteaed</v>
      </c>
      <c r="D8" s="33" t="str">
        <f>VLOOKUP(Table6[[#This Row],[Tegevusala]],Table4[[Tegevusala kood]:[Tegevusala alanimetus]],4,FALSE)</f>
        <v>Alusharidus</v>
      </c>
      <c r="E8" s="33" t="str">
        <f>VLOOKUP(Table6[[#This Row],[Tegevusala]],Table4[[Tegevusala kood]:[Tegevusala alanimetus]],3,FALSE)</f>
        <v>Haridus</v>
      </c>
      <c r="F8" s="33" t="s">
        <v>619</v>
      </c>
      <c r="G8" s="33" t="s">
        <v>614</v>
      </c>
      <c r="H8" s="33">
        <v>8.8000000000000007</v>
      </c>
      <c r="I8" s="33" t="s">
        <v>1375</v>
      </c>
      <c r="J8" s="33">
        <v>11</v>
      </c>
      <c r="K8" s="33" t="s">
        <v>1376</v>
      </c>
      <c r="L8" s="33">
        <v>20</v>
      </c>
      <c r="M8" s="47">
        <f>Table6[[#This Row],[ühik]]*Table6[[#This Row],[ühik3]]*Table6[[#This Row],[hind]]</f>
        <v>1936.0000000000002</v>
      </c>
      <c r="N8" s="33" t="s">
        <v>616</v>
      </c>
      <c r="O8" s="33">
        <v>32201</v>
      </c>
      <c r="P8" s="33" t="str">
        <f>VLOOKUP(Table6[[#This Row],[Konto]],Table5[[Konto]:[Konto nimetus]],2,FALSE)</f>
        <v>Lasteiatasu - õppekulu</v>
      </c>
      <c r="Q8" s="33">
        <v>32</v>
      </c>
      <c r="R8" s="33" t="str">
        <f t="shared" si="1"/>
        <v>32</v>
      </c>
      <c r="S8" s="33" t="str">
        <f>VLOOKUP(Table6[[#This Row],[Tulu/kulu liik2]],Table5[[Tulu/kulu liik]:[Kontode koondnimetus]],4,FALSE)</f>
        <v>Tulud kaupade ja teenuste müügist</v>
      </c>
      <c r="T8" s="33" t="str">
        <f>VLOOKUP(Table6[[#This Row],[Tulu/kulu liik2]],Table5[],6,FALSE)</f>
        <v>Tulud kaupade ja teenuste müügist</v>
      </c>
      <c r="U8" s="33" t="str">
        <f>VLOOKUP(Table6[[#This Row],[Tulu/kulu liik2]],Table5[],5,FALSE)</f>
        <v>Põhitegevuse tulu</v>
      </c>
    </row>
    <row r="9" spans="1:21" x14ac:dyDescent="0.25">
      <c r="A9" s="34" t="str">
        <f>LEFT(B9,2)</f>
        <v>09</v>
      </c>
      <c r="B9" s="33" t="s">
        <v>311</v>
      </c>
      <c r="C9" s="34" t="str">
        <f>VLOOKUP(B9,Table4[],2,FALSE)</f>
        <v xml:space="preserve"> Pajusti Lasteaed</v>
      </c>
      <c r="D9" s="34" t="str">
        <f>VLOOKUP(Table6[[#This Row],[Tegevusala]],Table4[[Tegevusala kood]:[Tegevusala alanimetus]],4,FALSE)</f>
        <v>Alusharidus</v>
      </c>
      <c r="E9" s="34" t="str">
        <f>VLOOKUP(Table6[[#This Row],[Tegevusala]],Table4[[Tegevusala kood]:[Tegevusala alanimetus]],3,FALSE)</f>
        <v>Haridus</v>
      </c>
      <c r="F9" s="33" t="s">
        <v>619</v>
      </c>
      <c r="G9" s="33" t="s">
        <v>615</v>
      </c>
      <c r="H9" s="33">
        <v>26.4</v>
      </c>
      <c r="I9" s="33" t="s">
        <v>1375</v>
      </c>
      <c r="J9" s="33">
        <v>11</v>
      </c>
      <c r="K9" s="33" t="s">
        <v>1376</v>
      </c>
      <c r="L9" s="33">
        <v>20</v>
      </c>
      <c r="M9" s="47">
        <f>Table6[[#This Row],[ühik]]*Table6[[#This Row],[ühik3]]*Table6[[#This Row],[hind]]</f>
        <v>5808</v>
      </c>
      <c r="N9" s="33" t="s">
        <v>616</v>
      </c>
      <c r="O9" s="34">
        <v>32201</v>
      </c>
      <c r="P9" s="34" t="str">
        <f>VLOOKUP(Table6[[#This Row],[Konto]],Table5[[Konto]:[Konto nimetus]],2,FALSE)</f>
        <v>Lasteiatasu - õppekulu</v>
      </c>
      <c r="Q9" s="34">
        <v>32</v>
      </c>
      <c r="R9" s="34" t="str">
        <f>LEFT(O9,2)</f>
        <v>32</v>
      </c>
      <c r="S9" s="34" t="str">
        <f>VLOOKUP(Table6[[#This Row],[Tulu/kulu liik2]],Table5[[Tulu/kulu liik]:[Kontode koondnimetus]],4,FALSE)</f>
        <v>Tulud kaupade ja teenuste müügist</v>
      </c>
      <c r="T9" s="34" t="str">
        <f>VLOOKUP(Table6[[#This Row],[Tulu/kulu liik2]],Table5[],6,FALSE)</f>
        <v>Tulud kaupade ja teenuste müügist</v>
      </c>
      <c r="U9" s="34" t="str">
        <f>VLOOKUP(Table6[[#This Row],[Tulu/kulu liik2]],Table5[],5,FALSE)</f>
        <v>Põhitegevuse tulu</v>
      </c>
    </row>
    <row r="10" spans="1:21" x14ac:dyDescent="0.25">
      <c r="A10" s="33" t="str">
        <f t="shared" si="0"/>
        <v>09</v>
      </c>
      <c r="B10" s="33" t="s">
        <v>311</v>
      </c>
      <c r="C10" s="33" t="str">
        <f>VLOOKUP(B10,Table4[],2,FALSE)</f>
        <v xml:space="preserve"> Pajusti Lasteaed</v>
      </c>
      <c r="D10" s="33" t="str">
        <f>VLOOKUP(Table6[[#This Row],[Tegevusala]],Table4[[Tegevusala kood]:[Tegevusala alanimetus]],4,FALSE)</f>
        <v>Alusharidus</v>
      </c>
      <c r="E10" s="33" t="str">
        <f>VLOOKUP(Table6[[#This Row],[Tegevusala]],Table4[[Tegevusala kood]:[Tegevusala alanimetus]],3,FALSE)</f>
        <v>Haridus</v>
      </c>
      <c r="F10" s="33" t="s">
        <v>619</v>
      </c>
      <c r="G10" s="33" t="s">
        <v>617</v>
      </c>
      <c r="H10" s="33">
        <v>221</v>
      </c>
      <c r="I10" s="33" t="s">
        <v>1648</v>
      </c>
      <c r="J10" s="33">
        <v>35.200000000000003</v>
      </c>
      <c r="K10" s="33" t="s">
        <v>1375</v>
      </c>
      <c r="L10" s="33">
        <v>0.8</v>
      </c>
      <c r="M10" s="47">
        <f>Table6[[#This Row],[ühik]]*Table6[[#This Row],[ühik3]]*Table6[[#This Row],[hind]]</f>
        <v>6223.3600000000006</v>
      </c>
      <c r="N10" s="33" t="s">
        <v>2008</v>
      </c>
      <c r="O10" s="33">
        <v>32206</v>
      </c>
      <c r="P10" s="33" t="str">
        <f>VLOOKUP(Table6[[#This Row],[Konto]],Table5[[Konto]:[Konto nimetus]],2,FALSE)</f>
        <v>Lasteaia toiduraha</v>
      </c>
      <c r="Q10" s="33">
        <v>32</v>
      </c>
      <c r="R10" s="33" t="str">
        <f t="shared" si="1"/>
        <v>32</v>
      </c>
      <c r="S10" s="33" t="str">
        <f>VLOOKUP(Table6[[#This Row],[Tulu/kulu liik2]],Table5[[Tulu/kulu liik]:[Kontode koondnimetus]],4,FALSE)</f>
        <v>Tulud kaupade ja teenuste müügist</v>
      </c>
      <c r="T10" s="33" t="str">
        <f>VLOOKUP(Table6[[#This Row],[Tulu/kulu liik2]],Table5[],6,FALSE)</f>
        <v>Tulud kaupade ja teenuste müügist</v>
      </c>
      <c r="U10" s="33" t="str">
        <f>VLOOKUP(Table6[[#This Row],[Tulu/kulu liik2]],Table5[],5,FALSE)</f>
        <v>Põhitegevuse tulu</v>
      </c>
    </row>
    <row r="11" spans="1:21" x14ac:dyDescent="0.25">
      <c r="A11" t="str">
        <f t="shared" si="0"/>
        <v>09</v>
      </c>
      <c r="B11" t="s">
        <v>313</v>
      </c>
      <c r="C11" t="str">
        <f>VLOOKUP(B11,Table4[],2,FALSE)</f>
        <v xml:space="preserve"> Kulina Lasteaed</v>
      </c>
      <c r="D11" t="str">
        <f>VLOOKUP(Table6[[#This Row],[Tegevusala]],Table4[[Tegevusala kood]:[Tegevusala alanimetus]],4,FALSE)</f>
        <v>Alusharidus</v>
      </c>
      <c r="E11" t="str">
        <f>VLOOKUP(Table6[[#This Row],[Tegevusala]],Table4[[Tegevusala kood]:[Tegevusala alanimetus]],3,FALSE)</f>
        <v>Haridus</v>
      </c>
      <c r="F11" t="s">
        <v>620</v>
      </c>
      <c r="G11" t="s">
        <v>614</v>
      </c>
      <c r="H11">
        <v>13.6</v>
      </c>
      <c r="I11" t="s">
        <v>1375</v>
      </c>
      <c r="J11">
        <v>10.5</v>
      </c>
      <c r="K11" t="s">
        <v>1376</v>
      </c>
      <c r="L11">
        <v>20</v>
      </c>
      <c r="M11" s="40">
        <f>Table6[[#This Row],[ühik]]*Table6[[#This Row],[ühik3]]*Table6[[#This Row],[hind]]</f>
        <v>2855.9999999999995</v>
      </c>
      <c r="N11" t="s">
        <v>616</v>
      </c>
      <c r="O11">
        <v>32201</v>
      </c>
      <c r="P11" t="str">
        <f>VLOOKUP(Table6[[#This Row],[Konto]],Table5[[Konto]:[Konto nimetus]],2,FALSE)</f>
        <v>Lasteiatasu - õppekulu</v>
      </c>
      <c r="Q11">
        <v>32</v>
      </c>
      <c r="R11" t="str">
        <f t="shared" si="1"/>
        <v>32</v>
      </c>
      <c r="S11" t="str">
        <f>VLOOKUP(Table6[[#This Row],[Tulu/kulu liik2]],Table5[[Tulu/kulu liik]:[Kontode koondnimetus]],4,FALSE)</f>
        <v>Tulud kaupade ja teenuste müügist</v>
      </c>
      <c r="T11" t="str">
        <f>VLOOKUP(Table6[[#This Row],[Tulu/kulu liik2]],Table5[],6,FALSE)</f>
        <v>Tulud kaupade ja teenuste müügist</v>
      </c>
      <c r="U11" t="str">
        <f>VLOOKUP(Table6[[#This Row],[Tulu/kulu liik2]],Table5[],5,FALSE)</f>
        <v>Põhitegevuse tulu</v>
      </c>
    </row>
    <row r="12" spans="1:21" x14ac:dyDescent="0.25">
      <c r="A12" t="str">
        <f t="shared" si="0"/>
        <v>09</v>
      </c>
      <c r="B12" t="s">
        <v>313</v>
      </c>
      <c r="C12" t="str">
        <f>VLOOKUP(B12,Table4[],2,FALSE)</f>
        <v xml:space="preserve"> Kulina Lasteaed</v>
      </c>
      <c r="D12" t="str">
        <f>VLOOKUP(Table6[[#This Row],[Tegevusala]],Table4[[Tegevusala kood]:[Tegevusala alanimetus]],4,FALSE)</f>
        <v>Alusharidus</v>
      </c>
      <c r="E12" t="str">
        <f>VLOOKUP(Table6[[#This Row],[Tegevusala]],Table4[[Tegevusala kood]:[Tegevusala alanimetus]],3,FALSE)</f>
        <v>Haridus</v>
      </c>
      <c r="F12" t="s">
        <v>620</v>
      </c>
      <c r="G12" t="s">
        <v>617</v>
      </c>
      <c r="H12">
        <v>221</v>
      </c>
      <c r="I12" t="s">
        <v>1648</v>
      </c>
      <c r="J12">
        <v>28</v>
      </c>
      <c r="K12" t="s">
        <v>1375</v>
      </c>
      <c r="L12">
        <v>0.75</v>
      </c>
      <c r="M12" s="40">
        <f>Table6[[#This Row],[ühik]]*Table6[[#This Row],[ühik3]]*Table6[[#This Row],[hind]]</f>
        <v>4641</v>
      </c>
      <c r="N12" t="s">
        <v>2008</v>
      </c>
      <c r="O12">
        <v>32206</v>
      </c>
      <c r="P12" t="str">
        <f>VLOOKUP(Table6[[#This Row],[Konto]],Table5[[Konto]:[Konto nimetus]],2,FALSE)</f>
        <v>Lasteaia toiduraha</v>
      </c>
      <c r="Q12">
        <v>32</v>
      </c>
      <c r="R12" t="str">
        <f t="shared" si="1"/>
        <v>32</v>
      </c>
      <c r="S12" t="str">
        <f>VLOOKUP(Table6[[#This Row],[Tulu/kulu liik2]],Table5[[Tulu/kulu liik]:[Kontode koondnimetus]],4,FALSE)</f>
        <v>Tulud kaupade ja teenuste müügist</v>
      </c>
      <c r="T12" t="str">
        <f>VLOOKUP(Table6[[#This Row],[Tulu/kulu liik2]],Table5[],6,FALSE)</f>
        <v>Tulud kaupade ja teenuste müügist</v>
      </c>
      <c r="U12" t="str">
        <f>VLOOKUP(Table6[[#This Row],[Tulu/kulu liik2]],Table5[],5,FALSE)</f>
        <v>Põhitegevuse tulu</v>
      </c>
    </row>
    <row r="13" spans="1:21" x14ac:dyDescent="0.25">
      <c r="A13" s="3" t="str">
        <f>LEFT(B13,2)</f>
        <v>09</v>
      </c>
      <c r="B13" t="s">
        <v>313</v>
      </c>
      <c r="C13" s="3" t="str">
        <f>VLOOKUP(B13,Table4[],2,FALSE)</f>
        <v xml:space="preserve"> Kulina Lasteaed</v>
      </c>
      <c r="D13" s="3" t="str">
        <f>VLOOKUP(Table6[[#This Row],[Tegevusala]],Table4[[Tegevusala kood]:[Tegevusala alanimetus]],4,FALSE)</f>
        <v>Alusharidus</v>
      </c>
      <c r="E13" s="3" t="str">
        <f>VLOOKUP(Table6[[#This Row],[Tegevusala]],Table4[[Tegevusala kood]:[Tegevusala alanimetus]],3,FALSE)</f>
        <v>Haridus</v>
      </c>
      <c r="F13" t="s">
        <v>620</v>
      </c>
      <c r="G13" t="s">
        <v>615</v>
      </c>
      <c r="H13">
        <v>14.4</v>
      </c>
      <c r="I13" t="s">
        <v>1375</v>
      </c>
      <c r="J13">
        <v>10.5</v>
      </c>
      <c r="K13" t="s">
        <v>1376</v>
      </c>
      <c r="L13">
        <v>20</v>
      </c>
      <c r="M13" s="40">
        <f>Table6[[#This Row],[ühik]]*Table6[[#This Row],[ühik3]]*Table6[[#This Row],[hind]]</f>
        <v>3024.0000000000005</v>
      </c>
      <c r="N13" t="s">
        <v>616</v>
      </c>
      <c r="O13" s="3">
        <v>32201</v>
      </c>
      <c r="P13" s="3" t="str">
        <f>VLOOKUP(Table6[[#This Row],[Konto]],Table5[[Konto]:[Konto nimetus]],2,FALSE)</f>
        <v>Lasteiatasu - õppekulu</v>
      </c>
      <c r="Q13" s="3">
        <v>32</v>
      </c>
      <c r="R13" s="3" t="str">
        <f>LEFT(O13,2)</f>
        <v>32</v>
      </c>
      <c r="S13" s="3" t="str">
        <f>VLOOKUP(Table6[[#This Row],[Tulu/kulu liik2]],Table5[[Tulu/kulu liik]:[Kontode koondnimetus]],4,FALSE)</f>
        <v>Tulud kaupade ja teenuste müügist</v>
      </c>
      <c r="T13" s="3" t="str">
        <f>VLOOKUP(Table6[[#This Row],[Tulu/kulu liik2]],Table5[],6,FALSE)</f>
        <v>Tulud kaupade ja teenuste müügist</v>
      </c>
      <c r="U13" s="3" t="str">
        <f>VLOOKUP(Table6[[#This Row],[Tulu/kulu liik2]],Table5[],5,FALSE)</f>
        <v>Põhitegevuse tulu</v>
      </c>
    </row>
    <row r="14" spans="1:21" x14ac:dyDescent="0.25">
      <c r="A14" t="str">
        <f t="shared" si="0"/>
        <v>09</v>
      </c>
      <c r="B14" t="s">
        <v>315</v>
      </c>
      <c r="C14" t="str">
        <f>VLOOKUP(B14,Table4[],2,FALSE)</f>
        <v xml:space="preserve"> Tudu Lasteaed</v>
      </c>
      <c r="D14" t="str">
        <f>VLOOKUP(Table6[[#This Row],[Tegevusala]],Table4[[Tegevusala kood]:[Tegevusala alanimetus]],4,FALSE)</f>
        <v>Alusharidus</v>
      </c>
      <c r="E14" t="str">
        <f>VLOOKUP(Table6[[#This Row],[Tegevusala]],Table4[[Tegevusala kood]:[Tegevusala alanimetus]],3,FALSE)</f>
        <v>Haridus</v>
      </c>
      <c r="F14" t="s">
        <v>621</v>
      </c>
      <c r="H14">
        <v>14.4</v>
      </c>
      <c r="I14" t="s">
        <v>1375</v>
      </c>
      <c r="J14">
        <v>10.5</v>
      </c>
      <c r="K14" t="s">
        <v>241</v>
      </c>
      <c r="L14">
        <v>20</v>
      </c>
      <c r="M14" s="40">
        <f>Table6[[#This Row],[ühik]]*Table6[[#This Row],[ühik3]]*Table6[[#This Row],[hind]]</f>
        <v>3024.0000000000005</v>
      </c>
      <c r="N14" t="s">
        <v>616</v>
      </c>
      <c r="O14">
        <v>32201</v>
      </c>
      <c r="P14" t="str">
        <f>VLOOKUP(Table6[[#This Row],[Konto]],Table5[[Konto]:[Konto nimetus]],2,FALSE)</f>
        <v>Lasteiatasu - õppekulu</v>
      </c>
      <c r="Q14">
        <v>32</v>
      </c>
      <c r="R14" t="str">
        <f t="shared" si="1"/>
        <v>32</v>
      </c>
      <c r="S14" t="str">
        <f>VLOOKUP(Table6[[#This Row],[Tulu/kulu liik2]],Table5[[Tulu/kulu liik]:[Kontode koondnimetus]],4,FALSE)</f>
        <v>Tulud kaupade ja teenuste müügist</v>
      </c>
      <c r="T14" t="str">
        <f>VLOOKUP(Table6[[#This Row],[Tulu/kulu liik2]],Table5[],6,FALSE)</f>
        <v>Tulud kaupade ja teenuste müügist</v>
      </c>
      <c r="U14" t="str">
        <f>VLOOKUP(Table6[[#This Row],[Tulu/kulu liik2]],Table5[],5,FALSE)</f>
        <v>Põhitegevuse tulu</v>
      </c>
    </row>
    <row r="15" spans="1:21" x14ac:dyDescent="0.25">
      <c r="A15" t="str">
        <f t="shared" si="0"/>
        <v>09</v>
      </c>
      <c r="B15" t="s">
        <v>319</v>
      </c>
      <c r="C15" t="str">
        <f>VLOOKUP(B15,Table4[],2,FALSE)</f>
        <v xml:space="preserve"> Laekvere Lasteaed</v>
      </c>
      <c r="D15" t="str">
        <f>VLOOKUP(Table6[[#This Row],[Tegevusala]],Table4[[Tegevusala kood]:[Tegevusala alanimetus]],4,FALSE)</f>
        <v>Alusharidus</v>
      </c>
      <c r="E15" t="str">
        <f>VLOOKUP(Table6[[#This Row],[Tegevusala]],Table4[[Tegevusala kood]:[Tegevusala alanimetus]],3,FALSE)</f>
        <v>Haridus</v>
      </c>
      <c r="F15" t="s">
        <v>621</v>
      </c>
      <c r="G15" t="s">
        <v>617</v>
      </c>
      <c r="H15">
        <v>221</v>
      </c>
      <c r="I15" t="s">
        <v>1648</v>
      </c>
      <c r="J15">
        <v>14.4</v>
      </c>
      <c r="K15" t="s">
        <v>1375</v>
      </c>
      <c r="L15">
        <v>1.28</v>
      </c>
      <c r="M15" s="40">
        <f>Table6[[#This Row],[ühik]]*Table6[[#This Row],[ühik3]]*Table6[[#This Row],[hind]]</f>
        <v>4073.4720000000002</v>
      </c>
      <c r="N15" t="s">
        <v>2008</v>
      </c>
      <c r="O15">
        <v>32206</v>
      </c>
      <c r="P15" t="str">
        <f>VLOOKUP(Table6[[#This Row],[Konto]],Table5[[Konto]:[Konto nimetus]],2,FALSE)</f>
        <v>Lasteaia toiduraha</v>
      </c>
      <c r="Q15">
        <v>32</v>
      </c>
      <c r="R15" t="str">
        <f t="shared" si="1"/>
        <v>32</v>
      </c>
      <c r="S15" t="str">
        <f>VLOOKUP(Table6[[#This Row],[Tulu/kulu liik2]],Table5[[Tulu/kulu liik]:[Kontode koondnimetus]],4,FALSE)</f>
        <v>Tulud kaupade ja teenuste müügist</v>
      </c>
      <c r="T15" t="str">
        <f>VLOOKUP(Table6[[#This Row],[Tulu/kulu liik2]],Table5[],6,FALSE)</f>
        <v>Tulud kaupade ja teenuste müügist</v>
      </c>
      <c r="U15" t="str">
        <f>VLOOKUP(Table6[[#This Row],[Tulu/kulu liik2]],Table5[],5,FALSE)</f>
        <v>Põhitegevuse tulu</v>
      </c>
    </row>
    <row r="16" spans="1:21" x14ac:dyDescent="0.25">
      <c r="A16" s="33" t="str">
        <f t="shared" si="0"/>
        <v>09</v>
      </c>
      <c r="B16" s="33" t="s">
        <v>319</v>
      </c>
      <c r="C16" s="33" t="str">
        <f>VLOOKUP(B16,Table4[],2,FALSE)</f>
        <v xml:space="preserve"> Laekvere Lasteaed</v>
      </c>
      <c r="D16" s="33" t="str">
        <f>VLOOKUP(Table6[[#This Row],[Tegevusala]],Table4[[Tegevusala kood]:[Tegevusala alanimetus]],4,FALSE)</f>
        <v>Alusharidus</v>
      </c>
      <c r="E16" s="33" t="str">
        <f>VLOOKUP(Table6[[#This Row],[Tegevusala]],Table4[[Tegevusala kood]:[Tegevusala alanimetus]],3,FALSE)</f>
        <v>Haridus</v>
      </c>
      <c r="F16" s="33" t="s">
        <v>622</v>
      </c>
      <c r="G16" s="33"/>
      <c r="H16" s="33">
        <v>41.6</v>
      </c>
      <c r="I16" s="33" t="s">
        <v>1375</v>
      </c>
      <c r="J16" s="33">
        <v>10.5</v>
      </c>
      <c r="K16" s="33" t="s">
        <v>1376</v>
      </c>
      <c r="L16" s="33">
        <v>20</v>
      </c>
      <c r="M16" s="47">
        <f>Table6[[#This Row],[ühik]]*Table6[[#This Row],[ühik3]]*Table6[[#This Row],[hind]]</f>
        <v>8736</v>
      </c>
      <c r="N16" s="33" t="s">
        <v>616</v>
      </c>
      <c r="O16" s="33">
        <v>32201</v>
      </c>
      <c r="P16" s="33" t="str">
        <f>VLOOKUP(Table6[[#This Row],[Konto]],Table5[[Konto]:[Konto nimetus]],2,FALSE)</f>
        <v>Lasteiatasu - õppekulu</v>
      </c>
      <c r="Q16" s="33">
        <v>32</v>
      </c>
      <c r="R16" s="33" t="str">
        <f t="shared" si="1"/>
        <v>32</v>
      </c>
      <c r="S16" s="33" t="str">
        <f>VLOOKUP(Table6[[#This Row],[Tulu/kulu liik2]],Table5[[Tulu/kulu liik]:[Kontode koondnimetus]],4,FALSE)</f>
        <v>Tulud kaupade ja teenuste müügist</v>
      </c>
      <c r="T16" s="33" t="str">
        <f>VLOOKUP(Table6[[#This Row],[Tulu/kulu liik2]],Table5[],6,FALSE)</f>
        <v>Tulud kaupade ja teenuste müügist</v>
      </c>
      <c r="U16" s="33" t="str">
        <f>VLOOKUP(Table6[[#This Row],[Tulu/kulu liik2]],Table5[],5,FALSE)</f>
        <v>Põhitegevuse tulu</v>
      </c>
    </row>
    <row r="17" spans="1:21" x14ac:dyDescent="0.25">
      <c r="A17" t="str">
        <f t="shared" si="0"/>
        <v>09</v>
      </c>
      <c r="B17" t="s">
        <v>319</v>
      </c>
      <c r="C17" t="str">
        <f>VLOOKUP(B17,Table4[],2,FALSE)</f>
        <v xml:space="preserve"> Laekvere Lasteaed</v>
      </c>
      <c r="D17" t="str">
        <f>VLOOKUP(Table6[[#This Row],[Tegevusala]],Table4[[Tegevusala kood]:[Tegevusala alanimetus]],4,FALSE)</f>
        <v>Alusharidus</v>
      </c>
      <c r="E17" t="str">
        <f>VLOOKUP(Table6[[#This Row],[Tegevusala]],Table4[[Tegevusala kood]:[Tegevusala alanimetus]],3,FALSE)</f>
        <v>Haridus</v>
      </c>
      <c r="F17" t="s">
        <v>622</v>
      </c>
      <c r="G17" t="s">
        <v>617</v>
      </c>
      <c r="H17">
        <v>221</v>
      </c>
      <c r="I17" t="s">
        <v>1648</v>
      </c>
      <c r="J17">
        <v>41.6</v>
      </c>
      <c r="K17" t="s">
        <v>1375</v>
      </c>
      <c r="L17">
        <v>0.85</v>
      </c>
      <c r="M17" s="40">
        <f>Table6[[#This Row],[ühik]]*Table6[[#This Row],[ühik3]]*Table6[[#This Row],[hind]]</f>
        <v>7814.56</v>
      </c>
      <c r="N17" t="s">
        <v>2008</v>
      </c>
      <c r="O17">
        <v>32206</v>
      </c>
      <c r="P17" t="str">
        <f>VLOOKUP(Table6[[#This Row],[Konto]],Table5[[Konto]:[Konto nimetus]],2,FALSE)</f>
        <v>Lasteaia toiduraha</v>
      </c>
      <c r="Q17">
        <v>32</v>
      </c>
      <c r="R17" t="str">
        <f t="shared" si="1"/>
        <v>32</v>
      </c>
      <c r="S17" t="str">
        <f>VLOOKUP(Table6[[#This Row],[Tulu/kulu liik2]],Table5[[Tulu/kulu liik]:[Kontode koondnimetus]],4,FALSE)</f>
        <v>Tulud kaupade ja teenuste müügist</v>
      </c>
      <c r="T17" t="str">
        <f>VLOOKUP(Table6[[#This Row],[Tulu/kulu liik2]],Table5[],6,FALSE)</f>
        <v>Tulud kaupade ja teenuste müügist</v>
      </c>
      <c r="U17" t="str">
        <f>VLOOKUP(Table6[[#This Row],[Tulu/kulu liik2]],Table5[],5,FALSE)</f>
        <v>Põhitegevuse tulu</v>
      </c>
    </row>
    <row r="18" spans="1:21" x14ac:dyDescent="0.25">
      <c r="A18" t="str">
        <f t="shared" si="0"/>
        <v>09</v>
      </c>
      <c r="B18" t="s">
        <v>245</v>
      </c>
      <c r="C18" t="str">
        <f>VLOOKUP(B18,Table4[],2,FALSE)</f>
        <v xml:space="preserve"> Roela Lasteaed</v>
      </c>
      <c r="D18" t="str">
        <f>VLOOKUP(Table6[[#This Row],[Tegevusala]],Table4[[Tegevusala kood]:[Tegevusala alanimetus]],4,FALSE)</f>
        <v>Alusharidus</v>
      </c>
      <c r="E18" t="str">
        <f>VLOOKUP(Table6[[#This Row],[Tegevusala]],Table4[[Tegevusala kood]:[Tegevusala alanimetus]],3,FALSE)</f>
        <v>Haridus</v>
      </c>
      <c r="F18" t="s">
        <v>623</v>
      </c>
      <c r="G18" t="s">
        <v>614</v>
      </c>
      <c r="H18">
        <v>32.4</v>
      </c>
      <c r="J18">
        <v>12</v>
      </c>
      <c r="K18" t="s">
        <v>1376</v>
      </c>
      <c r="L18">
        <v>20</v>
      </c>
      <c r="M18" s="40">
        <f>Table6[[#This Row],[ühik]]*Table6[[#This Row],[ühik3]]*Table6[[#This Row],[hind]]</f>
        <v>7775.9999999999991</v>
      </c>
      <c r="N18" t="s">
        <v>2009</v>
      </c>
      <c r="O18">
        <v>32201</v>
      </c>
      <c r="P18" t="str">
        <f>VLOOKUP(Table6[[#This Row],[Konto]],Table5[[Konto]:[Konto nimetus]],2,FALSE)</f>
        <v>Lasteiatasu - õppekulu</v>
      </c>
      <c r="Q18">
        <v>32</v>
      </c>
      <c r="R18" t="str">
        <f t="shared" si="1"/>
        <v>32</v>
      </c>
      <c r="S18" t="str">
        <f>VLOOKUP(Table6[[#This Row],[Tulu/kulu liik2]],Table5[[Tulu/kulu liik]:[Kontode koondnimetus]],4,FALSE)</f>
        <v>Tulud kaupade ja teenuste müügist</v>
      </c>
      <c r="T18" t="str">
        <f>VLOOKUP(Table6[[#This Row],[Tulu/kulu liik2]],Table5[],6,FALSE)</f>
        <v>Tulud kaupade ja teenuste müügist</v>
      </c>
      <c r="U18" t="str">
        <f>VLOOKUP(Table6[[#This Row],[Tulu/kulu liik2]],Table5[],5,FALSE)</f>
        <v>Põhitegevuse tulu</v>
      </c>
    </row>
    <row r="19" spans="1:21" x14ac:dyDescent="0.25">
      <c r="A19" t="str">
        <f t="shared" si="0"/>
        <v>09</v>
      </c>
      <c r="B19" t="s">
        <v>245</v>
      </c>
      <c r="C19" t="str">
        <f>VLOOKUP(B19,Table4[],2,FALSE)</f>
        <v xml:space="preserve"> Roela Lasteaed</v>
      </c>
      <c r="D19" t="str">
        <f>VLOOKUP(Table6[[#This Row],[Tegevusala]],Table4[[Tegevusala kood]:[Tegevusala alanimetus]],4,FALSE)</f>
        <v>Alusharidus</v>
      </c>
      <c r="E19" t="str">
        <f>VLOOKUP(Table6[[#This Row],[Tegevusala]],Table4[[Tegevusala kood]:[Tegevusala alanimetus]],3,FALSE)</f>
        <v>Haridus</v>
      </c>
      <c r="F19" t="s">
        <v>623</v>
      </c>
      <c r="G19" t="s">
        <v>617</v>
      </c>
      <c r="H19">
        <v>221</v>
      </c>
      <c r="I19" t="s">
        <v>1648</v>
      </c>
      <c r="J19">
        <v>28.8</v>
      </c>
      <c r="K19" t="s">
        <v>1375</v>
      </c>
      <c r="L19">
        <v>0.8</v>
      </c>
      <c r="M19" s="40">
        <f>Table6[[#This Row],[ühik]]*Table6[[#This Row],[ühik3]]*Table6[[#This Row],[hind]]</f>
        <v>5091.84</v>
      </c>
      <c r="N19" t="s">
        <v>2008</v>
      </c>
      <c r="O19">
        <v>32206</v>
      </c>
      <c r="P19" t="str">
        <f>VLOOKUP(Table6[[#This Row],[Konto]],Table5[[Konto]:[Konto nimetus]],2,FALSE)</f>
        <v>Lasteaia toiduraha</v>
      </c>
      <c r="Q19">
        <v>32</v>
      </c>
      <c r="R19" t="str">
        <f t="shared" si="1"/>
        <v>32</v>
      </c>
      <c r="S19" t="str">
        <f>VLOOKUP(Table6[[#This Row],[Tulu/kulu liik2]],Table5[[Tulu/kulu liik]:[Kontode koondnimetus]],4,FALSE)</f>
        <v>Tulud kaupade ja teenuste müügist</v>
      </c>
      <c r="T19" t="str">
        <f>VLOOKUP(Table6[[#This Row],[Tulu/kulu liik2]],Table5[],6,FALSE)</f>
        <v>Tulud kaupade ja teenuste müügist</v>
      </c>
      <c r="U19" t="str">
        <f>VLOOKUP(Table6[[#This Row],[Tulu/kulu liik2]],Table5[],5,FALSE)</f>
        <v>Põhitegevuse tulu</v>
      </c>
    </row>
    <row r="20" spans="1:21" x14ac:dyDescent="0.25">
      <c r="A20" s="3" t="str">
        <f t="shared" ref="A20:A25" si="2">LEFT(B20,2)</f>
        <v>01</v>
      </c>
      <c r="B20" t="s">
        <v>15</v>
      </c>
      <c r="C20" s="3" t="str">
        <f>VLOOKUP(B20,Table4[],2,FALSE)</f>
        <v xml:space="preserve"> Valla- ja linnavalitsus</v>
      </c>
      <c r="D20" s="3" t="str">
        <f>VLOOKUP(Table6[[#This Row],[Tegevusala]],Table4[[Tegevusala kood]:[Tegevusala alanimetus]],4,FALSE)</f>
        <v>Valla- ja linnavalitsus</v>
      </c>
      <c r="E20" s="3" t="str">
        <f>VLOOKUP(Table6[[#This Row],[Tegevusala]],Table4[[Tegevusala kood]:[Tegevusala alanimetus]],3,FALSE)</f>
        <v>Üldised valitsussektori teenused</v>
      </c>
      <c r="F20" t="s">
        <v>473</v>
      </c>
      <c r="G20" t="s">
        <v>78</v>
      </c>
      <c r="H20">
        <v>1</v>
      </c>
      <c r="I20" t="s">
        <v>241</v>
      </c>
      <c r="J20">
        <v>1.08</v>
      </c>
      <c r="L20" s="7">
        <v>5238779</v>
      </c>
      <c r="M20" s="40">
        <f>Table6[[#This Row],[ühik]]*Table6[[#This Row],[ühik3]]*Table6[[#This Row],[hind]]</f>
        <v>5657881.3200000003</v>
      </c>
      <c r="O20" s="3">
        <v>3000</v>
      </c>
      <c r="P20" s="3" t="str">
        <f>VLOOKUP(Table6[[#This Row],[Konto]],Table5[[Konto]:[Konto nimetus]],2,FALSE)</f>
        <v>Füüsilise isiku tulumaks</v>
      </c>
      <c r="Q20" s="3">
        <v>3000</v>
      </c>
      <c r="R20" s="3" t="str">
        <f t="shared" ref="R20:R25" si="3">LEFT(O20,2)</f>
        <v>30</v>
      </c>
      <c r="S20" s="3" t="str">
        <f>VLOOKUP(Table6[[#This Row],[Tulu/kulu liik2]],Table5[[Tulu/kulu liik]:[Kontode koondnimetus]],4,FALSE)</f>
        <v>Maksutulud</v>
      </c>
      <c r="T20" s="3" t="str">
        <f>VLOOKUP(Table6[[#This Row],[Tulu/kulu liik2]],Table5[],6,FALSE)</f>
        <v>Füüsilise isiku tulumaks</v>
      </c>
      <c r="U20" s="3" t="str">
        <f>VLOOKUP(Table6[[#This Row],[Tulu/kulu liik2]],Table5[],5,FALSE)</f>
        <v>Põhitegevuse tulu</v>
      </c>
    </row>
    <row r="21" spans="1:21" x14ac:dyDescent="0.25">
      <c r="A21" s="3" t="str">
        <f t="shared" si="2"/>
        <v>10</v>
      </c>
      <c r="B21" s="3" t="s">
        <v>356</v>
      </c>
      <c r="C21" s="3" t="str">
        <f>VLOOKUP(B21,Table4[],2,FALSE)</f>
        <v xml:space="preserve"> Tammiku Kodu</v>
      </c>
      <c r="D21" s="3" t="str">
        <f>VLOOKUP(Table6[[#This Row],[Tegevusala]],Table4[[Tegevusala kood]:[Tegevusala alanimetus]],4,FALSE)</f>
        <v>Eakate sotsiaalhoolekande asutused</v>
      </c>
      <c r="E21" s="3" t="str">
        <f>VLOOKUP(Table6[[#This Row],[Tegevusala]],Table4[[Tegevusala kood]:[Tegevusala alanimetus]],3,FALSE)</f>
        <v>Sotsiaalne kaitse</v>
      </c>
      <c r="F21" t="s">
        <v>1572</v>
      </c>
      <c r="G21" t="s">
        <v>616</v>
      </c>
      <c r="H21">
        <v>24</v>
      </c>
      <c r="I21" t="s">
        <v>2054</v>
      </c>
      <c r="J21">
        <v>12</v>
      </c>
      <c r="K21" t="s">
        <v>2055</v>
      </c>
      <c r="L21">
        <v>605</v>
      </c>
      <c r="M21" s="40">
        <f>Table6[[#This Row],[ühik]]*Table6[[#This Row],[ühik3]]*Table6[[#This Row],[hind]]</f>
        <v>174240</v>
      </c>
      <c r="O21" s="3">
        <v>3224</v>
      </c>
      <c r="P21" s="3" t="str">
        <f>VLOOKUP(Table6[[#This Row],[Konto]],Table5[[Konto]:[Konto nimetus]],2,FALSE)</f>
        <v>Tulud sotsiaalabi teenustest</v>
      </c>
      <c r="Q21" s="3">
        <v>32</v>
      </c>
      <c r="R21" s="3" t="str">
        <f t="shared" si="3"/>
        <v>32</v>
      </c>
      <c r="S21" s="3" t="str">
        <f>VLOOKUP(Table6[[#This Row],[Tulu/kulu liik2]],Table5[[Tulu/kulu liik]:[Kontode koondnimetus]],4,FALSE)</f>
        <v>Tulud kaupade ja teenuste müügist</v>
      </c>
      <c r="T21" s="3" t="str">
        <f>VLOOKUP(Table6[[#This Row],[Tulu/kulu liik2]],Table5[],6,FALSE)</f>
        <v>Tulud kaupade ja teenuste müügist</v>
      </c>
      <c r="U21" s="3" t="str">
        <f>VLOOKUP(Table6[[#This Row],[Tulu/kulu liik2]],Table5[],5,FALSE)</f>
        <v>Põhitegevuse tulu</v>
      </c>
    </row>
    <row r="22" spans="1:21" x14ac:dyDescent="0.25">
      <c r="A22" s="3" t="str">
        <f t="shared" si="2"/>
        <v>10</v>
      </c>
      <c r="B22" s="3" t="s">
        <v>358</v>
      </c>
      <c r="C22" s="3" t="str">
        <f>VLOOKUP(B22,Table4[],2,FALSE)</f>
        <v xml:space="preserve"> Ulvi Kodu</v>
      </c>
      <c r="D22" s="3" t="str">
        <f>VLOOKUP(Table6[[#This Row],[Tegevusala]],Table4[[Tegevusala kood]:[Tegevusala alanimetus]],4,FALSE)</f>
        <v>Eakate sotsiaalhoolekande asutused</v>
      </c>
      <c r="E22" s="3" t="str">
        <f>VLOOKUP(Table6[[#This Row],[Tegevusala]],Table4[[Tegevusala kood]:[Tegevusala alanimetus]],3,FALSE)</f>
        <v>Sotsiaalne kaitse</v>
      </c>
      <c r="F22" t="s">
        <v>1619</v>
      </c>
      <c r="G22" t="s">
        <v>616</v>
      </c>
      <c r="H22">
        <v>30</v>
      </c>
      <c r="I22" t="s">
        <v>2054</v>
      </c>
      <c r="J22">
        <v>12</v>
      </c>
      <c r="K22" t="s">
        <v>2055</v>
      </c>
      <c r="L22">
        <v>630</v>
      </c>
      <c r="M22" s="40">
        <f>Table6[[#This Row],[ühik]]*Table6[[#This Row],[ühik3]]*Table6[[#This Row],[hind]]</f>
        <v>226800</v>
      </c>
      <c r="O22" s="3">
        <v>3224</v>
      </c>
      <c r="P22" s="3" t="str">
        <f>VLOOKUP(Table6[[#This Row],[Konto]],Table5[[Konto]:[Konto nimetus]],2,FALSE)</f>
        <v>Tulud sotsiaalabi teenustest</v>
      </c>
      <c r="Q22" s="3">
        <v>32</v>
      </c>
      <c r="R22" s="3" t="str">
        <f t="shared" si="3"/>
        <v>32</v>
      </c>
      <c r="S22" s="3" t="str">
        <f>VLOOKUP(Table6[[#This Row],[Tulu/kulu liik2]],Table5[[Tulu/kulu liik]:[Kontode koondnimetus]],4,FALSE)</f>
        <v>Tulud kaupade ja teenuste müügist</v>
      </c>
      <c r="T22" s="3" t="str">
        <f>VLOOKUP(Table6[[#This Row],[Tulu/kulu liik2]],Table5[],6,FALSE)</f>
        <v>Tulud kaupade ja teenuste müügist</v>
      </c>
      <c r="U22" s="3" t="str">
        <f>VLOOKUP(Table6[[#This Row],[Tulu/kulu liik2]],Table5[],5,FALSE)</f>
        <v>Põhitegevuse tulu</v>
      </c>
    </row>
    <row r="23" spans="1:21" x14ac:dyDescent="0.25">
      <c r="A23" s="3" t="str">
        <f t="shared" si="2"/>
        <v>01</v>
      </c>
      <c r="B23" t="s">
        <v>15</v>
      </c>
      <c r="C23" s="3" t="str">
        <f>VLOOKUP(B23,Table4[],2,FALSE)</f>
        <v xml:space="preserve"> Valla- ja linnavalitsus</v>
      </c>
      <c r="D23" s="3" t="str">
        <f>VLOOKUP(Table6[[#This Row],[Tegevusala]],Table4[[Tegevusala kood]:[Tegevusala alanimetus]],4,FALSE)</f>
        <v>Valla- ja linnavalitsus</v>
      </c>
      <c r="E23" s="3" t="str">
        <f>VLOOKUP(Table6[[#This Row],[Tegevusala]],Table4[[Tegevusala kood]:[Tegevusala alanimetus]],3,FALSE)</f>
        <v>Üldised valitsussektori teenused</v>
      </c>
      <c r="F23" t="s">
        <v>606</v>
      </c>
      <c r="G23" t="s">
        <v>1649</v>
      </c>
      <c r="H23">
        <v>1</v>
      </c>
      <c r="I23" t="s">
        <v>241</v>
      </c>
      <c r="J23">
        <v>1</v>
      </c>
      <c r="L23">
        <v>87300</v>
      </c>
      <c r="M23" s="40">
        <f>Table6[[#This Row],[ühik]]*Table6[[#This Row],[ühik3]]*Table6[[#This Row],[hind]]</f>
        <v>87300</v>
      </c>
      <c r="O23" s="3">
        <v>38251</v>
      </c>
      <c r="P23" s="3" t="str">
        <f>VLOOKUP(Table6[[#This Row],[Konto]],Table5[[Konto]:[Konto nimetus]],2,FALSE)</f>
        <v>Kohaliku tähtsusega maardlate kaevandamisõiguse tasu</v>
      </c>
      <c r="Q23" s="3">
        <v>38251</v>
      </c>
      <c r="R23" s="3" t="str">
        <f t="shared" si="3"/>
        <v>38</v>
      </c>
      <c r="S23" s="3" t="str">
        <f>VLOOKUP(Table6[[#This Row],[Tulu/kulu liik2]],Table5[[Tulu/kulu liik]:[Kontode koondnimetus]],4,FALSE)</f>
        <v>Muud tegevustulud</v>
      </c>
      <c r="T23" s="3" t="str">
        <f>VLOOKUP(Table6[[#This Row],[Tulu/kulu liik2]],Table5[],6,FALSE)</f>
        <v>Kohaliku tähtsusega maardlate kaevandamisõiguse tasu</v>
      </c>
      <c r="U23" s="3" t="str">
        <f>VLOOKUP(Table6[[#This Row],[Tulu/kulu liik2]],Table5[],5,FALSE)</f>
        <v>Põhitegevuse tulu</v>
      </c>
    </row>
    <row r="24" spans="1:21" x14ac:dyDescent="0.25">
      <c r="A24" s="3" t="str">
        <f t="shared" si="2"/>
        <v>01</v>
      </c>
      <c r="B24" t="s">
        <v>15</v>
      </c>
      <c r="C24" s="3" t="str">
        <f>VLOOKUP(B24,Table4[],2,FALSE)</f>
        <v xml:space="preserve"> Valla- ja linnavalitsus</v>
      </c>
      <c r="D24" s="3" t="str">
        <f>VLOOKUP(Table6[[#This Row],[Tegevusala]],Table4[[Tegevusala kood]:[Tegevusala alanimetus]],4,FALSE)</f>
        <v>Valla- ja linnavalitsus</v>
      </c>
      <c r="E24" s="3" t="str">
        <f>VLOOKUP(Table6[[#This Row],[Tegevusala]],Table4[[Tegevusala kood]:[Tegevusala alanimetus]],3,FALSE)</f>
        <v>Üldised valitsussektori teenused</v>
      </c>
      <c r="F24" t="s">
        <v>606</v>
      </c>
      <c r="G24" t="s">
        <v>2120</v>
      </c>
      <c r="H24">
        <v>1</v>
      </c>
      <c r="I24" t="s">
        <v>241</v>
      </c>
      <c r="J24">
        <v>1</v>
      </c>
      <c r="L24">
        <v>13300</v>
      </c>
      <c r="M24" s="40">
        <f>Table6[[#This Row],[ühik]]*Table6[[#This Row],[ühik3]]*Table6[[#This Row],[hind]]</f>
        <v>13300</v>
      </c>
      <c r="O24" s="3">
        <v>38254</v>
      </c>
      <c r="P24" s="3" t="str">
        <f>VLOOKUP(Table6[[#This Row],[Konto]],Table5[[Konto]:[Konto nimetus]],2,FALSE)</f>
        <v>Tasu vee erikasutusest</v>
      </c>
      <c r="Q24" s="3">
        <v>38254</v>
      </c>
      <c r="R24" s="3" t="str">
        <f t="shared" si="3"/>
        <v>38</v>
      </c>
      <c r="S24" s="3" t="str">
        <f>VLOOKUP(Table6[[#This Row],[Tulu/kulu liik2]],Table5[[Tulu/kulu liik]:[Kontode koondnimetus]],4,FALSE)</f>
        <v>Muud tegevustulud</v>
      </c>
      <c r="T24" s="3" t="str">
        <f>VLOOKUP(Table6[[#This Row],[Tulu/kulu liik2]],Table5[],6,FALSE)</f>
        <v>Laekumine vee erikasutusest</v>
      </c>
      <c r="U24" s="3" t="str">
        <f>VLOOKUP(Table6[[#This Row],[Tulu/kulu liik2]],Table5[],5,FALSE)</f>
        <v>Põhitegevuse tulu</v>
      </c>
    </row>
    <row r="25" spans="1:21" x14ac:dyDescent="0.25">
      <c r="A25" s="32" t="str">
        <f t="shared" si="2"/>
        <v>01</v>
      </c>
      <c r="B25" s="8" t="s">
        <v>15</v>
      </c>
      <c r="C25" s="32" t="str">
        <f>VLOOKUP(B25,Table4[],2,FALSE)</f>
        <v xml:space="preserve"> Valla- ja linnavalitsus</v>
      </c>
      <c r="D25" s="32" t="str">
        <f>VLOOKUP(Table6[[#This Row],[Tegevusala]],Table4[[Tegevusala kood]:[Tegevusala alanimetus]],4,FALSE)</f>
        <v>Valla- ja linnavalitsus</v>
      </c>
      <c r="E25" s="32" t="str">
        <f>VLOOKUP(Table6[[#This Row],[Tegevusala]],Table4[[Tegevusala kood]:[Tegevusala alanimetus]],3,FALSE)</f>
        <v>Üldised valitsussektori teenused</v>
      </c>
      <c r="F25" s="8" t="s">
        <v>606</v>
      </c>
      <c r="G25" s="8" t="s">
        <v>152</v>
      </c>
      <c r="H25" s="8"/>
      <c r="I25" s="8"/>
      <c r="J25" s="8"/>
      <c r="K25" s="8"/>
      <c r="L25" s="8"/>
      <c r="M25" s="43">
        <f>Table6[[#This Row],[ühik]]*Table6[[#This Row],[ühik3]]*Table6[[#This Row],[hind]]</f>
        <v>0</v>
      </c>
      <c r="N25" s="8"/>
      <c r="O25" s="32">
        <v>3882</v>
      </c>
      <c r="P25" s="32" t="str">
        <f>VLOOKUP(Table6[[#This Row],[Konto]],Table5[[Konto]:[Konto nimetus]],2,FALSE)</f>
        <v>Saastetasud</v>
      </c>
      <c r="Q25" s="32">
        <v>3882</v>
      </c>
      <c r="R25" s="32" t="str">
        <f t="shared" si="3"/>
        <v>38</v>
      </c>
      <c r="S25" s="32" t="str">
        <f>VLOOKUP(Table6[[#This Row],[Tulu/kulu liik2]],Table5[[Tulu/kulu liik]:[Kontode koondnimetus]],4,FALSE)</f>
        <v>Muud tegevustulud</v>
      </c>
      <c r="T25" s="32" t="str">
        <f>VLOOKUP(Table6[[#This Row],[Tulu/kulu liik2]],Table5[],6,FALSE)</f>
        <v>Saastetasud ja keskkonnale tekitatud kahju hüvitis</v>
      </c>
      <c r="U25" s="32" t="str">
        <f>VLOOKUP(Table6[[#This Row],[Tulu/kulu liik2]],Table5[],5,FALSE)</f>
        <v>Põhitegevuse tulu</v>
      </c>
    </row>
    <row r="26" spans="1:21" x14ac:dyDescent="0.25">
      <c r="A26" s="34" t="str">
        <f>LEFT(B26,2)</f>
        <v>01</v>
      </c>
      <c r="B26" s="33" t="s">
        <v>15</v>
      </c>
      <c r="C26" s="34" t="str">
        <f>VLOOKUP(B26,Table4[],2,FALSE)</f>
        <v xml:space="preserve"> Valla- ja linnavalitsus</v>
      </c>
      <c r="D26" s="34" t="str">
        <f>VLOOKUP(Table6[[#This Row],[Tegevusala]],Table4[[Tegevusala kood]:[Tegevusala alanimetus]],4,FALSE)</f>
        <v>Valla- ja linnavalitsus</v>
      </c>
      <c r="E26" s="34" t="str">
        <f>VLOOKUP(Table6[[#This Row],[Tegevusala]],Table4[[Tegevusala kood]:[Tegevusala alanimetus]],3,FALSE)</f>
        <v>Üldised valitsussektori teenused</v>
      </c>
      <c r="F26" s="33" t="s">
        <v>606</v>
      </c>
      <c r="G26" s="33" t="s">
        <v>96</v>
      </c>
      <c r="H26" s="33">
        <v>12</v>
      </c>
      <c r="I26" s="33" t="s">
        <v>2055</v>
      </c>
      <c r="J26" s="33">
        <v>15</v>
      </c>
      <c r="K26" s="33" t="s">
        <v>2005</v>
      </c>
      <c r="L26" s="33">
        <v>30</v>
      </c>
      <c r="M26" s="47">
        <f>Table6[[#This Row],[ühik]]*Table6[[#This Row],[ühik3]]*Table6[[#This Row],[hind]]</f>
        <v>5400</v>
      </c>
      <c r="N26" s="33"/>
      <c r="O26" s="34">
        <v>320</v>
      </c>
      <c r="P26" s="34" t="str">
        <f>VLOOKUP(Table6[[#This Row],[Konto]],Table5[[Konto]:[Konto nimetus]],2,FALSE)</f>
        <v>Riigilõivud</v>
      </c>
      <c r="Q26" s="34">
        <v>32</v>
      </c>
      <c r="R26" s="34" t="str">
        <f>LEFT(O26,2)</f>
        <v>32</v>
      </c>
      <c r="S26" s="34" t="str">
        <f>VLOOKUP(Table6[[#This Row],[Tulu/kulu liik2]],Table5[[Tulu/kulu liik]:[Kontode koondnimetus]],4,FALSE)</f>
        <v>Tulud kaupade ja teenuste müügist</v>
      </c>
      <c r="T26" s="34" t="str">
        <f>VLOOKUP(Table6[[#This Row],[Tulu/kulu liik2]],Table5[],6,FALSE)</f>
        <v>Tulud kaupade ja teenuste müügist</v>
      </c>
      <c r="U26" s="34" t="str">
        <f>VLOOKUP(Table6[[#This Row],[Tulu/kulu liik2]],Table5[],5,FALSE)</f>
        <v>Põhitegevuse tulu</v>
      </c>
    </row>
    <row r="27" spans="1:21" x14ac:dyDescent="0.25">
      <c r="A27" s="32" t="str">
        <f>LEFT(B27,2)</f>
        <v>03</v>
      </c>
      <c r="B27" s="32" t="s">
        <v>27</v>
      </c>
      <c r="C27" s="32" t="str">
        <f>VLOOKUP(B27,Table4[],2,FALSE)</f>
        <v xml:space="preserve"> Päästeteenused</v>
      </c>
      <c r="D27" s="32" t="str">
        <f>VLOOKUP(Table6[[#This Row],[Tegevusala]],Table4[[Tegevusala kood]:[Tegevusala alanimetus]],4,FALSE)</f>
        <v>Päästeteenused</v>
      </c>
      <c r="E27" s="32" t="str">
        <f>VLOOKUP(Table6[[#This Row],[Tegevusala]],Table4[[Tegevusala kood]:[Tegevusala alanimetus]],3,FALSE)</f>
        <v>Avalik kord ja julgeolek</v>
      </c>
      <c r="F27" s="8" t="s">
        <v>752</v>
      </c>
      <c r="G27" s="8" t="s">
        <v>2103</v>
      </c>
      <c r="H27" s="8">
        <v>4</v>
      </c>
      <c r="I27" s="8" t="s">
        <v>2104</v>
      </c>
      <c r="J27" s="8">
        <v>1</v>
      </c>
      <c r="K27" s="8"/>
      <c r="L27" s="8">
        <v>900</v>
      </c>
      <c r="M27" s="43">
        <f>Table6[[#This Row],[ühik]]*Table6[[#This Row],[ühik3]]*Table6[[#This Row],[hind]]</f>
        <v>3600</v>
      </c>
      <c r="N27" s="8"/>
      <c r="O27" s="32">
        <v>3227</v>
      </c>
      <c r="P27" s="32" t="str">
        <f>VLOOKUP(Table6[[#This Row],[Konto]],Table5[[Konto]:[Konto nimetus]],2,FALSE)</f>
        <v>Laekumised korrakaitseasutuste majandustegevusest</v>
      </c>
      <c r="Q27" s="32">
        <v>32</v>
      </c>
      <c r="R27" s="32" t="str">
        <f>LEFT(O27,2)</f>
        <v>32</v>
      </c>
      <c r="S27" s="32" t="str">
        <f>VLOOKUP(Table6[[#This Row],[Tulu/kulu liik2]],Table5[[Tulu/kulu liik]:[Kontode koondnimetus]],4,FALSE)</f>
        <v>Tulud kaupade ja teenuste müügist</v>
      </c>
      <c r="T27" s="32" t="str">
        <f>VLOOKUP(Table6[[#This Row],[Tulu/kulu liik2]],Table5[],6,FALSE)</f>
        <v>Tulud kaupade ja teenuste müügist</v>
      </c>
      <c r="U27" s="32" t="str">
        <f>VLOOKUP(Table6[[#This Row],[Tulu/kulu liik2]],Table5[],5,FALSE)</f>
        <v>Põhitegevuse tulu</v>
      </c>
    </row>
    <row r="28" spans="1:21" x14ac:dyDescent="0.25">
      <c r="A28" s="32" t="str">
        <f t="shared" ref="A28:A38" si="4">LEFT(B28,2)</f>
        <v>03</v>
      </c>
      <c r="B28" s="32" t="s">
        <v>27</v>
      </c>
      <c r="C28" s="32" t="str">
        <f>VLOOKUP(B28,Table4[],2,FALSE)</f>
        <v xml:space="preserve"> Päästeteenused</v>
      </c>
      <c r="D28" s="32" t="str">
        <f>VLOOKUP(Table6[[#This Row],[Tegevusala]],Table4[[Tegevusala kood]:[Tegevusala alanimetus]],4,FALSE)</f>
        <v>Päästeteenused</v>
      </c>
      <c r="E28" s="32" t="str">
        <f>VLOOKUP(Table6[[#This Row],[Tegevusala]],Table4[[Tegevusala kood]:[Tegevusala alanimetus]],3,FALSE)</f>
        <v>Avalik kord ja julgeolek</v>
      </c>
      <c r="F28" s="8" t="s">
        <v>752</v>
      </c>
      <c r="G28" s="8" t="s">
        <v>2105</v>
      </c>
      <c r="H28" s="8">
        <v>4</v>
      </c>
      <c r="I28" s="8" t="s">
        <v>2104</v>
      </c>
      <c r="J28" s="8">
        <v>1</v>
      </c>
      <c r="K28" s="8" t="s">
        <v>241</v>
      </c>
      <c r="L28" s="8">
        <v>290</v>
      </c>
      <c r="M28" s="43">
        <f>Table6[[#This Row],[ühik]]*Table6[[#This Row],[ühik3]]*Table6[[#This Row],[hind]]</f>
        <v>1160</v>
      </c>
      <c r="N28" s="8"/>
      <c r="O28" s="32">
        <v>3227</v>
      </c>
      <c r="P28" s="32" t="str">
        <f>VLOOKUP(Table6[[#This Row],[Konto]],Table5[[Konto]:[Konto nimetus]],2,FALSE)</f>
        <v>Laekumised korrakaitseasutuste majandustegevusest</v>
      </c>
      <c r="Q28" s="32">
        <v>32</v>
      </c>
      <c r="R28" s="32" t="str">
        <f t="shared" ref="R28:R38" si="5">LEFT(O28,2)</f>
        <v>32</v>
      </c>
      <c r="S28" s="32" t="str">
        <f>VLOOKUP(Table6[[#This Row],[Tulu/kulu liik2]],Table5[[Tulu/kulu liik]:[Kontode koondnimetus]],4,FALSE)</f>
        <v>Tulud kaupade ja teenuste müügist</v>
      </c>
      <c r="T28" s="32" t="str">
        <f>VLOOKUP(Table6[[#This Row],[Tulu/kulu liik2]],Table5[],6,FALSE)</f>
        <v>Tulud kaupade ja teenuste müügist</v>
      </c>
      <c r="U28" s="32" t="str">
        <f>VLOOKUP(Table6[[#This Row],[Tulu/kulu liik2]],Table5[],5,FALSE)</f>
        <v>Põhitegevuse tulu</v>
      </c>
    </row>
    <row r="29" spans="1:21" x14ac:dyDescent="0.25">
      <c r="A29" s="32" t="str">
        <f t="shared" si="4"/>
        <v>03</v>
      </c>
      <c r="B29" s="32" t="s">
        <v>27</v>
      </c>
      <c r="C29" s="32" t="str">
        <f>VLOOKUP(B29,Table4[],2,FALSE)</f>
        <v xml:space="preserve"> Päästeteenused</v>
      </c>
      <c r="D29" s="32" t="str">
        <f>VLOOKUP(Table6[[#This Row],[Tegevusala]],Table4[[Tegevusala kood]:[Tegevusala alanimetus]],4,FALSE)</f>
        <v>Päästeteenused</v>
      </c>
      <c r="E29" s="32" t="str">
        <f>VLOOKUP(Table6[[#This Row],[Tegevusala]],Table4[[Tegevusala kood]:[Tegevusala alanimetus]],3,FALSE)</f>
        <v>Avalik kord ja julgeolek</v>
      </c>
      <c r="F29" s="8" t="s">
        <v>752</v>
      </c>
      <c r="G29" s="8" t="s">
        <v>2106</v>
      </c>
      <c r="H29" s="8">
        <v>4</v>
      </c>
      <c r="I29" s="8" t="s">
        <v>2104</v>
      </c>
      <c r="J29" s="8">
        <v>1</v>
      </c>
      <c r="K29" s="8"/>
      <c r="L29" s="8">
        <v>225</v>
      </c>
      <c r="M29" s="43">
        <f>Table6[[#This Row],[ühik]]*Table6[[#This Row],[ühik3]]*Table6[[#This Row],[hind]]</f>
        <v>900</v>
      </c>
      <c r="N29" s="8"/>
      <c r="O29" s="32">
        <v>3227</v>
      </c>
      <c r="P29" s="32" t="str">
        <f>VLOOKUP(Table6[[#This Row],[Konto]],Table5[[Konto]:[Konto nimetus]],2,FALSE)</f>
        <v>Laekumised korrakaitseasutuste majandustegevusest</v>
      </c>
      <c r="Q29" s="32">
        <v>32</v>
      </c>
      <c r="R29" s="32" t="str">
        <f t="shared" si="5"/>
        <v>32</v>
      </c>
      <c r="S29" s="32" t="str">
        <f>VLOOKUP(Table6[[#This Row],[Tulu/kulu liik2]],Table5[[Tulu/kulu liik]:[Kontode koondnimetus]],4,FALSE)</f>
        <v>Tulud kaupade ja teenuste müügist</v>
      </c>
      <c r="T29" s="32" t="str">
        <f>VLOOKUP(Table6[[#This Row],[Tulu/kulu liik2]],Table5[],6,FALSE)</f>
        <v>Tulud kaupade ja teenuste müügist</v>
      </c>
      <c r="U29" s="32" t="str">
        <f>VLOOKUP(Table6[[#This Row],[Tulu/kulu liik2]],Table5[],5,FALSE)</f>
        <v>Põhitegevuse tulu</v>
      </c>
    </row>
    <row r="30" spans="1:21" x14ac:dyDescent="0.25">
      <c r="A30" s="3" t="str">
        <f t="shared" si="4"/>
        <v>01</v>
      </c>
      <c r="B30" s="8" t="s">
        <v>15</v>
      </c>
      <c r="C30" s="3" t="str">
        <f>VLOOKUP(B30,Table4[],2,FALSE)</f>
        <v xml:space="preserve"> Valla- ja linnavalitsus</v>
      </c>
      <c r="D30" s="3" t="str">
        <f>VLOOKUP(Table6[[#This Row],[Tegevusala]],Table4[[Tegevusala kood]:[Tegevusala alanimetus]],4,FALSE)</f>
        <v>Valla- ja linnavalitsus</v>
      </c>
      <c r="E30" s="3" t="str">
        <f>VLOOKUP(Table6[[#This Row],[Tegevusala]],Table4[[Tegevusala kood]:[Tegevusala alanimetus]],3,FALSE)</f>
        <v>Üldised valitsussektori teenused</v>
      </c>
      <c r="F30" s="8" t="s">
        <v>606</v>
      </c>
      <c r="G30" t="s">
        <v>2100</v>
      </c>
      <c r="H30">
        <v>12</v>
      </c>
      <c r="I30" t="s">
        <v>2055</v>
      </c>
      <c r="J30">
        <v>7</v>
      </c>
      <c r="K30" t="s">
        <v>2005</v>
      </c>
      <c r="L30">
        <v>24</v>
      </c>
      <c r="M30" s="40">
        <f>Table6[[#This Row],[ühik]]*Table6[[#This Row],[ühik3]]*Table6[[#This Row],[hind]]</f>
        <v>2016</v>
      </c>
      <c r="N30" t="s">
        <v>2101</v>
      </c>
      <c r="O30" s="3">
        <v>3225</v>
      </c>
      <c r="P30" s="3" t="str">
        <f>VLOOKUP(Table6[[#This Row],[Konto]],Table5[[Konto]:[Konto nimetus]],2,FALSE)</f>
        <v>Laekumised elamu- ja kommunaalasutuste majandustegevusest</v>
      </c>
      <c r="Q30" s="3">
        <v>32</v>
      </c>
      <c r="R30" s="3" t="str">
        <f t="shared" si="5"/>
        <v>32</v>
      </c>
      <c r="S30" s="3" t="str">
        <f>VLOOKUP(Table6[[#This Row],[Tulu/kulu liik2]],Table5[[Tulu/kulu liik]:[Kontode koondnimetus]],4,FALSE)</f>
        <v>Tulud kaupade ja teenuste müügist</v>
      </c>
      <c r="T30" s="3" t="str">
        <f>VLOOKUP(Table6[[#This Row],[Tulu/kulu liik2]],Table5[],6,FALSE)</f>
        <v>Tulud kaupade ja teenuste müügist</v>
      </c>
      <c r="U30" s="3" t="str">
        <f>VLOOKUP(Table6[[#This Row],[Tulu/kulu liik2]],Table5[],5,FALSE)</f>
        <v>Põhitegevuse tulu</v>
      </c>
    </row>
    <row r="31" spans="1:21" x14ac:dyDescent="0.25">
      <c r="A31" s="3" t="str">
        <f t="shared" si="4"/>
        <v>06</v>
      </c>
      <c r="B31" s="3" t="s">
        <v>260</v>
      </c>
      <c r="C31" s="3" t="str">
        <f>VLOOKUP(B31,Table4[],2,FALSE)</f>
        <v xml:space="preserve"> Saunad</v>
      </c>
      <c r="D31" s="3" t="str">
        <f>VLOOKUP(Table6[[#This Row],[Tegevusala]],Table4[[Tegevusala kood]:[Tegevusala alanimetus]],4,FALSE)</f>
        <v>Muu elamu- ja kommunaalmajanduse tegevus</v>
      </c>
      <c r="E31" s="3" t="str">
        <f>VLOOKUP(Table6[[#This Row],[Tegevusala]],Table4[[Tegevusala kood]:[Tegevusala alanimetus]],3,FALSE)</f>
        <v>Elamu- ja kommunaalmajandus</v>
      </c>
      <c r="F31" t="s">
        <v>972</v>
      </c>
      <c r="G31" t="s">
        <v>2107</v>
      </c>
      <c r="H31">
        <v>12</v>
      </c>
      <c r="I31" t="s">
        <v>2055</v>
      </c>
      <c r="J31">
        <v>1</v>
      </c>
      <c r="L31">
        <v>300</v>
      </c>
      <c r="M31" s="40">
        <f>Table6[[#This Row],[ühik]]*Table6[[#This Row],[ühik3]]*Table6[[#This Row],[hind]]</f>
        <v>3600</v>
      </c>
      <c r="O31" s="3">
        <v>3232</v>
      </c>
      <c r="P31" s="3" t="str">
        <f>VLOOKUP(Table6[[#This Row],[Konto]],Table5[[Konto]:[Konto nimetus]],2,FALSE)</f>
        <v>Laekumised muude majandusküsimustega tegelevate asutustega</v>
      </c>
      <c r="Q31" s="3">
        <v>32</v>
      </c>
      <c r="R31" s="3" t="str">
        <f t="shared" si="5"/>
        <v>32</v>
      </c>
      <c r="S31" s="3" t="str">
        <f>VLOOKUP(Table6[[#This Row],[Tulu/kulu liik2]],Table5[[Tulu/kulu liik]:[Kontode koondnimetus]],4,FALSE)</f>
        <v>Tulud kaupade ja teenuste müügist</v>
      </c>
      <c r="T31" s="3" t="str">
        <f>VLOOKUP(Table6[[#This Row],[Tulu/kulu liik2]],Table5[],6,FALSE)</f>
        <v>Tulud kaupade ja teenuste müügist</v>
      </c>
      <c r="U31" s="3" t="str">
        <f>VLOOKUP(Table6[[#This Row],[Tulu/kulu liik2]],Table5[],5,FALSE)</f>
        <v>Põhitegevuse tulu</v>
      </c>
    </row>
    <row r="32" spans="1:21" x14ac:dyDescent="0.25">
      <c r="A32" s="3" t="str">
        <f t="shared" si="4"/>
        <v>01</v>
      </c>
      <c r="B32" s="34" t="s">
        <v>15</v>
      </c>
      <c r="C32" s="3" t="str">
        <f>VLOOKUP(B32,Table4[],2,FALSE)</f>
        <v xml:space="preserve"> Valla- ja linnavalitsus</v>
      </c>
      <c r="D32" s="3" t="str">
        <f>VLOOKUP(Table6[[#This Row],[Tegevusala]],Table4[[Tegevusala kood]:[Tegevusala alanimetus]],4,FALSE)</f>
        <v>Valla- ja linnavalitsus</v>
      </c>
      <c r="E32" s="3" t="str">
        <f>VLOOKUP(Table6[[#This Row],[Tegevusala]],Table4[[Tegevusala kood]:[Tegevusala alanimetus]],3,FALSE)</f>
        <v>Üldised valitsussektori teenused</v>
      </c>
      <c r="F32" t="s">
        <v>606</v>
      </c>
      <c r="G32" t="s">
        <v>2109</v>
      </c>
      <c r="H32">
        <v>12</v>
      </c>
      <c r="I32" t="s">
        <v>2055</v>
      </c>
      <c r="J32">
        <v>1</v>
      </c>
      <c r="L32">
        <v>3500</v>
      </c>
      <c r="M32" s="40">
        <f>Table6[[#This Row],[ühik]]*Table6[[#This Row],[ühik3]]*Table6[[#This Row],[hind]]</f>
        <v>42000</v>
      </c>
      <c r="O32" s="3">
        <v>3233</v>
      </c>
      <c r="P32" s="3" t="str">
        <f>VLOOKUP(Table6[[#This Row],[Konto]],Table5[[Konto]:[Konto nimetus]],2,FALSE)</f>
        <v>Üüri- ja renditulud</v>
      </c>
      <c r="Q32" s="3">
        <v>32</v>
      </c>
      <c r="R32" s="3" t="str">
        <f t="shared" si="5"/>
        <v>32</v>
      </c>
      <c r="S32" s="3" t="str">
        <f>VLOOKUP(Table6[[#This Row],[Tulu/kulu liik2]],Table5[[Tulu/kulu liik]:[Kontode koondnimetus]],4,FALSE)</f>
        <v>Tulud kaupade ja teenuste müügist</v>
      </c>
      <c r="T32" s="3" t="str">
        <f>VLOOKUP(Table6[[#This Row],[Tulu/kulu liik2]],Table5[],6,FALSE)</f>
        <v>Tulud kaupade ja teenuste müügist</v>
      </c>
      <c r="U32" s="3" t="str">
        <f>VLOOKUP(Table6[[#This Row],[Tulu/kulu liik2]],Table5[],5,FALSE)</f>
        <v>Põhitegevuse tulu</v>
      </c>
    </row>
    <row r="33" spans="1:21" x14ac:dyDescent="0.25">
      <c r="A33" s="3" t="str">
        <f t="shared" si="4"/>
        <v>01</v>
      </c>
      <c r="B33" s="34" t="s">
        <v>15</v>
      </c>
      <c r="C33" s="3" t="str">
        <f>VLOOKUP(B33,Table4[],2,FALSE)</f>
        <v xml:space="preserve"> Valla- ja linnavalitsus</v>
      </c>
      <c r="D33" s="3" t="str">
        <f>VLOOKUP(Table6[[#This Row],[Tegevusala]],Table4[[Tegevusala kood]:[Tegevusala alanimetus]],4,FALSE)</f>
        <v>Valla- ja linnavalitsus</v>
      </c>
      <c r="E33" s="3" t="str">
        <f>VLOOKUP(Table6[[#This Row],[Tegevusala]],Table4[[Tegevusala kood]:[Tegevusala alanimetus]],3,FALSE)</f>
        <v>Üldised valitsussektori teenused</v>
      </c>
      <c r="F33" t="s">
        <v>606</v>
      </c>
      <c r="G33" t="s">
        <v>2111</v>
      </c>
      <c r="H33">
        <v>12</v>
      </c>
      <c r="I33" t="s">
        <v>2055</v>
      </c>
      <c r="J33">
        <v>1</v>
      </c>
      <c r="L33">
        <v>800</v>
      </c>
      <c r="M33" s="40">
        <f>Table6[[#This Row],[ühik]]*Table6[[#This Row],[ühik3]]*Table6[[#This Row],[hind]]</f>
        <v>9600</v>
      </c>
      <c r="O33" s="3">
        <v>3233</v>
      </c>
      <c r="P33" s="3" t="str">
        <f>VLOOKUP(Table6[[#This Row],[Konto]],Table5[[Konto]:[Konto nimetus]],2,FALSE)</f>
        <v>Üüri- ja renditulud</v>
      </c>
      <c r="Q33" s="3">
        <v>32</v>
      </c>
      <c r="R33" s="3" t="str">
        <f t="shared" si="5"/>
        <v>32</v>
      </c>
      <c r="S33" s="3" t="str">
        <f>VLOOKUP(Table6[[#This Row],[Tulu/kulu liik2]],Table5[[Tulu/kulu liik]:[Kontode koondnimetus]],4,FALSE)</f>
        <v>Tulud kaupade ja teenuste müügist</v>
      </c>
      <c r="T33" s="3" t="str">
        <f>VLOOKUP(Table6[[#This Row],[Tulu/kulu liik2]],Table5[],6,FALSE)</f>
        <v>Tulud kaupade ja teenuste müügist</v>
      </c>
      <c r="U33" s="3" t="str">
        <f>VLOOKUP(Table6[[#This Row],[Tulu/kulu liik2]],Table5[],5,FALSE)</f>
        <v>Põhitegevuse tulu</v>
      </c>
    </row>
    <row r="34" spans="1:21" x14ac:dyDescent="0.25">
      <c r="A34" s="3" t="str">
        <f t="shared" si="4"/>
        <v>01</v>
      </c>
      <c r="B34" s="34" t="s">
        <v>15</v>
      </c>
      <c r="C34" s="3" t="str">
        <f>VLOOKUP(B34,Table4[],2,FALSE)</f>
        <v xml:space="preserve"> Valla- ja linnavalitsus</v>
      </c>
      <c r="D34" s="3" t="str">
        <f>VLOOKUP(Table6[[#This Row],[Tegevusala]],Table4[[Tegevusala kood]:[Tegevusala alanimetus]],4,FALSE)</f>
        <v>Valla- ja linnavalitsus</v>
      </c>
      <c r="E34" s="3" t="str">
        <f>VLOOKUP(Table6[[#This Row],[Tegevusala]],Table4[[Tegevusala kood]:[Tegevusala alanimetus]],3,FALSE)</f>
        <v>Üldised valitsussektori teenused</v>
      </c>
      <c r="F34" t="s">
        <v>606</v>
      </c>
      <c r="G34" t="s">
        <v>2112</v>
      </c>
      <c r="H34">
        <v>12</v>
      </c>
      <c r="I34" t="s">
        <v>2055</v>
      </c>
      <c r="J34">
        <v>1</v>
      </c>
      <c r="L34">
        <v>500</v>
      </c>
      <c r="M34" s="40">
        <f>Table6[[#This Row],[ühik]]*Table6[[#This Row],[ühik3]]*Table6[[#This Row],[hind]]</f>
        <v>6000</v>
      </c>
      <c r="O34" s="3">
        <v>3233</v>
      </c>
      <c r="P34" s="3" t="str">
        <f>VLOOKUP(Table6[[#This Row],[Konto]],Table5[[Konto]:[Konto nimetus]],2,FALSE)</f>
        <v>Üüri- ja renditulud</v>
      </c>
      <c r="Q34" s="3">
        <v>32</v>
      </c>
      <c r="R34" s="3" t="str">
        <f t="shared" si="5"/>
        <v>32</v>
      </c>
      <c r="S34" s="3" t="str">
        <f>VLOOKUP(Table6[[#This Row],[Tulu/kulu liik2]],Table5[[Tulu/kulu liik]:[Kontode koondnimetus]],4,FALSE)</f>
        <v>Tulud kaupade ja teenuste müügist</v>
      </c>
      <c r="T34" s="3" t="str">
        <f>VLOOKUP(Table6[[#This Row],[Tulu/kulu liik2]],Table5[],6,FALSE)</f>
        <v>Tulud kaupade ja teenuste müügist</v>
      </c>
      <c r="U34" s="3" t="str">
        <f>VLOOKUP(Table6[[#This Row],[Tulu/kulu liik2]],Table5[],5,FALSE)</f>
        <v>Põhitegevuse tulu</v>
      </c>
    </row>
    <row r="35" spans="1:21" x14ac:dyDescent="0.25">
      <c r="A35" s="3" t="str">
        <f t="shared" si="4"/>
        <v>01</v>
      </c>
      <c r="B35" s="34" t="s">
        <v>15</v>
      </c>
      <c r="C35" s="3" t="str">
        <f>VLOOKUP(B35,Table4[],2,FALSE)</f>
        <v xml:space="preserve"> Valla- ja linnavalitsus</v>
      </c>
      <c r="D35" s="3" t="str">
        <f>VLOOKUP(Table6[[#This Row],[Tegevusala]],Table4[[Tegevusala kood]:[Tegevusala alanimetus]],4,FALSE)</f>
        <v>Valla- ja linnavalitsus</v>
      </c>
      <c r="E35" s="3" t="str">
        <f>VLOOKUP(Table6[[#This Row],[Tegevusala]],Table4[[Tegevusala kood]:[Tegevusala alanimetus]],3,FALSE)</f>
        <v>Üldised valitsussektori teenused</v>
      </c>
      <c r="F35" t="s">
        <v>606</v>
      </c>
      <c r="G35" t="s">
        <v>2113</v>
      </c>
      <c r="H35">
        <v>12</v>
      </c>
      <c r="I35" t="s">
        <v>2055</v>
      </c>
      <c r="J35">
        <v>1</v>
      </c>
      <c r="L35">
        <v>110</v>
      </c>
      <c r="M35" s="40">
        <f>Table6[[#This Row],[ühik]]*Table6[[#This Row],[ühik3]]*Table6[[#This Row],[hind]]</f>
        <v>1320</v>
      </c>
      <c r="O35" s="3">
        <v>3233</v>
      </c>
      <c r="P35" s="3" t="str">
        <f>VLOOKUP(Table6[[#This Row],[Konto]],Table5[[Konto]:[Konto nimetus]],2,FALSE)</f>
        <v>Üüri- ja renditulud</v>
      </c>
      <c r="Q35" s="3">
        <v>32</v>
      </c>
      <c r="R35" s="3" t="str">
        <f t="shared" si="5"/>
        <v>32</v>
      </c>
      <c r="S35" s="3" t="str">
        <f>VLOOKUP(Table6[[#This Row],[Tulu/kulu liik2]],Table5[[Tulu/kulu liik]:[Kontode koondnimetus]],4,FALSE)</f>
        <v>Tulud kaupade ja teenuste müügist</v>
      </c>
      <c r="T35" s="3" t="str">
        <f>VLOOKUP(Table6[[#This Row],[Tulu/kulu liik2]],Table5[],6,FALSE)</f>
        <v>Tulud kaupade ja teenuste müügist</v>
      </c>
      <c r="U35" s="3" t="str">
        <f>VLOOKUP(Table6[[#This Row],[Tulu/kulu liik2]],Table5[],5,FALSE)</f>
        <v>Põhitegevuse tulu</v>
      </c>
    </row>
    <row r="36" spans="1:21" x14ac:dyDescent="0.25">
      <c r="A36" s="3" t="str">
        <f t="shared" si="4"/>
        <v>01</v>
      </c>
      <c r="B36" s="34" t="s">
        <v>15</v>
      </c>
      <c r="C36" s="3" t="str">
        <f>VLOOKUP(B36,Table4[],2,FALSE)</f>
        <v xml:space="preserve"> Valla- ja linnavalitsus</v>
      </c>
      <c r="D36" s="3" t="str">
        <f>VLOOKUP(Table6[[#This Row],[Tegevusala]],Table4[[Tegevusala kood]:[Tegevusala alanimetus]],4,FALSE)</f>
        <v>Valla- ja linnavalitsus</v>
      </c>
      <c r="E36" s="3" t="str">
        <f>VLOOKUP(Table6[[#This Row],[Tegevusala]],Table4[[Tegevusala kood]:[Tegevusala alanimetus]],3,FALSE)</f>
        <v>Üldised valitsussektori teenused</v>
      </c>
      <c r="F36" t="s">
        <v>606</v>
      </c>
      <c r="G36" t="s">
        <v>2114</v>
      </c>
      <c r="H36">
        <v>12</v>
      </c>
      <c r="I36" t="s">
        <v>2055</v>
      </c>
      <c r="J36">
        <v>1</v>
      </c>
      <c r="L36">
        <v>930</v>
      </c>
      <c r="M36" s="40">
        <f>Table6[[#This Row],[ühik]]*Table6[[#This Row],[ühik3]]*Table6[[#This Row],[hind]]</f>
        <v>11160</v>
      </c>
      <c r="O36" s="3">
        <v>3233</v>
      </c>
      <c r="P36" s="3" t="str">
        <f>VLOOKUP(Table6[[#This Row],[Konto]],Table5[[Konto]:[Konto nimetus]],2,FALSE)</f>
        <v>Üüri- ja renditulud</v>
      </c>
      <c r="Q36" s="3">
        <v>32</v>
      </c>
      <c r="R36" s="3" t="str">
        <f t="shared" si="5"/>
        <v>32</v>
      </c>
      <c r="S36" s="3" t="str">
        <f>VLOOKUP(Table6[[#This Row],[Tulu/kulu liik2]],Table5[[Tulu/kulu liik]:[Kontode koondnimetus]],4,FALSE)</f>
        <v>Tulud kaupade ja teenuste müügist</v>
      </c>
      <c r="T36" s="3" t="str">
        <f>VLOOKUP(Table6[[#This Row],[Tulu/kulu liik2]],Table5[],6,FALSE)</f>
        <v>Tulud kaupade ja teenuste müügist</v>
      </c>
      <c r="U36" s="3" t="str">
        <f>VLOOKUP(Table6[[#This Row],[Tulu/kulu liik2]],Table5[],5,FALSE)</f>
        <v>Põhitegevuse tulu</v>
      </c>
    </row>
    <row r="37" spans="1:21" x14ac:dyDescent="0.25">
      <c r="A37" s="3" t="str">
        <f t="shared" si="4"/>
        <v>01</v>
      </c>
      <c r="B37" s="34" t="s">
        <v>15</v>
      </c>
      <c r="C37" s="3" t="str">
        <f>VLOOKUP(B37,Table4[],2,FALSE)</f>
        <v xml:space="preserve"> Valla- ja linnavalitsus</v>
      </c>
      <c r="D37" s="3" t="str">
        <f>VLOOKUP(Table6[[#This Row],[Tegevusala]],Table4[[Tegevusala kood]:[Tegevusala alanimetus]],4,FALSE)</f>
        <v>Valla- ja linnavalitsus</v>
      </c>
      <c r="E37" s="3" t="str">
        <f>VLOOKUP(Table6[[#This Row],[Tegevusala]],Table4[[Tegevusala kood]:[Tegevusala alanimetus]],3,FALSE)</f>
        <v>Üldised valitsussektori teenused</v>
      </c>
      <c r="F37" t="s">
        <v>606</v>
      </c>
      <c r="G37" t="s">
        <v>2115</v>
      </c>
      <c r="H37">
        <v>12</v>
      </c>
      <c r="I37" t="s">
        <v>2055</v>
      </c>
      <c r="J37">
        <v>1</v>
      </c>
      <c r="L37">
        <v>47.93</v>
      </c>
      <c r="M37" s="40">
        <f>Table6[[#This Row],[ühik]]*Table6[[#This Row],[ühik3]]*Table6[[#This Row],[hind]]</f>
        <v>575.16</v>
      </c>
      <c r="O37" s="3">
        <v>3233</v>
      </c>
      <c r="P37" s="3" t="str">
        <f>VLOOKUP(Table6[[#This Row],[Konto]],Table5[[Konto]:[Konto nimetus]],2,FALSE)</f>
        <v>Üüri- ja renditulud</v>
      </c>
      <c r="Q37" s="3">
        <v>32</v>
      </c>
      <c r="R37" s="3" t="str">
        <f t="shared" si="5"/>
        <v>32</v>
      </c>
      <c r="S37" s="3" t="str">
        <f>VLOOKUP(Table6[[#This Row],[Tulu/kulu liik2]],Table5[[Tulu/kulu liik]:[Kontode koondnimetus]],4,FALSE)</f>
        <v>Tulud kaupade ja teenuste müügist</v>
      </c>
      <c r="T37" s="3" t="str">
        <f>VLOOKUP(Table6[[#This Row],[Tulu/kulu liik2]],Table5[],6,FALSE)</f>
        <v>Tulud kaupade ja teenuste müügist</v>
      </c>
      <c r="U37" s="3" t="str">
        <f>VLOOKUP(Table6[[#This Row],[Tulu/kulu liik2]],Table5[],5,FALSE)</f>
        <v>Põhitegevuse tulu</v>
      </c>
    </row>
    <row r="38" spans="1:21" x14ac:dyDescent="0.25">
      <c r="A38" s="3" t="str">
        <f t="shared" si="4"/>
        <v>01</v>
      </c>
      <c r="B38" s="34" t="s">
        <v>15</v>
      </c>
      <c r="C38" s="3" t="str">
        <f>VLOOKUP(B38,Table4[],2,FALSE)</f>
        <v xml:space="preserve"> Valla- ja linnavalitsus</v>
      </c>
      <c r="D38" s="3" t="str">
        <f>VLOOKUP(Table6[[#This Row],[Tegevusala]],Table4[[Tegevusala kood]:[Tegevusala alanimetus]],4,FALSE)</f>
        <v>Valla- ja linnavalitsus</v>
      </c>
      <c r="E38" s="3" t="str">
        <f>VLOOKUP(Table6[[#This Row],[Tegevusala]],Table4[[Tegevusala kood]:[Tegevusala alanimetus]],3,FALSE)</f>
        <v>Üldised valitsussektori teenused</v>
      </c>
      <c r="F38" t="s">
        <v>444</v>
      </c>
      <c r="G38" t="s">
        <v>2116</v>
      </c>
      <c r="H38">
        <v>12</v>
      </c>
      <c r="I38" t="s">
        <v>2055</v>
      </c>
      <c r="J38">
        <v>1</v>
      </c>
      <c r="L38">
        <v>520</v>
      </c>
      <c r="M38" s="40">
        <f>Table6[[#This Row],[ühik]]*Table6[[#This Row],[ühik3]]*Table6[[#This Row],[hind]]</f>
        <v>6240</v>
      </c>
      <c r="O38" s="3">
        <v>3224</v>
      </c>
      <c r="P38" s="3" t="str">
        <f>VLOOKUP(Table6[[#This Row],[Konto]],Table5[[Konto]:[Konto nimetus]],2,FALSE)</f>
        <v>Tulud sotsiaalabi teenustest</v>
      </c>
      <c r="Q38" s="3">
        <v>32</v>
      </c>
      <c r="R38" s="3" t="str">
        <f t="shared" si="5"/>
        <v>32</v>
      </c>
      <c r="S38" s="3" t="str">
        <f>VLOOKUP(Table6[[#This Row],[Tulu/kulu liik2]],Table5[[Tulu/kulu liik]:[Kontode koondnimetus]],4,FALSE)</f>
        <v>Tulud kaupade ja teenuste müügist</v>
      </c>
      <c r="T38" s="3" t="str">
        <f>VLOOKUP(Table6[[#This Row],[Tulu/kulu liik2]],Table5[],6,FALSE)</f>
        <v>Tulud kaupade ja teenuste müügist</v>
      </c>
      <c r="U38" s="3" t="str">
        <f>VLOOKUP(Table6[[#This Row],[Tulu/kulu liik2]],Table5[],5,FALSE)</f>
        <v>Põhitegevuse tulu</v>
      </c>
    </row>
    <row r="39" spans="1:21" x14ac:dyDescent="0.25">
      <c r="A39" s="3" t="str">
        <f t="shared" ref="A39:A46" si="6">LEFT(B39,2)</f>
        <v>01</v>
      </c>
      <c r="B39" s="34" t="s">
        <v>15</v>
      </c>
      <c r="C39" s="3" t="str">
        <f>VLOOKUP(B39,Table4[],2,FALSE)</f>
        <v xml:space="preserve"> Valla- ja linnavalitsus</v>
      </c>
      <c r="D39" s="3" t="str">
        <f>VLOOKUP(Table6[[#This Row],[Tegevusala]],Table4[[Tegevusala kood]:[Tegevusala alanimetus]],4,FALSE)</f>
        <v>Valla- ja linnavalitsus</v>
      </c>
      <c r="E39" s="3" t="str">
        <f>VLOOKUP(Table6[[#This Row],[Tegevusala]],Table4[[Tegevusala kood]:[Tegevusala alanimetus]],3,FALSE)</f>
        <v>Üldised valitsussektori teenused</v>
      </c>
      <c r="F39" t="s">
        <v>606</v>
      </c>
      <c r="G39" t="s">
        <v>2192</v>
      </c>
      <c r="H39">
        <v>1</v>
      </c>
      <c r="I39" t="s">
        <v>241</v>
      </c>
      <c r="J39">
        <v>1</v>
      </c>
      <c r="L39">
        <v>5000</v>
      </c>
      <c r="M39" s="40">
        <f>Table6[[#This Row],[ühik]]*Table6[[#This Row],[ühik3]]*Table6[[#This Row],[hind]]</f>
        <v>5000</v>
      </c>
      <c r="O39" s="3">
        <v>3520</v>
      </c>
      <c r="P39" s="3" t="str">
        <f>VLOOKUP(Table6[[#This Row],[Konto]],Table5[[Konto]:[Konto nimetus]],2,FALSE)</f>
        <v>Valitsussektorisisesed toetused</v>
      </c>
      <c r="Q39" s="3">
        <v>352</v>
      </c>
      <c r="R39" s="3" t="str">
        <f t="shared" ref="R39:R46" si="7">LEFT(O39,2)</f>
        <v>35</v>
      </c>
      <c r="S39" s="3" t="str">
        <f>VLOOKUP(Table6[[#This Row],[Tulu/kulu liik2]],Table5[[Tulu/kulu liik]:[Kontode koondnimetus]],4,FALSE)</f>
        <v>Muud saadud toetused tegevuskuludeks</v>
      </c>
      <c r="T39" s="3" t="str">
        <f>VLOOKUP(Table6[[#This Row],[Tulu/kulu liik2]],Table5[],6,FALSE)</f>
        <v>Mittesihtotstarbelised toetused</v>
      </c>
      <c r="U39" s="3" t="str">
        <f>VLOOKUP(Table6[[#This Row],[Tulu/kulu liik2]],Table5[],5,FALSE)</f>
        <v>Põhitegevuse tulu</v>
      </c>
    </row>
    <row r="40" spans="1:21" x14ac:dyDescent="0.25">
      <c r="A40" s="3" t="str">
        <f t="shared" si="6"/>
        <v>01</v>
      </c>
      <c r="B40" s="34" t="s">
        <v>15</v>
      </c>
      <c r="C40" s="3" t="str">
        <f>VLOOKUP(B40,Table4[],2,FALSE)</f>
        <v xml:space="preserve"> Valla- ja linnavalitsus</v>
      </c>
      <c r="D40" s="3" t="str">
        <f>VLOOKUP(Table6[[#This Row],[Tegevusala]],Table4[[Tegevusala kood]:[Tegevusala alanimetus]],4,FALSE)</f>
        <v>Valla- ja linnavalitsus</v>
      </c>
      <c r="E40" s="3" t="str">
        <f>VLOOKUP(Table6[[#This Row],[Tegevusala]],Table4[[Tegevusala kood]:[Tegevusala alanimetus]],3,FALSE)</f>
        <v>Üldised valitsussektori teenused</v>
      </c>
      <c r="F40" t="s">
        <v>606</v>
      </c>
      <c r="G40" t="s">
        <v>2193</v>
      </c>
      <c r="H40">
        <v>1</v>
      </c>
      <c r="I40" t="s">
        <v>241</v>
      </c>
      <c r="J40">
        <v>1</v>
      </c>
      <c r="L40">
        <v>6000</v>
      </c>
      <c r="M40" s="40">
        <f>Table6[[#This Row],[ühik]]*Table6[[#This Row],[ühik3]]*Table6[[#This Row],[hind]]</f>
        <v>6000</v>
      </c>
      <c r="O40" s="3">
        <v>3520</v>
      </c>
      <c r="P40" s="3" t="str">
        <f>VLOOKUP(Table6[[#This Row],[Konto]],Table5[[Konto]:[Konto nimetus]],2,FALSE)</f>
        <v>Valitsussektorisisesed toetused</v>
      </c>
      <c r="Q40" s="3">
        <v>352</v>
      </c>
      <c r="R40" s="3" t="str">
        <f t="shared" si="7"/>
        <v>35</v>
      </c>
      <c r="S40" s="3" t="str">
        <f>VLOOKUP(Table6[[#This Row],[Tulu/kulu liik2]],Table5[[Tulu/kulu liik]:[Kontode koondnimetus]],4,FALSE)</f>
        <v>Muud saadud toetused tegevuskuludeks</v>
      </c>
      <c r="T40" s="3" t="str">
        <f>VLOOKUP(Table6[[#This Row],[Tulu/kulu liik2]],Table5[],6,FALSE)</f>
        <v>Mittesihtotstarbelised toetused</v>
      </c>
      <c r="U40" s="3" t="str">
        <f>VLOOKUP(Table6[[#This Row],[Tulu/kulu liik2]],Table5[],5,FALSE)</f>
        <v>Põhitegevuse tulu</v>
      </c>
    </row>
    <row r="41" spans="1:21" x14ac:dyDescent="0.25">
      <c r="A41" s="3" t="str">
        <f t="shared" si="6"/>
        <v>09</v>
      </c>
      <c r="B41" s="3" t="s">
        <v>337</v>
      </c>
      <c r="C41" s="3" t="str">
        <f>VLOOKUP(B41,Table4[],2,FALSE)</f>
        <v xml:space="preserve"> Roela Õpilaskodu</v>
      </c>
      <c r="D41" s="3" t="str">
        <f>VLOOKUP(Table6[[#This Row],[Tegevusala]],Table4[[Tegevusala kood]:[Tegevusala alanimetus]],4,FALSE)</f>
        <v>Öömaja</v>
      </c>
      <c r="E41" s="3" t="str">
        <f>VLOOKUP(Table6[[#This Row],[Tegevusala]],Table4[[Tegevusala kood]:[Tegevusala alanimetus]],3,FALSE)</f>
        <v>Haridus</v>
      </c>
      <c r="F41" t="s">
        <v>1527</v>
      </c>
      <c r="G41" t="s">
        <v>2194</v>
      </c>
      <c r="H41">
        <v>11</v>
      </c>
      <c r="I41" t="s">
        <v>2005</v>
      </c>
      <c r="J41">
        <v>1.3045450000000001</v>
      </c>
      <c r="L41">
        <v>2000</v>
      </c>
      <c r="M41" s="40">
        <f>Table6[[#This Row],[ühik]]*Table6[[#This Row],[ühik3]]*Table6[[#This Row],[hind]]</f>
        <v>28699.989999999998</v>
      </c>
      <c r="N41" t="s">
        <v>2195</v>
      </c>
      <c r="O41" s="3">
        <v>352</v>
      </c>
      <c r="P41" s="3" t="str">
        <f>VLOOKUP(Table6[[#This Row],[Konto]],Table5[[Konto]:[Konto nimetus]],2,FALSE)</f>
        <v>Mittesihtotstarbelised toetused</v>
      </c>
      <c r="Q41" s="3">
        <v>352</v>
      </c>
      <c r="R41" s="3" t="str">
        <f t="shared" si="7"/>
        <v>35</v>
      </c>
      <c r="S41" s="3" t="str">
        <f>VLOOKUP(Table6[[#This Row],[Tulu/kulu liik2]],Table5[[Tulu/kulu liik]:[Kontode koondnimetus]],4,FALSE)</f>
        <v>Muud saadud toetused tegevuskuludeks</v>
      </c>
      <c r="T41" s="3" t="str">
        <f>VLOOKUP(Table6[[#This Row],[Tulu/kulu liik2]],Table5[],6,FALSE)</f>
        <v>Mittesihtotstarbelised toetused</v>
      </c>
      <c r="U41" s="3" t="str">
        <f>VLOOKUP(Table6[[#This Row],[Tulu/kulu liik2]],Table5[],5,FALSE)</f>
        <v>Põhitegevuse tulu</v>
      </c>
    </row>
    <row r="42" spans="1:21" x14ac:dyDescent="0.25">
      <c r="A42" s="3" t="str">
        <f t="shared" si="6"/>
        <v>09</v>
      </c>
      <c r="B42" s="3" t="s">
        <v>315</v>
      </c>
      <c r="C42" s="3" t="str">
        <f>VLOOKUP(B42,Table4[],2,FALSE)</f>
        <v xml:space="preserve"> Tudu Lasteaed</v>
      </c>
      <c r="D42" s="3" t="str">
        <f>VLOOKUP(Table6[[#This Row],[Tegevusala]],Table4[[Tegevusala kood]:[Tegevusala alanimetus]],4,FALSE)</f>
        <v>Alusharidus</v>
      </c>
      <c r="E42" s="3" t="str">
        <f>VLOOKUP(Table6[[#This Row],[Tegevusala]],Table4[[Tegevusala kood]:[Tegevusala alanimetus]],3,FALSE)</f>
        <v>Haridus</v>
      </c>
      <c r="F42" t="s">
        <v>606</v>
      </c>
      <c r="G42" t="s">
        <v>2196</v>
      </c>
      <c r="H42">
        <v>12</v>
      </c>
      <c r="I42" t="s">
        <v>2055</v>
      </c>
      <c r="J42">
        <v>1</v>
      </c>
      <c r="K42" t="s">
        <v>241</v>
      </c>
      <c r="L42">
        <v>1833.34</v>
      </c>
      <c r="M42" s="40">
        <f>Table6[[#This Row],[ühik]]*Table6[[#This Row],[ühik3]]*Table6[[#This Row],[hind]]</f>
        <v>22000.079999999998</v>
      </c>
      <c r="O42" s="3">
        <v>3500</v>
      </c>
      <c r="P42" s="3" t="str">
        <f>VLOOKUP(Table6[[#This Row],[Konto]],Table5[[Konto]:[Konto nimetus]],2,FALSE)</f>
        <v>Sihtotstarbelised toetused jooksvateks kuludeks</v>
      </c>
      <c r="Q42" s="3">
        <v>352</v>
      </c>
      <c r="R42" s="3" t="str">
        <f t="shared" si="7"/>
        <v>35</v>
      </c>
      <c r="S42" s="3" t="str">
        <f>VLOOKUP(Table6[[#This Row],[Tulu/kulu liik2]],Table5[[Tulu/kulu liik]:[Kontode koondnimetus]],4,FALSE)</f>
        <v>Muud saadud toetused tegevuskuludeks</v>
      </c>
      <c r="T42" s="3" t="str">
        <f>VLOOKUP(Table6[[#This Row],[Tulu/kulu liik2]],Table5[],6,FALSE)</f>
        <v>Mittesihtotstarbelised toetused</v>
      </c>
      <c r="U42" s="3" t="str">
        <f>VLOOKUP(Table6[[#This Row],[Tulu/kulu liik2]],Table5[],5,FALSE)</f>
        <v>Põhitegevuse tulu</v>
      </c>
    </row>
    <row r="43" spans="1:21" x14ac:dyDescent="0.25">
      <c r="A43" s="3" t="str">
        <f t="shared" si="6"/>
        <v>04</v>
      </c>
      <c r="B43" s="3" t="s">
        <v>34</v>
      </c>
      <c r="C43" s="3" t="str">
        <f>VLOOKUP(B43,Table4[],2,FALSE)</f>
        <v xml:space="preserve"> Muu majandus (sh majanduse haldus)</v>
      </c>
      <c r="D43" s="3" t="str">
        <f>VLOOKUP(Table6[[#This Row],[Tegevusala]],Table4[[Tegevusala kood]:[Tegevusala alanimetus]],4,FALSE)</f>
        <v>Muu majandus (sh majanduse haldus)</v>
      </c>
      <c r="E43" s="3" t="str">
        <f>VLOOKUP(Table6[[#This Row],[Tegevusala]],Table4[[Tegevusala kood]:[Tegevusala alanimetus]],3,FALSE)</f>
        <v>Majandus</v>
      </c>
      <c r="F43" t="s">
        <v>630</v>
      </c>
      <c r="G43" t="s">
        <v>937</v>
      </c>
      <c r="H43">
        <v>1</v>
      </c>
      <c r="J43">
        <v>1</v>
      </c>
      <c r="L43">
        <v>35000</v>
      </c>
      <c r="M43" s="40">
        <f>Table6[[#This Row],[ühik]]*Table6[[#This Row],[ühik3]]*Table6[[#This Row],[hind]]</f>
        <v>35000</v>
      </c>
      <c r="O43" s="3">
        <v>20385</v>
      </c>
      <c r="P43" s="3" t="str">
        <f>VLOOKUP(Table6[[#This Row],[Konto]],Table5[[Konto]:[Konto nimetus]],2,FALSE)</f>
        <v>Põhivara soetuseks saadav sihtfinantseerimine</v>
      </c>
      <c r="Q43" s="3">
        <v>3502</v>
      </c>
      <c r="R43" s="3" t="str">
        <f t="shared" si="7"/>
        <v>20</v>
      </c>
      <c r="S43" s="3" t="str">
        <f>VLOOKUP(Table6[[#This Row],[Tulu/kulu liik2]],Table5[[Tulu/kulu liik]:[Kontode koondnimetus]],4,FALSE)</f>
        <v>Põhivara soetuseks saadav sihtfinantseerimine (+)</v>
      </c>
      <c r="T43" s="3" t="str">
        <f>VLOOKUP(Table6[[#This Row],[Tulu/kulu liik2]],Table5[],6,FALSE)</f>
        <v>Põhivara soetuseks saadav sihtfinantseerimine (+)</v>
      </c>
      <c r="U43" s="3" t="str">
        <f>VLOOKUP(Table6[[#This Row],[Tulu/kulu liik2]],Table5[],5,FALSE)</f>
        <v>Investeerimistegevus</v>
      </c>
    </row>
    <row r="44" spans="1:21" x14ac:dyDescent="0.25">
      <c r="A44" s="3" t="str">
        <f t="shared" si="6"/>
        <v>06</v>
      </c>
      <c r="B44" s="3" t="s">
        <v>40</v>
      </c>
      <c r="C44" s="3" t="str">
        <f>VLOOKUP(B44,Table4[],2,FALSE)</f>
        <v>Tänavavalgustus</v>
      </c>
      <c r="D44" s="3" t="str">
        <f>VLOOKUP(Table6[[#This Row],[Tegevusala]],Table4[[Tegevusala kood]:[Tegevusala alanimetus]],4,FALSE)</f>
        <v>Tänavavalgustus</v>
      </c>
      <c r="E44" s="3" t="str">
        <f>VLOOKUP(Table6[[#This Row],[Tegevusala]],Table4[[Tegevusala kood]:[Tegevusala alanimetus]],3,FALSE)</f>
        <v>Elamu- ja kommunaalmajandus</v>
      </c>
      <c r="F44" t="s">
        <v>822</v>
      </c>
      <c r="G44" t="s">
        <v>833</v>
      </c>
      <c r="H44">
        <v>1</v>
      </c>
      <c r="J44">
        <v>1</v>
      </c>
      <c r="L44">
        <v>470000</v>
      </c>
      <c r="M44" s="40">
        <f>Table6[[#This Row],[ühik]]*Table6[[#This Row],[ühik3]]*Table6[[#This Row],[hind]]</f>
        <v>470000</v>
      </c>
      <c r="O44" s="3">
        <v>20385</v>
      </c>
      <c r="P44" s="3" t="str">
        <f>VLOOKUP(Table6[[#This Row],[Konto]],Table5[[Konto]:[Konto nimetus]],2,FALSE)</f>
        <v>Põhivara soetuseks saadav sihtfinantseerimine</v>
      </c>
      <c r="Q44" s="3">
        <v>3502</v>
      </c>
      <c r="R44" s="3" t="str">
        <f t="shared" si="7"/>
        <v>20</v>
      </c>
      <c r="S44" s="3" t="str">
        <f>VLOOKUP(Table6[[#This Row],[Tulu/kulu liik2]],Table5[[Tulu/kulu liik]:[Kontode koondnimetus]],4,FALSE)</f>
        <v>Põhivara soetuseks saadav sihtfinantseerimine (+)</v>
      </c>
      <c r="T44" s="3" t="str">
        <f>VLOOKUP(Table6[[#This Row],[Tulu/kulu liik2]],Table5[],6,FALSE)</f>
        <v>Põhivara soetuseks saadav sihtfinantseerimine (+)</v>
      </c>
      <c r="U44" s="3" t="str">
        <f>VLOOKUP(Table6[[#This Row],[Tulu/kulu liik2]],Table5[],5,FALSE)</f>
        <v>Investeerimistegevus</v>
      </c>
    </row>
    <row r="45" spans="1:21" x14ac:dyDescent="0.25">
      <c r="A45" s="3" t="str">
        <f t="shared" si="6"/>
        <v>08</v>
      </c>
      <c r="B45" s="3" t="s">
        <v>306</v>
      </c>
      <c r="C45" s="3" t="str">
        <f>VLOOKUP(B45,Table4[],2,FALSE)</f>
        <v>Laekvere Rahvamaja</v>
      </c>
      <c r="D45" s="3" t="str">
        <f>VLOOKUP(Table6[[#This Row],[Tegevusala]],Table4[[Tegevusala kood]:[Tegevusala alanimetus]],4,FALSE)</f>
        <v>Rahvakultuur</v>
      </c>
      <c r="E45" s="3" t="str">
        <f>VLOOKUP(Table6[[#This Row],[Tegevusala]],Table4[[Tegevusala kood]:[Tegevusala alanimetus]],3,FALSE)</f>
        <v>Vabaaeg, kultuur ja religioon</v>
      </c>
      <c r="F45" t="s">
        <v>822</v>
      </c>
      <c r="G45" t="s">
        <v>2030</v>
      </c>
      <c r="H45">
        <v>1</v>
      </c>
      <c r="J45">
        <v>1</v>
      </c>
      <c r="L45">
        <v>20000</v>
      </c>
      <c r="M45" s="40">
        <f>Table6[[#This Row],[ühik]]*Table6[[#This Row],[ühik3]]*Table6[[#This Row],[hind]]</f>
        <v>20000</v>
      </c>
      <c r="O45" s="3">
        <v>20385</v>
      </c>
      <c r="P45" s="3" t="str">
        <f>VLOOKUP(Table6[[#This Row],[Konto]],Table5[[Konto]:[Konto nimetus]],2,FALSE)</f>
        <v>Põhivara soetuseks saadav sihtfinantseerimine</v>
      </c>
      <c r="Q45" s="3">
        <v>3502</v>
      </c>
      <c r="R45" s="3" t="str">
        <f t="shared" si="7"/>
        <v>20</v>
      </c>
      <c r="S45" s="3" t="str">
        <f>VLOOKUP(Table6[[#This Row],[Tulu/kulu liik2]],Table5[[Tulu/kulu liik]:[Kontode koondnimetus]],4,FALSE)</f>
        <v>Põhivara soetuseks saadav sihtfinantseerimine (+)</v>
      </c>
      <c r="T45" s="3" t="str">
        <f>VLOOKUP(Table6[[#This Row],[Tulu/kulu liik2]],Table5[],6,FALSE)</f>
        <v>Põhivara soetuseks saadav sihtfinantseerimine (+)</v>
      </c>
      <c r="U45" s="3" t="str">
        <f>VLOOKUP(Table6[[#This Row],[Tulu/kulu liik2]],Table5[],5,FALSE)</f>
        <v>Investeerimistegevus</v>
      </c>
    </row>
    <row r="46" spans="1:21" x14ac:dyDescent="0.25">
      <c r="A46" s="3" t="str">
        <f t="shared" si="6"/>
        <v>10</v>
      </c>
      <c r="B46" s="3" t="s">
        <v>358</v>
      </c>
      <c r="C46" s="3" t="str">
        <f>VLOOKUP(B46,Table4[],2,FALSE)</f>
        <v xml:space="preserve"> Ulvi Kodu</v>
      </c>
      <c r="D46" s="3" t="str">
        <f>VLOOKUP(Table6[[#This Row],[Tegevusala]],Table4[[Tegevusala kood]:[Tegevusala alanimetus]],4,FALSE)</f>
        <v>Eakate sotsiaalhoolekande asutused</v>
      </c>
      <c r="E46" s="3" t="str">
        <f>VLOOKUP(Table6[[#This Row],[Tegevusala]],Table4[[Tegevusala kood]:[Tegevusala alanimetus]],3,FALSE)</f>
        <v>Sotsiaalne kaitse</v>
      </c>
      <c r="F46" t="s">
        <v>630</v>
      </c>
      <c r="G46" t="s">
        <v>1569</v>
      </c>
      <c r="H46">
        <v>1</v>
      </c>
      <c r="J46">
        <v>1</v>
      </c>
      <c r="L46">
        <v>200000</v>
      </c>
      <c r="M46" s="40">
        <f>Table6[[#This Row],[ühik]]*Table6[[#This Row],[ühik3]]*Table6[[#This Row],[hind]]</f>
        <v>200000</v>
      </c>
      <c r="O46" s="3">
        <v>20385</v>
      </c>
      <c r="P46" s="3" t="str">
        <f>VLOOKUP(Table6[[#This Row],[Konto]],Table5[[Konto]:[Konto nimetus]],2,FALSE)</f>
        <v>Põhivara soetuseks saadav sihtfinantseerimine</v>
      </c>
      <c r="Q46" s="3">
        <v>3502</v>
      </c>
      <c r="R46" s="3" t="str">
        <f t="shared" si="7"/>
        <v>20</v>
      </c>
      <c r="S46" s="3" t="str">
        <f>VLOOKUP(Table6[[#This Row],[Tulu/kulu liik2]],Table5[[Tulu/kulu liik]:[Kontode koondnimetus]],4,FALSE)</f>
        <v>Põhivara soetuseks saadav sihtfinantseerimine (+)</v>
      </c>
      <c r="T46" s="3" t="str">
        <f>VLOOKUP(Table6[[#This Row],[Tulu/kulu liik2]],Table5[],6,FALSE)</f>
        <v>Põhivara soetuseks saadav sihtfinantseerimine (+)</v>
      </c>
      <c r="U46" s="3" t="str">
        <f>VLOOKUP(Table6[[#This Row],[Tulu/kulu liik2]],Table5[],5,FALSE)</f>
        <v>Investeerimistegevus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1" workbookViewId="0">
      <selection activeCell="A49" sqref="A49"/>
    </sheetView>
  </sheetViews>
  <sheetFormatPr defaultRowHeight="15" x14ac:dyDescent="0.25"/>
  <cols>
    <col min="1" max="2" width="14.85546875" customWidth="1"/>
    <col min="3" max="3" width="54.5703125" bestFit="1" customWidth="1"/>
    <col min="4" max="4" width="54.5703125" customWidth="1"/>
    <col min="5" max="5" width="21.5703125" bestFit="1" customWidth="1"/>
    <col min="6" max="6" width="22.42578125" bestFit="1" customWidth="1"/>
  </cols>
  <sheetData>
    <row r="1" spans="1:6" x14ac:dyDescent="0.25">
      <c r="A1" t="s">
        <v>8</v>
      </c>
      <c r="B1" t="s">
        <v>2</v>
      </c>
      <c r="C1" t="s">
        <v>91</v>
      </c>
      <c r="D1" t="s">
        <v>160</v>
      </c>
      <c r="E1" t="s">
        <v>135</v>
      </c>
      <c r="F1" t="s">
        <v>1987</v>
      </c>
    </row>
    <row r="2" spans="1:6" x14ac:dyDescent="0.25">
      <c r="A2">
        <v>3000</v>
      </c>
      <c r="B2">
        <v>3000</v>
      </c>
      <c r="C2" t="s">
        <v>78</v>
      </c>
      <c r="D2" t="s">
        <v>161</v>
      </c>
      <c r="E2" t="s">
        <v>84</v>
      </c>
      <c r="F2" t="s">
        <v>78</v>
      </c>
    </row>
    <row r="3" spans="1:6" x14ac:dyDescent="0.25">
      <c r="A3">
        <v>3030</v>
      </c>
      <c r="B3">
        <v>3030</v>
      </c>
      <c r="C3" t="s">
        <v>79</v>
      </c>
      <c r="D3" t="s">
        <v>161</v>
      </c>
      <c r="E3" t="s">
        <v>84</v>
      </c>
      <c r="F3" t="s">
        <v>79</v>
      </c>
    </row>
    <row r="4" spans="1:6" x14ac:dyDescent="0.25">
      <c r="A4">
        <v>32</v>
      </c>
      <c r="B4">
        <v>320</v>
      </c>
      <c r="C4" t="s">
        <v>96</v>
      </c>
      <c r="D4" t="s">
        <v>80</v>
      </c>
      <c r="E4" t="s">
        <v>84</v>
      </c>
      <c r="F4" t="s">
        <v>80</v>
      </c>
    </row>
    <row r="5" spans="1:6" x14ac:dyDescent="0.25">
      <c r="A5">
        <v>32</v>
      </c>
      <c r="B5">
        <v>322</v>
      </c>
      <c r="C5" t="s">
        <v>97</v>
      </c>
      <c r="D5" t="s">
        <v>80</v>
      </c>
      <c r="E5" t="s">
        <v>84</v>
      </c>
      <c r="F5" t="s">
        <v>80</v>
      </c>
    </row>
    <row r="6" spans="1:6" x14ac:dyDescent="0.25">
      <c r="A6">
        <v>32</v>
      </c>
      <c r="B6">
        <v>3220</v>
      </c>
      <c r="C6" t="s">
        <v>98</v>
      </c>
      <c r="D6" t="s">
        <v>80</v>
      </c>
      <c r="E6" t="s">
        <v>84</v>
      </c>
      <c r="F6" t="s">
        <v>80</v>
      </c>
    </row>
    <row r="7" spans="1:6" x14ac:dyDescent="0.25">
      <c r="A7">
        <v>32</v>
      </c>
      <c r="B7">
        <v>32201</v>
      </c>
      <c r="C7" t="s">
        <v>99</v>
      </c>
      <c r="D7" t="s">
        <v>80</v>
      </c>
      <c r="E7" t="s">
        <v>84</v>
      </c>
      <c r="F7" t="s">
        <v>80</v>
      </c>
    </row>
    <row r="8" spans="1:6" x14ac:dyDescent="0.25">
      <c r="A8">
        <v>32</v>
      </c>
      <c r="B8">
        <v>32202</v>
      </c>
      <c r="C8" t="s">
        <v>157</v>
      </c>
      <c r="D8" t="s">
        <v>80</v>
      </c>
      <c r="E8" t="s">
        <v>84</v>
      </c>
      <c r="F8" t="s">
        <v>80</v>
      </c>
    </row>
    <row r="9" spans="1:6" x14ac:dyDescent="0.25">
      <c r="A9">
        <v>32</v>
      </c>
      <c r="B9">
        <v>32206</v>
      </c>
      <c r="C9" t="s">
        <v>158</v>
      </c>
      <c r="D9" t="s">
        <v>80</v>
      </c>
      <c r="E9" t="s">
        <v>84</v>
      </c>
      <c r="F9" t="s">
        <v>80</v>
      </c>
    </row>
    <row r="10" spans="1:6" x14ac:dyDescent="0.25">
      <c r="A10">
        <v>32</v>
      </c>
      <c r="B10">
        <v>3224</v>
      </c>
      <c r="C10" t="s">
        <v>1618</v>
      </c>
      <c r="D10" t="s">
        <v>80</v>
      </c>
      <c r="E10" t="s">
        <v>84</v>
      </c>
      <c r="F10" t="s">
        <v>80</v>
      </c>
    </row>
    <row r="11" spans="1:6" x14ac:dyDescent="0.25">
      <c r="A11">
        <v>32</v>
      </c>
      <c r="B11">
        <v>3225</v>
      </c>
      <c r="C11" t="s">
        <v>2102</v>
      </c>
      <c r="D11" t="s">
        <v>80</v>
      </c>
      <c r="E11" t="s">
        <v>84</v>
      </c>
      <c r="F11" t="s">
        <v>80</v>
      </c>
    </row>
    <row r="12" spans="1:6" x14ac:dyDescent="0.25">
      <c r="A12">
        <v>32</v>
      </c>
      <c r="B12">
        <v>3227</v>
      </c>
      <c r="C12" t="s">
        <v>1847</v>
      </c>
      <c r="D12" t="s">
        <v>80</v>
      </c>
      <c r="E12" t="s">
        <v>84</v>
      </c>
      <c r="F12" t="s">
        <v>80</v>
      </c>
    </row>
    <row r="13" spans="1:6" x14ac:dyDescent="0.25">
      <c r="A13">
        <v>32</v>
      </c>
      <c r="B13">
        <v>3232</v>
      </c>
      <c r="C13" t="s">
        <v>2108</v>
      </c>
      <c r="D13" t="s">
        <v>80</v>
      </c>
      <c r="E13" t="s">
        <v>84</v>
      </c>
      <c r="F13" t="s">
        <v>80</v>
      </c>
    </row>
    <row r="14" spans="1:6" x14ac:dyDescent="0.25">
      <c r="A14">
        <v>32</v>
      </c>
      <c r="B14">
        <v>3233</v>
      </c>
      <c r="C14" t="s">
        <v>2110</v>
      </c>
      <c r="D14" t="s">
        <v>80</v>
      </c>
      <c r="E14" t="s">
        <v>84</v>
      </c>
      <c r="F14" t="s">
        <v>80</v>
      </c>
    </row>
    <row r="15" spans="1:6" x14ac:dyDescent="0.25">
      <c r="A15">
        <v>35200</v>
      </c>
      <c r="B15">
        <v>35200</v>
      </c>
      <c r="C15" t="s">
        <v>81</v>
      </c>
      <c r="D15" t="s">
        <v>162</v>
      </c>
      <c r="E15" t="s">
        <v>84</v>
      </c>
      <c r="F15" t="s">
        <v>81</v>
      </c>
    </row>
    <row r="16" spans="1:6" x14ac:dyDescent="0.25">
      <c r="A16">
        <v>35201</v>
      </c>
      <c r="B16">
        <v>35201</v>
      </c>
      <c r="C16" t="s">
        <v>82</v>
      </c>
      <c r="D16" t="s">
        <v>162</v>
      </c>
      <c r="E16" t="s">
        <v>84</v>
      </c>
      <c r="F16" t="s">
        <v>82</v>
      </c>
    </row>
    <row r="17" spans="1:6" x14ac:dyDescent="0.25">
      <c r="A17">
        <v>3500</v>
      </c>
      <c r="B17">
        <v>3500</v>
      </c>
      <c r="C17" t="s">
        <v>156</v>
      </c>
      <c r="D17" t="s">
        <v>519</v>
      </c>
      <c r="E17" t="s">
        <v>84</v>
      </c>
      <c r="F17" t="s">
        <v>519</v>
      </c>
    </row>
    <row r="18" spans="1:6" x14ac:dyDescent="0.25">
      <c r="A18">
        <v>352</v>
      </c>
      <c r="B18">
        <v>352</v>
      </c>
      <c r="C18" t="s">
        <v>155</v>
      </c>
      <c r="D18" t="s">
        <v>519</v>
      </c>
      <c r="E18" t="s">
        <v>84</v>
      </c>
      <c r="F18" t="s">
        <v>155</v>
      </c>
    </row>
    <row r="19" spans="1:6" x14ac:dyDescent="0.25">
      <c r="A19">
        <v>352</v>
      </c>
      <c r="B19">
        <v>3520</v>
      </c>
      <c r="C19" t="s">
        <v>154</v>
      </c>
      <c r="D19" t="s">
        <v>519</v>
      </c>
      <c r="E19" t="s">
        <v>84</v>
      </c>
      <c r="F19" t="s">
        <v>155</v>
      </c>
    </row>
    <row r="20" spans="1:6" x14ac:dyDescent="0.25">
      <c r="A20">
        <v>38251</v>
      </c>
      <c r="B20">
        <v>38251</v>
      </c>
      <c r="C20" t="s">
        <v>83</v>
      </c>
      <c r="D20" t="s">
        <v>163</v>
      </c>
      <c r="E20" t="s">
        <v>84</v>
      </c>
      <c r="F20" t="s">
        <v>83</v>
      </c>
    </row>
    <row r="21" spans="1:6" x14ac:dyDescent="0.25">
      <c r="A21">
        <v>38254</v>
      </c>
      <c r="B21">
        <v>38254</v>
      </c>
      <c r="C21" t="s">
        <v>153</v>
      </c>
      <c r="D21" t="s">
        <v>163</v>
      </c>
      <c r="E21" t="s">
        <v>84</v>
      </c>
      <c r="F21" t="s">
        <v>521</v>
      </c>
    </row>
    <row r="22" spans="1:6" x14ac:dyDescent="0.25">
      <c r="A22">
        <v>3882</v>
      </c>
      <c r="B22">
        <v>3882</v>
      </c>
      <c r="C22" t="s">
        <v>152</v>
      </c>
      <c r="D22" t="s">
        <v>163</v>
      </c>
      <c r="E22" t="s">
        <v>84</v>
      </c>
      <c r="F22" t="s">
        <v>522</v>
      </c>
    </row>
    <row r="23" spans="1:6" x14ac:dyDescent="0.25">
      <c r="A23">
        <v>413</v>
      </c>
      <c r="B23">
        <v>413</v>
      </c>
      <c r="C23" t="s">
        <v>151</v>
      </c>
      <c r="D23" t="s">
        <v>164</v>
      </c>
      <c r="E23" t="s">
        <v>85</v>
      </c>
      <c r="F23" t="s">
        <v>527</v>
      </c>
    </row>
    <row r="24" spans="1:6" ht="15.75" customHeight="1" x14ac:dyDescent="0.25">
      <c r="A24">
        <v>413</v>
      </c>
      <c r="B24">
        <v>41300</v>
      </c>
      <c r="C24" t="s">
        <v>149</v>
      </c>
      <c r="D24" t="s">
        <v>164</v>
      </c>
      <c r="E24" t="s">
        <v>85</v>
      </c>
      <c r="F24" t="s">
        <v>527</v>
      </c>
    </row>
    <row r="25" spans="1:6" ht="15.75" customHeight="1" x14ac:dyDescent="0.25">
      <c r="A25">
        <v>413</v>
      </c>
      <c r="B25">
        <v>41309</v>
      </c>
      <c r="C25" t="s">
        <v>150</v>
      </c>
      <c r="D25" t="s">
        <v>164</v>
      </c>
      <c r="E25" t="s">
        <v>85</v>
      </c>
      <c r="F25" t="s">
        <v>527</v>
      </c>
    </row>
    <row r="26" spans="1:6" ht="15.75" customHeight="1" x14ac:dyDescent="0.25">
      <c r="A26">
        <v>413</v>
      </c>
      <c r="B26">
        <v>4131</v>
      </c>
      <c r="C26" t="s">
        <v>140</v>
      </c>
      <c r="D26" t="s">
        <v>164</v>
      </c>
      <c r="E26" t="s">
        <v>85</v>
      </c>
      <c r="F26" t="s">
        <v>527</v>
      </c>
    </row>
    <row r="27" spans="1:6" ht="15.75" customHeight="1" x14ac:dyDescent="0.25">
      <c r="A27">
        <v>413</v>
      </c>
      <c r="B27">
        <v>41329</v>
      </c>
      <c r="C27" t="s">
        <v>646</v>
      </c>
      <c r="D27" t="s">
        <v>164</v>
      </c>
      <c r="E27" t="s">
        <v>85</v>
      </c>
      <c r="F27" t="s">
        <v>527</v>
      </c>
    </row>
    <row r="28" spans="1:6" ht="15.75" customHeight="1" x14ac:dyDescent="0.25">
      <c r="A28">
        <v>413</v>
      </c>
      <c r="B28">
        <v>41330</v>
      </c>
      <c r="C28" t="s">
        <v>142</v>
      </c>
      <c r="D28" t="s">
        <v>164</v>
      </c>
      <c r="E28" t="s">
        <v>85</v>
      </c>
      <c r="F28" t="s">
        <v>527</v>
      </c>
    </row>
    <row r="29" spans="1:6" ht="15.75" customHeight="1" x14ac:dyDescent="0.25">
      <c r="A29">
        <v>413</v>
      </c>
      <c r="B29">
        <v>41332</v>
      </c>
      <c r="C29" t="s">
        <v>143</v>
      </c>
      <c r="D29" t="s">
        <v>164</v>
      </c>
      <c r="E29" t="s">
        <v>85</v>
      </c>
      <c r="F29" t="s">
        <v>527</v>
      </c>
    </row>
    <row r="30" spans="1:6" ht="15.75" customHeight="1" x14ac:dyDescent="0.25">
      <c r="A30" s="8">
        <v>413</v>
      </c>
      <c r="B30" s="8">
        <v>41337</v>
      </c>
      <c r="C30" s="8" t="s">
        <v>719</v>
      </c>
      <c r="D30" s="8" t="s">
        <v>164</v>
      </c>
      <c r="E30" s="8" t="s">
        <v>85</v>
      </c>
      <c r="F30" t="s">
        <v>527</v>
      </c>
    </row>
    <row r="31" spans="1:6" ht="15.75" customHeight="1" x14ac:dyDescent="0.25">
      <c r="A31">
        <v>413</v>
      </c>
      <c r="B31">
        <v>41339</v>
      </c>
      <c r="C31" t="s">
        <v>144</v>
      </c>
      <c r="D31" t="s">
        <v>164</v>
      </c>
      <c r="E31" t="s">
        <v>85</v>
      </c>
      <c r="F31" t="s">
        <v>527</v>
      </c>
    </row>
    <row r="32" spans="1:6" ht="15.75" customHeight="1" x14ac:dyDescent="0.25">
      <c r="A32">
        <v>413</v>
      </c>
      <c r="B32">
        <v>4134</v>
      </c>
      <c r="C32" t="s">
        <v>141</v>
      </c>
      <c r="D32" t="s">
        <v>164</v>
      </c>
      <c r="E32" t="s">
        <v>85</v>
      </c>
      <c r="F32" t="s">
        <v>527</v>
      </c>
    </row>
    <row r="33" spans="1:6" ht="15.75" customHeight="1" x14ac:dyDescent="0.25">
      <c r="A33">
        <v>413</v>
      </c>
      <c r="B33">
        <v>4137</v>
      </c>
      <c r="C33" t="s">
        <v>145</v>
      </c>
      <c r="D33" t="s">
        <v>164</v>
      </c>
      <c r="E33" t="s">
        <v>85</v>
      </c>
      <c r="F33" t="s">
        <v>527</v>
      </c>
    </row>
    <row r="34" spans="1:6" ht="15.75" customHeight="1" x14ac:dyDescent="0.25">
      <c r="A34">
        <v>413</v>
      </c>
      <c r="B34">
        <v>41380</v>
      </c>
      <c r="C34" t="s">
        <v>147</v>
      </c>
      <c r="D34" t="s">
        <v>164</v>
      </c>
      <c r="E34" t="s">
        <v>85</v>
      </c>
      <c r="F34" t="s">
        <v>527</v>
      </c>
    </row>
    <row r="35" spans="1:6" x14ac:dyDescent="0.25">
      <c r="A35">
        <v>413</v>
      </c>
      <c r="B35">
        <v>41382</v>
      </c>
      <c r="C35" t="s">
        <v>146</v>
      </c>
      <c r="D35" t="s">
        <v>164</v>
      </c>
      <c r="E35" t="s">
        <v>85</v>
      </c>
      <c r="F35" t="s">
        <v>527</v>
      </c>
    </row>
    <row r="36" spans="1:6" x14ac:dyDescent="0.25">
      <c r="A36" s="8">
        <v>413</v>
      </c>
      <c r="B36" s="8">
        <v>41389</v>
      </c>
      <c r="C36" s="8" t="s">
        <v>674</v>
      </c>
      <c r="D36" s="8" t="s">
        <v>164</v>
      </c>
      <c r="E36" s="8" t="s">
        <v>85</v>
      </c>
      <c r="F36" t="s">
        <v>527</v>
      </c>
    </row>
    <row r="37" spans="1:6" x14ac:dyDescent="0.25">
      <c r="A37" s="8">
        <v>413</v>
      </c>
      <c r="B37" s="8">
        <v>413899</v>
      </c>
      <c r="C37" s="8" t="s">
        <v>148</v>
      </c>
      <c r="D37" s="8" t="s">
        <v>164</v>
      </c>
      <c r="E37" s="8" t="s">
        <v>85</v>
      </c>
      <c r="F37" t="s">
        <v>527</v>
      </c>
    </row>
    <row r="38" spans="1:6" x14ac:dyDescent="0.25">
      <c r="A38">
        <v>4500</v>
      </c>
      <c r="B38">
        <v>4500</v>
      </c>
      <c r="C38" t="s">
        <v>128</v>
      </c>
      <c r="D38" t="s">
        <v>164</v>
      </c>
      <c r="E38" t="s">
        <v>85</v>
      </c>
      <c r="F38" t="s">
        <v>528</v>
      </c>
    </row>
    <row r="39" spans="1:6" x14ac:dyDescent="0.25">
      <c r="A39">
        <v>4500</v>
      </c>
      <c r="B39">
        <v>45008</v>
      </c>
      <c r="C39" t="s">
        <v>129</v>
      </c>
      <c r="D39" t="s">
        <v>164</v>
      </c>
      <c r="E39" t="s">
        <v>85</v>
      </c>
      <c r="F39" t="s">
        <v>528</v>
      </c>
    </row>
    <row r="40" spans="1:6" x14ac:dyDescent="0.25">
      <c r="A40">
        <v>452</v>
      </c>
      <c r="B40">
        <v>4528</v>
      </c>
      <c r="C40" t="s">
        <v>159</v>
      </c>
      <c r="D40" t="s">
        <v>164</v>
      </c>
      <c r="E40" t="s">
        <v>85</v>
      </c>
      <c r="F40" t="s">
        <v>155</v>
      </c>
    </row>
    <row r="41" spans="1:6" x14ac:dyDescent="0.25">
      <c r="A41">
        <v>50</v>
      </c>
      <c r="B41">
        <v>500</v>
      </c>
      <c r="C41" t="s">
        <v>122</v>
      </c>
      <c r="D41" t="s">
        <v>131</v>
      </c>
      <c r="E41" t="s">
        <v>85</v>
      </c>
      <c r="F41" t="s">
        <v>530</v>
      </c>
    </row>
    <row r="42" spans="1:6" x14ac:dyDescent="0.25">
      <c r="A42">
        <v>50</v>
      </c>
      <c r="B42">
        <v>5001</v>
      </c>
      <c r="C42" t="s">
        <v>123</v>
      </c>
      <c r="D42" t="s">
        <v>131</v>
      </c>
      <c r="E42" t="s">
        <v>85</v>
      </c>
      <c r="F42" t="s">
        <v>530</v>
      </c>
    </row>
    <row r="43" spans="1:6" x14ac:dyDescent="0.25">
      <c r="A43">
        <v>50</v>
      </c>
      <c r="B43">
        <v>5002</v>
      </c>
      <c r="C43" t="s">
        <v>124</v>
      </c>
      <c r="D43" t="s">
        <v>131</v>
      </c>
      <c r="E43" t="s">
        <v>85</v>
      </c>
      <c r="F43" t="s">
        <v>530</v>
      </c>
    </row>
    <row r="44" spans="1:6" x14ac:dyDescent="0.25">
      <c r="A44">
        <v>50</v>
      </c>
      <c r="B44">
        <v>5005</v>
      </c>
      <c r="C44" t="s">
        <v>125</v>
      </c>
      <c r="D44" t="s">
        <v>131</v>
      </c>
      <c r="E44" t="s">
        <v>85</v>
      </c>
      <c r="F44" t="s">
        <v>530</v>
      </c>
    </row>
    <row r="45" spans="1:6" x14ac:dyDescent="0.25">
      <c r="A45">
        <v>50</v>
      </c>
      <c r="B45">
        <v>5008</v>
      </c>
      <c r="C45" t="s">
        <v>126</v>
      </c>
      <c r="D45" t="s">
        <v>131</v>
      </c>
      <c r="E45" t="s">
        <v>85</v>
      </c>
      <c r="F45" t="s">
        <v>530</v>
      </c>
    </row>
    <row r="46" spans="1:6" x14ac:dyDescent="0.25">
      <c r="A46">
        <v>50</v>
      </c>
      <c r="B46">
        <v>506</v>
      </c>
      <c r="C46" t="s">
        <v>127</v>
      </c>
      <c r="D46" t="s">
        <v>131</v>
      </c>
      <c r="E46" t="s">
        <v>85</v>
      </c>
      <c r="F46" t="s">
        <v>530</v>
      </c>
    </row>
    <row r="47" spans="1:6" x14ac:dyDescent="0.25">
      <c r="A47">
        <v>55</v>
      </c>
      <c r="B47">
        <v>5500</v>
      </c>
      <c r="C47" t="s">
        <v>100</v>
      </c>
      <c r="D47" t="s">
        <v>131</v>
      </c>
      <c r="E47" t="s">
        <v>85</v>
      </c>
      <c r="F47" t="s">
        <v>531</v>
      </c>
    </row>
    <row r="48" spans="1:6" x14ac:dyDescent="0.25">
      <c r="A48">
        <v>55</v>
      </c>
      <c r="B48">
        <v>5502</v>
      </c>
      <c r="C48" t="s">
        <v>2236</v>
      </c>
      <c r="D48" t="s">
        <v>131</v>
      </c>
      <c r="E48" t="s">
        <v>85</v>
      </c>
      <c r="F48" t="s">
        <v>531</v>
      </c>
    </row>
    <row r="49" spans="1:6" x14ac:dyDescent="0.25">
      <c r="A49">
        <v>55</v>
      </c>
      <c r="B49">
        <v>5503</v>
      </c>
      <c r="C49" t="s">
        <v>101</v>
      </c>
      <c r="D49" t="s">
        <v>131</v>
      </c>
      <c r="E49" t="s">
        <v>85</v>
      </c>
      <c r="F49" t="s">
        <v>531</v>
      </c>
    </row>
    <row r="50" spans="1:6" x14ac:dyDescent="0.25">
      <c r="A50">
        <v>55</v>
      </c>
      <c r="B50">
        <v>5504</v>
      </c>
      <c r="C50" t="s">
        <v>102</v>
      </c>
      <c r="D50" t="s">
        <v>131</v>
      </c>
      <c r="E50" t="s">
        <v>85</v>
      </c>
      <c r="F50" t="s">
        <v>531</v>
      </c>
    </row>
    <row r="51" spans="1:6" x14ac:dyDescent="0.25">
      <c r="A51">
        <v>55</v>
      </c>
      <c r="B51">
        <v>5511</v>
      </c>
      <c r="C51" t="s">
        <v>106</v>
      </c>
      <c r="D51" t="s">
        <v>131</v>
      </c>
      <c r="E51" t="s">
        <v>85</v>
      </c>
      <c r="F51" t="s">
        <v>531</v>
      </c>
    </row>
    <row r="52" spans="1:6" x14ac:dyDescent="0.25">
      <c r="A52">
        <v>55</v>
      </c>
      <c r="B52">
        <v>5512</v>
      </c>
      <c r="C52" t="s">
        <v>109</v>
      </c>
      <c r="D52" t="s">
        <v>131</v>
      </c>
      <c r="E52" t="s">
        <v>85</v>
      </c>
      <c r="F52" t="s">
        <v>531</v>
      </c>
    </row>
    <row r="53" spans="1:6" x14ac:dyDescent="0.25">
      <c r="A53">
        <v>55</v>
      </c>
      <c r="B53">
        <v>5513</v>
      </c>
      <c r="C53" t="s">
        <v>111</v>
      </c>
      <c r="D53" t="s">
        <v>131</v>
      </c>
      <c r="E53" t="s">
        <v>85</v>
      </c>
      <c r="F53" t="s">
        <v>531</v>
      </c>
    </row>
    <row r="54" spans="1:6" x14ac:dyDescent="0.25">
      <c r="A54">
        <v>55</v>
      </c>
      <c r="B54">
        <v>5514</v>
      </c>
      <c r="C54" t="s">
        <v>110</v>
      </c>
      <c r="D54" t="s">
        <v>131</v>
      </c>
      <c r="E54" t="s">
        <v>85</v>
      </c>
      <c r="F54" t="s">
        <v>531</v>
      </c>
    </row>
    <row r="55" spans="1:6" x14ac:dyDescent="0.25">
      <c r="A55">
        <v>55</v>
      </c>
      <c r="B55">
        <v>5515</v>
      </c>
      <c r="C55" t="s">
        <v>112</v>
      </c>
      <c r="D55" t="s">
        <v>131</v>
      </c>
      <c r="E55" t="s">
        <v>85</v>
      </c>
      <c r="F55" t="s">
        <v>531</v>
      </c>
    </row>
    <row r="56" spans="1:6" x14ac:dyDescent="0.25">
      <c r="A56">
        <v>55</v>
      </c>
      <c r="B56">
        <v>5516</v>
      </c>
      <c r="C56" t="s">
        <v>113</v>
      </c>
      <c r="D56" t="s">
        <v>131</v>
      </c>
      <c r="E56" t="s">
        <v>85</v>
      </c>
      <c r="F56" t="s">
        <v>531</v>
      </c>
    </row>
    <row r="57" spans="1:6" x14ac:dyDescent="0.25">
      <c r="A57">
        <v>55</v>
      </c>
      <c r="B57">
        <v>5521</v>
      </c>
      <c r="C57" t="s">
        <v>114</v>
      </c>
      <c r="D57" t="s">
        <v>131</v>
      </c>
      <c r="E57" t="s">
        <v>85</v>
      </c>
      <c r="F57" t="s">
        <v>531</v>
      </c>
    </row>
    <row r="58" spans="1:6" x14ac:dyDescent="0.25">
      <c r="A58">
        <v>55</v>
      </c>
      <c r="B58">
        <v>5522</v>
      </c>
      <c r="C58" t="s">
        <v>115</v>
      </c>
      <c r="D58" t="s">
        <v>131</v>
      </c>
      <c r="E58" t="s">
        <v>85</v>
      </c>
      <c r="F58" t="s">
        <v>531</v>
      </c>
    </row>
    <row r="59" spans="1:6" x14ac:dyDescent="0.25">
      <c r="A59">
        <v>55</v>
      </c>
      <c r="B59">
        <v>5523</v>
      </c>
      <c r="C59" t="s">
        <v>116</v>
      </c>
      <c r="D59" t="s">
        <v>131</v>
      </c>
      <c r="E59" t="s">
        <v>85</v>
      </c>
      <c r="F59" t="s">
        <v>531</v>
      </c>
    </row>
    <row r="60" spans="1:6" x14ac:dyDescent="0.25">
      <c r="A60">
        <v>55</v>
      </c>
      <c r="B60">
        <v>5524</v>
      </c>
      <c r="C60" t="s">
        <v>117</v>
      </c>
      <c r="D60" t="s">
        <v>131</v>
      </c>
      <c r="E60" t="s">
        <v>85</v>
      </c>
      <c r="F60" t="s">
        <v>531</v>
      </c>
    </row>
    <row r="61" spans="1:6" x14ac:dyDescent="0.25">
      <c r="A61">
        <v>55</v>
      </c>
      <c r="B61">
        <v>5525</v>
      </c>
      <c r="C61" t="s">
        <v>118</v>
      </c>
      <c r="D61" t="s">
        <v>131</v>
      </c>
      <c r="E61" t="s">
        <v>85</v>
      </c>
      <c r="F61" t="s">
        <v>531</v>
      </c>
    </row>
    <row r="62" spans="1:6" x14ac:dyDescent="0.25">
      <c r="A62">
        <v>55</v>
      </c>
      <c r="B62">
        <v>5526</v>
      </c>
      <c r="C62" t="s">
        <v>119</v>
      </c>
      <c r="D62" t="s">
        <v>131</v>
      </c>
      <c r="E62" t="s">
        <v>85</v>
      </c>
      <c r="F62" t="s">
        <v>531</v>
      </c>
    </row>
    <row r="63" spans="1:6" x14ac:dyDescent="0.25">
      <c r="A63">
        <v>55</v>
      </c>
      <c r="B63">
        <v>5532</v>
      </c>
      <c r="C63" t="s">
        <v>120</v>
      </c>
      <c r="D63" t="s">
        <v>131</v>
      </c>
      <c r="E63" t="s">
        <v>85</v>
      </c>
      <c r="F63" t="s">
        <v>531</v>
      </c>
    </row>
    <row r="64" spans="1:6" x14ac:dyDescent="0.25">
      <c r="A64">
        <v>55</v>
      </c>
      <c r="B64">
        <v>5540</v>
      </c>
      <c r="C64" t="s">
        <v>121</v>
      </c>
      <c r="D64" t="s">
        <v>131</v>
      </c>
      <c r="E64" t="s">
        <v>85</v>
      </c>
      <c r="F64" t="s">
        <v>531</v>
      </c>
    </row>
    <row r="65" spans="1:6" x14ac:dyDescent="0.25">
      <c r="A65">
        <v>60</v>
      </c>
      <c r="B65">
        <v>601</v>
      </c>
      <c r="C65" t="s">
        <v>130</v>
      </c>
      <c r="D65" t="s">
        <v>131</v>
      </c>
      <c r="E65" t="s">
        <v>85</v>
      </c>
      <c r="F65" t="s">
        <v>532</v>
      </c>
    </row>
    <row r="66" spans="1:6" x14ac:dyDescent="0.25">
      <c r="A66">
        <v>60</v>
      </c>
      <c r="B66">
        <v>608</v>
      </c>
      <c r="C66" t="s">
        <v>131</v>
      </c>
      <c r="D66" t="s">
        <v>131</v>
      </c>
      <c r="E66" t="s">
        <v>85</v>
      </c>
      <c r="F66" t="s">
        <v>532</v>
      </c>
    </row>
    <row r="67" spans="1:6" x14ac:dyDescent="0.25">
      <c r="A67">
        <v>381</v>
      </c>
      <c r="B67">
        <v>3810</v>
      </c>
      <c r="C67" t="s">
        <v>136</v>
      </c>
      <c r="D67" t="s">
        <v>86</v>
      </c>
      <c r="E67" t="s">
        <v>87</v>
      </c>
      <c r="F67" t="s">
        <v>86</v>
      </c>
    </row>
    <row r="68" spans="1:6" x14ac:dyDescent="0.25">
      <c r="A68">
        <v>381</v>
      </c>
      <c r="B68">
        <v>3811</v>
      </c>
      <c r="C68" t="s">
        <v>137</v>
      </c>
      <c r="D68" t="s">
        <v>86</v>
      </c>
      <c r="E68" t="s">
        <v>87</v>
      </c>
      <c r="F68" t="s">
        <v>86</v>
      </c>
    </row>
    <row r="69" spans="1:6" x14ac:dyDescent="0.25">
      <c r="A69">
        <v>381</v>
      </c>
      <c r="B69">
        <v>3812</v>
      </c>
      <c r="C69" t="s">
        <v>138</v>
      </c>
      <c r="D69" t="s">
        <v>86</v>
      </c>
      <c r="E69" t="s">
        <v>87</v>
      </c>
      <c r="F69" t="s">
        <v>86</v>
      </c>
    </row>
    <row r="70" spans="1:6" x14ac:dyDescent="0.25">
      <c r="A70">
        <v>15</v>
      </c>
      <c r="B70">
        <v>1550</v>
      </c>
      <c r="C70" t="s">
        <v>93</v>
      </c>
      <c r="D70" t="s">
        <v>4</v>
      </c>
      <c r="E70" t="s">
        <v>87</v>
      </c>
      <c r="F70" t="s">
        <v>4</v>
      </c>
    </row>
    <row r="71" spans="1:6" x14ac:dyDescent="0.25">
      <c r="A71">
        <v>15</v>
      </c>
      <c r="B71">
        <v>1551</v>
      </c>
      <c r="C71" t="s">
        <v>92</v>
      </c>
      <c r="D71" t="s">
        <v>4</v>
      </c>
      <c r="E71" t="s">
        <v>87</v>
      </c>
      <c r="F71" t="s">
        <v>4</v>
      </c>
    </row>
    <row r="72" spans="1:6" x14ac:dyDescent="0.25">
      <c r="A72">
        <v>15</v>
      </c>
      <c r="B72">
        <v>1554</v>
      </c>
      <c r="C72" t="s">
        <v>94</v>
      </c>
      <c r="D72" t="s">
        <v>4</v>
      </c>
      <c r="E72" t="s">
        <v>87</v>
      </c>
      <c r="F72" t="s">
        <v>4</v>
      </c>
    </row>
    <row r="73" spans="1:6" x14ac:dyDescent="0.25">
      <c r="A73">
        <v>15</v>
      </c>
      <c r="B73">
        <v>1555</v>
      </c>
      <c r="C73" t="s">
        <v>95</v>
      </c>
      <c r="D73" t="s">
        <v>4</v>
      </c>
      <c r="E73" t="s">
        <v>87</v>
      </c>
      <c r="F73" t="s">
        <v>4</v>
      </c>
    </row>
    <row r="74" spans="1:6" x14ac:dyDescent="0.25">
      <c r="A74">
        <v>15</v>
      </c>
      <c r="B74">
        <v>1556</v>
      </c>
      <c r="C74" t="s">
        <v>2025</v>
      </c>
      <c r="D74" t="s">
        <v>4</v>
      </c>
      <c r="E74" t="s">
        <v>87</v>
      </c>
      <c r="F74" t="s">
        <v>4</v>
      </c>
    </row>
    <row r="75" spans="1:6" x14ac:dyDescent="0.25">
      <c r="A75">
        <v>15</v>
      </c>
      <c r="B75">
        <v>1564</v>
      </c>
      <c r="C75" t="s">
        <v>2161</v>
      </c>
      <c r="D75" t="s">
        <v>4</v>
      </c>
      <c r="E75" t="s">
        <v>87</v>
      </c>
      <c r="F75" t="s">
        <v>4</v>
      </c>
    </row>
    <row r="76" spans="1:6" x14ac:dyDescent="0.25">
      <c r="A76">
        <v>3502</v>
      </c>
      <c r="B76">
        <v>20385</v>
      </c>
      <c r="C76" t="s">
        <v>938</v>
      </c>
      <c r="D76" t="s">
        <v>2002</v>
      </c>
      <c r="E76" t="s">
        <v>87</v>
      </c>
      <c r="F76" t="s">
        <v>2002</v>
      </c>
    </row>
    <row r="77" spans="1:6" x14ac:dyDescent="0.25">
      <c r="A77">
        <v>4502</v>
      </c>
      <c r="B77">
        <v>45028</v>
      </c>
      <c r="C77" t="s">
        <v>132</v>
      </c>
      <c r="D77" t="s">
        <v>2001</v>
      </c>
      <c r="E77" t="s">
        <v>87</v>
      </c>
      <c r="F77" t="s">
        <v>2001</v>
      </c>
    </row>
    <row r="78" spans="1:6" x14ac:dyDescent="0.25">
      <c r="A78">
        <v>4502</v>
      </c>
      <c r="B78">
        <v>45029</v>
      </c>
      <c r="C78" t="s">
        <v>133</v>
      </c>
      <c r="D78" t="s">
        <v>2001</v>
      </c>
      <c r="E78" t="s">
        <v>87</v>
      </c>
      <c r="F78" t="s">
        <v>2001</v>
      </c>
    </row>
    <row r="79" spans="1:6" x14ac:dyDescent="0.25">
      <c r="A79">
        <v>655</v>
      </c>
      <c r="B79">
        <v>655</v>
      </c>
      <c r="C79" t="s">
        <v>108</v>
      </c>
      <c r="D79" t="s">
        <v>88</v>
      </c>
      <c r="E79" t="s">
        <v>87</v>
      </c>
      <c r="F79" t="s">
        <v>88</v>
      </c>
    </row>
    <row r="80" spans="1:6" x14ac:dyDescent="0.25">
      <c r="A80">
        <v>650</v>
      </c>
      <c r="B80">
        <v>6501</v>
      </c>
      <c r="C80" t="s">
        <v>107</v>
      </c>
      <c r="D80" t="s">
        <v>89</v>
      </c>
      <c r="E80" t="s">
        <v>87</v>
      </c>
      <c r="F80" t="s">
        <v>89</v>
      </c>
    </row>
    <row r="81" spans="1:6" x14ac:dyDescent="0.25">
      <c r="A81">
        <v>2585</v>
      </c>
      <c r="B81">
        <v>25852</v>
      </c>
      <c r="C81" t="s">
        <v>139</v>
      </c>
      <c r="D81" t="s">
        <v>103</v>
      </c>
      <c r="E81" t="s">
        <v>104</v>
      </c>
      <c r="F81" t="s">
        <v>103</v>
      </c>
    </row>
    <row r="82" spans="1:6" x14ac:dyDescent="0.25">
      <c r="A82">
        <v>2586</v>
      </c>
      <c r="B82">
        <v>208168</v>
      </c>
      <c r="C82" t="s">
        <v>134</v>
      </c>
      <c r="D82" t="s">
        <v>105</v>
      </c>
      <c r="E82" t="s">
        <v>104</v>
      </c>
      <c r="F82" t="s">
        <v>105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6"/>
  <sheetViews>
    <sheetView topLeftCell="A80" workbookViewId="0">
      <selection activeCell="B110" sqref="B110"/>
    </sheetView>
  </sheetViews>
  <sheetFormatPr defaultRowHeight="15" x14ac:dyDescent="0.25"/>
  <cols>
    <col min="1" max="1" width="17.85546875" customWidth="1"/>
    <col min="2" max="2" width="47.140625" bestFit="1" customWidth="1"/>
    <col min="3" max="3" width="30.5703125" bestFit="1" customWidth="1"/>
    <col min="4" max="4" width="46.7109375" bestFit="1" customWidth="1"/>
    <col min="5" max="5" width="16" bestFit="1" customWidth="1"/>
  </cols>
  <sheetData>
    <row r="1" spans="1:5" x14ac:dyDescent="0.25">
      <c r="A1" t="s">
        <v>12</v>
      </c>
      <c r="B1" t="s">
        <v>11</v>
      </c>
      <c r="C1" t="s">
        <v>67</v>
      </c>
      <c r="D1" t="s">
        <v>472</v>
      </c>
      <c r="E1" t="s">
        <v>165</v>
      </c>
    </row>
    <row r="2" spans="1:5" x14ac:dyDescent="0.25">
      <c r="A2" t="s">
        <v>13</v>
      </c>
      <c r="B2" t="s">
        <v>14</v>
      </c>
      <c r="C2" t="s">
        <v>68</v>
      </c>
      <c r="D2" t="s">
        <v>541</v>
      </c>
    </row>
    <row r="3" spans="1:5" x14ac:dyDescent="0.25">
      <c r="A3" t="s">
        <v>15</v>
      </c>
      <c r="B3" t="s">
        <v>16</v>
      </c>
      <c r="C3" t="s">
        <v>68</v>
      </c>
      <c r="D3" t="s">
        <v>542</v>
      </c>
    </row>
    <row r="4" spans="1:5" x14ac:dyDescent="0.25">
      <c r="A4" t="s">
        <v>17</v>
      </c>
      <c r="B4" t="s">
        <v>18</v>
      </c>
      <c r="C4" t="s">
        <v>68</v>
      </c>
      <c r="D4" t="s">
        <v>1084</v>
      </c>
    </row>
    <row r="5" spans="1:5" x14ac:dyDescent="0.25">
      <c r="A5" t="s">
        <v>19</v>
      </c>
      <c r="B5" t="s">
        <v>20</v>
      </c>
      <c r="C5" t="s">
        <v>68</v>
      </c>
      <c r="D5" t="s">
        <v>544</v>
      </c>
    </row>
    <row r="6" spans="1:5" x14ac:dyDescent="0.25">
      <c r="A6" t="s">
        <v>21</v>
      </c>
      <c r="B6" t="s">
        <v>22</v>
      </c>
      <c r="C6" t="s">
        <v>68</v>
      </c>
      <c r="D6" t="s">
        <v>545</v>
      </c>
    </row>
    <row r="7" spans="1:5" x14ac:dyDescent="0.25">
      <c r="A7" t="s">
        <v>23</v>
      </c>
      <c r="B7" t="s">
        <v>24</v>
      </c>
      <c r="C7" t="s">
        <v>68</v>
      </c>
      <c r="D7" t="s">
        <v>1085</v>
      </c>
    </row>
    <row r="8" spans="1:5" x14ac:dyDescent="0.25">
      <c r="A8" t="s">
        <v>25</v>
      </c>
      <c r="B8" t="s">
        <v>26</v>
      </c>
      <c r="C8" t="s">
        <v>70</v>
      </c>
      <c r="D8" t="s">
        <v>1086</v>
      </c>
    </row>
    <row r="9" spans="1:5" x14ac:dyDescent="0.25">
      <c r="A9" t="s">
        <v>27</v>
      </c>
      <c r="B9" t="s">
        <v>28</v>
      </c>
      <c r="C9" t="s">
        <v>69</v>
      </c>
      <c r="D9" t="s">
        <v>547</v>
      </c>
    </row>
    <row r="10" spans="1:5" x14ac:dyDescent="0.25">
      <c r="A10" t="s">
        <v>29</v>
      </c>
      <c r="B10" t="s">
        <v>30</v>
      </c>
      <c r="C10" t="s">
        <v>69</v>
      </c>
      <c r="D10" t="s">
        <v>1087</v>
      </c>
    </row>
    <row r="11" spans="1:5" x14ac:dyDescent="0.25">
      <c r="A11" t="s">
        <v>31</v>
      </c>
      <c r="B11" t="s">
        <v>834</v>
      </c>
      <c r="C11" t="s">
        <v>71</v>
      </c>
      <c r="D11" t="s">
        <v>834</v>
      </c>
    </row>
    <row r="12" spans="1:5" x14ac:dyDescent="0.25">
      <c r="A12" t="s">
        <v>248</v>
      </c>
      <c r="B12" t="s">
        <v>249</v>
      </c>
      <c r="C12" t="s">
        <v>71</v>
      </c>
      <c r="D12" t="s">
        <v>834</v>
      </c>
    </row>
    <row r="13" spans="1:5" x14ac:dyDescent="0.25">
      <c r="A13" t="s">
        <v>250</v>
      </c>
      <c r="B13" t="s">
        <v>251</v>
      </c>
      <c r="C13" t="s">
        <v>71</v>
      </c>
      <c r="D13" t="s">
        <v>834</v>
      </c>
    </row>
    <row r="14" spans="1:5" x14ac:dyDescent="0.25">
      <c r="A14" t="s">
        <v>252</v>
      </c>
      <c r="B14" t="s">
        <v>253</v>
      </c>
      <c r="C14" t="s">
        <v>71</v>
      </c>
      <c r="D14" t="s">
        <v>834</v>
      </c>
    </row>
    <row r="15" spans="1:5" x14ac:dyDescent="0.25">
      <c r="A15" t="s">
        <v>32</v>
      </c>
      <c r="B15" t="s">
        <v>33</v>
      </c>
      <c r="C15" t="s">
        <v>71</v>
      </c>
      <c r="D15" t="s">
        <v>549</v>
      </c>
    </row>
    <row r="16" spans="1:5" x14ac:dyDescent="0.25">
      <c r="A16" t="s">
        <v>34</v>
      </c>
      <c r="B16" t="s">
        <v>35</v>
      </c>
      <c r="C16" t="s">
        <v>71</v>
      </c>
      <c r="D16" t="s">
        <v>1088</v>
      </c>
    </row>
    <row r="17" spans="1:5" x14ac:dyDescent="0.25">
      <c r="A17" t="s">
        <v>36</v>
      </c>
      <c r="B17" t="s">
        <v>37</v>
      </c>
      <c r="C17" t="s">
        <v>72</v>
      </c>
      <c r="D17" t="s">
        <v>551</v>
      </c>
    </row>
    <row r="18" spans="1:5" x14ac:dyDescent="0.25">
      <c r="A18" t="s">
        <v>38</v>
      </c>
      <c r="B18" t="s">
        <v>1089</v>
      </c>
      <c r="C18" t="s">
        <v>72</v>
      </c>
      <c r="D18" t="s">
        <v>1089</v>
      </c>
    </row>
    <row r="19" spans="1:5" x14ac:dyDescent="0.25">
      <c r="A19" t="s">
        <v>39</v>
      </c>
      <c r="B19" t="s">
        <v>553</v>
      </c>
      <c r="C19" t="s">
        <v>73</v>
      </c>
      <c r="D19" t="s">
        <v>553</v>
      </c>
    </row>
    <row r="20" spans="1:5" x14ac:dyDescent="0.25">
      <c r="A20" t="s">
        <v>40</v>
      </c>
      <c r="B20" t="s">
        <v>554</v>
      </c>
      <c r="C20" t="s">
        <v>73</v>
      </c>
      <c r="D20" t="s">
        <v>554</v>
      </c>
    </row>
    <row r="21" spans="1:5" x14ac:dyDescent="0.25">
      <c r="A21" s="33" t="s">
        <v>254</v>
      </c>
      <c r="B21" s="33" t="s">
        <v>2199</v>
      </c>
      <c r="C21" s="33" t="s">
        <v>73</v>
      </c>
      <c r="D21" s="33" t="s">
        <v>555</v>
      </c>
      <c r="E21" s="33" t="s">
        <v>2218</v>
      </c>
    </row>
    <row r="22" spans="1:5" x14ac:dyDescent="0.25">
      <c r="A22" s="30" t="s">
        <v>255</v>
      </c>
      <c r="B22" s="30" t="s">
        <v>2212</v>
      </c>
      <c r="C22" s="30" t="s">
        <v>73</v>
      </c>
      <c r="D22" s="30" t="s">
        <v>555</v>
      </c>
      <c r="E22" s="30" t="s">
        <v>2224</v>
      </c>
    </row>
    <row r="23" spans="1:5" x14ac:dyDescent="0.25">
      <c r="A23" s="30" t="s">
        <v>256</v>
      </c>
      <c r="B23" s="30" t="s">
        <v>2214</v>
      </c>
      <c r="C23" s="30" t="s">
        <v>73</v>
      </c>
      <c r="D23" s="30" t="s">
        <v>555</v>
      </c>
      <c r="E23" s="30" t="s">
        <v>2224</v>
      </c>
    </row>
    <row r="24" spans="1:5" x14ac:dyDescent="0.25">
      <c r="A24" s="30" t="s">
        <v>257</v>
      </c>
      <c r="B24" s="30" t="s">
        <v>2215</v>
      </c>
      <c r="C24" s="30" t="s">
        <v>73</v>
      </c>
      <c r="D24" s="30" t="s">
        <v>555</v>
      </c>
      <c r="E24" s="30" t="s">
        <v>2224</v>
      </c>
    </row>
    <row r="25" spans="1:5" x14ac:dyDescent="0.25">
      <c r="A25" s="30" t="s">
        <v>258</v>
      </c>
      <c r="B25" s="30" t="s">
        <v>2216</v>
      </c>
      <c r="C25" s="30" t="s">
        <v>73</v>
      </c>
      <c r="D25" s="30" t="s">
        <v>555</v>
      </c>
      <c r="E25" s="30" t="s">
        <v>2224</v>
      </c>
    </row>
    <row r="26" spans="1:5" x14ac:dyDescent="0.25">
      <c r="A26" s="30" t="s">
        <v>259</v>
      </c>
      <c r="B26" s="30" t="s">
        <v>2213</v>
      </c>
      <c r="C26" s="30" t="s">
        <v>73</v>
      </c>
      <c r="D26" s="30" t="s">
        <v>555</v>
      </c>
      <c r="E26" s="30" t="s">
        <v>2224</v>
      </c>
    </row>
    <row r="27" spans="1:5" x14ac:dyDescent="0.25">
      <c r="A27" t="s">
        <v>260</v>
      </c>
      <c r="B27" t="s">
        <v>261</v>
      </c>
      <c r="C27" t="s">
        <v>73</v>
      </c>
      <c r="D27" t="s">
        <v>555</v>
      </c>
    </row>
    <row r="28" spans="1:5" x14ac:dyDescent="0.25">
      <c r="A28" t="s">
        <v>262</v>
      </c>
      <c r="B28" t="s">
        <v>263</v>
      </c>
      <c r="C28" t="s">
        <v>73</v>
      </c>
      <c r="D28" t="s">
        <v>555</v>
      </c>
    </row>
    <row r="29" spans="1:5" x14ac:dyDescent="0.25">
      <c r="A29" t="s">
        <v>264</v>
      </c>
      <c r="B29" t="s">
        <v>265</v>
      </c>
      <c r="C29" t="s">
        <v>73</v>
      </c>
      <c r="D29" t="s">
        <v>555</v>
      </c>
    </row>
    <row r="30" spans="1:5" x14ac:dyDescent="0.25">
      <c r="A30" s="29" t="s">
        <v>2210</v>
      </c>
      <c r="B30" s="8" t="s">
        <v>2219</v>
      </c>
      <c r="C30" s="8" t="s">
        <v>73</v>
      </c>
      <c r="D30" s="8" t="s">
        <v>555</v>
      </c>
      <c r="E30" s="8" t="s">
        <v>2217</v>
      </c>
    </row>
    <row r="31" spans="1:5" x14ac:dyDescent="0.25">
      <c r="A31" s="29" t="s">
        <v>2211</v>
      </c>
      <c r="B31" s="8" t="s">
        <v>2198</v>
      </c>
      <c r="C31" s="8" t="s">
        <v>73</v>
      </c>
      <c r="D31" s="8" t="s">
        <v>555</v>
      </c>
      <c r="E31" s="8" t="s">
        <v>2217</v>
      </c>
    </row>
    <row r="32" spans="1:5" x14ac:dyDescent="0.25">
      <c r="A32" t="s">
        <v>41</v>
      </c>
      <c r="B32" t="s">
        <v>42</v>
      </c>
      <c r="C32" t="s">
        <v>90</v>
      </c>
      <c r="D32" t="s">
        <v>2016</v>
      </c>
    </row>
    <row r="33" spans="1:5" x14ac:dyDescent="0.25">
      <c r="A33" t="s">
        <v>266</v>
      </c>
      <c r="B33" t="s">
        <v>267</v>
      </c>
      <c r="C33" t="s">
        <v>76</v>
      </c>
      <c r="D33" t="s">
        <v>751</v>
      </c>
    </row>
    <row r="34" spans="1:5" x14ac:dyDescent="0.25">
      <c r="A34" t="s">
        <v>268</v>
      </c>
      <c r="B34" t="s">
        <v>269</v>
      </c>
      <c r="C34" t="s">
        <v>76</v>
      </c>
      <c r="D34" t="s">
        <v>751</v>
      </c>
    </row>
    <row r="35" spans="1:5" x14ac:dyDescent="0.25">
      <c r="A35" t="s">
        <v>270</v>
      </c>
      <c r="B35" t="s">
        <v>271</v>
      </c>
      <c r="C35" t="s">
        <v>76</v>
      </c>
      <c r="D35" t="s">
        <v>751</v>
      </c>
    </row>
    <row r="36" spans="1:5" x14ac:dyDescent="0.25">
      <c r="A36" t="s">
        <v>272</v>
      </c>
      <c r="B36" t="s">
        <v>763</v>
      </c>
      <c r="C36" t="s">
        <v>76</v>
      </c>
      <c r="D36" t="s">
        <v>751</v>
      </c>
    </row>
    <row r="37" spans="1:5" x14ac:dyDescent="0.25">
      <c r="A37" t="s">
        <v>273</v>
      </c>
      <c r="B37" t="s">
        <v>342</v>
      </c>
      <c r="C37" t="s">
        <v>76</v>
      </c>
      <c r="D37" t="s">
        <v>751</v>
      </c>
    </row>
    <row r="38" spans="1:5" x14ac:dyDescent="0.25">
      <c r="A38" t="s">
        <v>274</v>
      </c>
      <c r="B38" t="s">
        <v>275</v>
      </c>
      <c r="C38" t="s">
        <v>76</v>
      </c>
      <c r="D38" t="s">
        <v>751</v>
      </c>
    </row>
    <row r="39" spans="1:5" x14ac:dyDescent="0.25">
      <c r="A39" s="29" t="s">
        <v>758</v>
      </c>
      <c r="B39" s="8" t="s">
        <v>761</v>
      </c>
      <c r="C39" s="8" t="s">
        <v>76</v>
      </c>
      <c r="D39" s="8" t="s">
        <v>751</v>
      </c>
      <c r="E39" s="8" t="s">
        <v>2218</v>
      </c>
    </row>
    <row r="40" spans="1:5" x14ac:dyDescent="0.25">
      <c r="A40" t="s">
        <v>276</v>
      </c>
      <c r="B40" t="s">
        <v>762</v>
      </c>
      <c r="C40" t="s">
        <v>76</v>
      </c>
      <c r="D40" t="s">
        <v>559</v>
      </c>
    </row>
    <row r="41" spans="1:5" x14ac:dyDescent="0.25">
      <c r="A41" t="s">
        <v>277</v>
      </c>
      <c r="B41" t="s">
        <v>278</v>
      </c>
      <c r="C41" t="s">
        <v>76</v>
      </c>
      <c r="D41" t="s">
        <v>559</v>
      </c>
    </row>
    <row r="42" spans="1:5" x14ac:dyDescent="0.25">
      <c r="A42" t="s">
        <v>279</v>
      </c>
      <c r="B42" t="s">
        <v>280</v>
      </c>
      <c r="C42" t="s">
        <v>76</v>
      </c>
      <c r="D42" t="s">
        <v>559</v>
      </c>
    </row>
    <row r="43" spans="1:5" x14ac:dyDescent="0.25">
      <c r="A43" s="29" t="s">
        <v>624</v>
      </c>
      <c r="B43" s="8" t="s">
        <v>760</v>
      </c>
      <c r="C43" s="8" t="s">
        <v>76</v>
      </c>
      <c r="D43" s="8" t="s">
        <v>559</v>
      </c>
      <c r="E43" s="8" t="s">
        <v>2217</v>
      </c>
    </row>
    <row r="44" spans="1:5" x14ac:dyDescent="0.25">
      <c r="A44" s="29" t="s">
        <v>755</v>
      </c>
      <c r="B44" s="8" t="s">
        <v>759</v>
      </c>
      <c r="C44" s="8" t="s">
        <v>76</v>
      </c>
      <c r="D44" s="8" t="s">
        <v>559</v>
      </c>
      <c r="E44" s="8" t="s">
        <v>2217</v>
      </c>
    </row>
    <row r="45" spans="1:5" x14ac:dyDescent="0.25">
      <c r="A45" t="s">
        <v>43</v>
      </c>
      <c r="B45" t="s">
        <v>44</v>
      </c>
      <c r="C45" t="s">
        <v>76</v>
      </c>
    </row>
    <row r="46" spans="1:5" x14ac:dyDescent="0.25">
      <c r="A46" t="s">
        <v>281</v>
      </c>
      <c r="B46" t="s">
        <v>282</v>
      </c>
      <c r="C46" t="s">
        <v>76</v>
      </c>
      <c r="D46" t="s">
        <v>771</v>
      </c>
    </row>
    <row r="47" spans="1:5" x14ac:dyDescent="0.25">
      <c r="A47" t="s">
        <v>283</v>
      </c>
      <c r="B47" t="s">
        <v>284</v>
      </c>
      <c r="C47" t="s">
        <v>76</v>
      </c>
      <c r="D47" t="s">
        <v>771</v>
      </c>
    </row>
    <row r="48" spans="1:5" x14ac:dyDescent="0.25">
      <c r="A48" t="s">
        <v>285</v>
      </c>
      <c r="B48" t="s">
        <v>286</v>
      </c>
      <c r="C48" t="s">
        <v>76</v>
      </c>
      <c r="D48" t="s">
        <v>771</v>
      </c>
    </row>
    <row r="49" spans="1:5" x14ac:dyDescent="0.25">
      <c r="A49" s="30" t="s">
        <v>287</v>
      </c>
      <c r="B49" s="30" t="s">
        <v>288</v>
      </c>
      <c r="C49" s="30" t="s">
        <v>76</v>
      </c>
      <c r="D49" s="30" t="s">
        <v>771</v>
      </c>
      <c r="E49" s="30" t="s">
        <v>2224</v>
      </c>
    </row>
    <row r="50" spans="1:5" x14ac:dyDescent="0.25">
      <c r="A50" t="s">
        <v>289</v>
      </c>
      <c r="B50" t="s">
        <v>290</v>
      </c>
      <c r="C50" t="s">
        <v>76</v>
      </c>
      <c r="D50" t="s">
        <v>771</v>
      </c>
    </row>
    <row r="51" spans="1:5" x14ac:dyDescent="0.25">
      <c r="A51" s="1" t="s">
        <v>2082</v>
      </c>
      <c r="B51" t="s">
        <v>2083</v>
      </c>
      <c r="C51" t="s">
        <v>76</v>
      </c>
      <c r="D51" t="s">
        <v>771</v>
      </c>
    </row>
    <row r="52" spans="1:5" x14ac:dyDescent="0.25">
      <c r="A52" t="s">
        <v>291</v>
      </c>
      <c r="B52" t="s">
        <v>2205</v>
      </c>
      <c r="C52" t="s">
        <v>76</v>
      </c>
      <c r="D52" t="s">
        <v>442</v>
      </c>
      <c r="E52" t="s">
        <v>2218</v>
      </c>
    </row>
    <row r="53" spans="1:5" x14ac:dyDescent="0.25">
      <c r="A53" t="s">
        <v>292</v>
      </c>
      <c r="B53" t="s">
        <v>2204</v>
      </c>
      <c r="C53" t="s">
        <v>76</v>
      </c>
      <c r="D53" t="s">
        <v>442</v>
      </c>
      <c r="E53" t="s">
        <v>2218</v>
      </c>
    </row>
    <row r="54" spans="1:5" x14ac:dyDescent="0.25">
      <c r="A54" t="s">
        <v>293</v>
      </c>
      <c r="B54" t="s">
        <v>2203</v>
      </c>
      <c r="C54" t="s">
        <v>76</v>
      </c>
      <c r="D54" t="s">
        <v>442</v>
      </c>
      <c r="E54" t="s">
        <v>2218</v>
      </c>
    </row>
    <row r="55" spans="1:5" x14ac:dyDescent="0.25">
      <c r="A55" t="s">
        <v>294</v>
      </c>
      <c r="B55" t="s">
        <v>2201</v>
      </c>
      <c r="C55" t="s">
        <v>76</v>
      </c>
      <c r="D55" t="s">
        <v>442</v>
      </c>
      <c r="E55" t="s">
        <v>2218</v>
      </c>
    </row>
    <row r="56" spans="1:5" x14ac:dyDescent="0.25">
      <c r="A56" t="s">
        <v>295</v>
      </c>
      <c r="B56" t="s">
        <v>2202</v>
      </c>
      <c r="C56" t="s">
        <v>76</v>
      </c>
      <c r="D56" t="s">
        <v>442</v>
      </c>
    </row>
    <row r="57" spans="1:5" x14ac:dyDescent="0.25">
      <c r="A57" t="s">
        <v>296</v>
      </c>
      <c r="B57" t="s">
        <v>2200</v>
      </c>
      <c r="C57" t="s">
        <v>76</v>
      </c>
      <c r="D57" t="s">
        <v>442</v>
      </c>
    </row>
    <row r="58" spans="1:5" x14ac:dyDescent="0.25">
      <c r="A58" s="30" t="s">
        <v>297</v>
      </c>
      <c r="B58" s="30" t="s">
        <v>2222</v>
      </c>
      <c r="C58" s="30" t="s">
        <v>76</v>
      </c>
      <c r="D58" s="30" t="s">
        <v>442</v>
      </c>
      <c r="E58" s="30" t="s">
        <v>2224</v>
      </c>
    </row>
    <row r="59" spans="1:5" x14ac:dyDescent="0.25">
      <c r="A59" s="30" t="s">
        <v>298</v>
      </c>
      <c r="B59" s="30" t="s">
        <v>2223</v>
      </c>
      <c r="C59" s="30" t="s">
        <v>76</v>
      </c>
      <c r="D59" s="30" t="s">
        <v>442</v>
      </c>
      <c r="E59" s="30" t="s">
        <v>2224</v>
      </c>
    </row>
    <row r="60" spans="1:5" x14ac:dyDescent="0.25">
      <c r="A60" t="s">
        <v>299</v>
      </c>
      <c r="B60" t="s">
        <v>300</v>
      </c>
      <c r="C60" t="s">
        <v>76</v>
      </c>
      <c r="D60" t="s">
        <v>560</v>
      </c>
    </row>
    <row r="61" spans="1:5" x14ac:dyDescent="0.25">
      <c r="A61" t="s">
        <v>301</v>
      </c>
      <c r="B61" t="s">
        <v>302</v>
      </c>
      <c r="C61" t="s">
        <v>76</v>
      </c>
      <c r="D61" t="s">
        <v>560</v>
      </c>
    </row>
    <row r="62" spans="1:5" x14ac:dyDescent="0.25">
      <c r="A62" t="s">
        <v>303</v>
      </c>
      <c r="B62" t="s">
        <v>304</v>
      </c>
      <c r="C62" t="s">
        <v>76</v>
      </c>
      <c r="D62" t="s">
        <v>560</v>
      </c>
    </row>
    <row r="63" spans="1:5" x14ac:dyDescent="0.25">
      <c r="A63" t="s">
        <v>305</v>
      </c>
      <c r="B63" t="s">
        <v>1820</v>
      </c>
      <c r="C63" t="s">
        <v>76</v>
      </c>
      <c r="D63" t="s">
        <v>560</v>
      </c>
    </row>
    <row r="64" spans="1:5" x14ac:dyDescent="0.25">
      <c r="A64" t="s">
        <v>306</v>
      </c>
      <c r="B64" t="s">
        <v>2206</v>
      </c>
      <c r="C64" t="s">
        <v>76</v>
      </c>
      <c r="D64" t="s">
        <v>560</v>
      </c>
    </row>
    <row r="65" spans="1:5" x14ac:dyDescent="0.25">
      <c r="A65" t="s">
        <v>307</v>
      </c>
      <c r="B65" t="s">
        <v>2207</v>
      </c>
      <c r="C65" t="s">
        <v>76</v>
      </c>
      <c r="D65" t="s">
        <v>560</v>
      </c>
    </row>
    <row r="66" spans="1:5" x14ac:dyDescent="0.25">
      <c r="A66" t="s">
        <v>308</v>
      </c>
      <c r="B66" t="s">
        <v>2208</v>
      </c>
      <c r="C66" t="s">
        <v>76</v>
      </c>
      <c r="D66" t="s">
        <v>560</v>
      </c>
    </row>
    <row r="67" spans="1:5" x14ac:dyDescent="0.25">
      <c r="A67" s="1" t="s">
        <v>2051</v>
      </c>
      <c r="B67" t="s">
        <v>2053</v>
      </c>
      <c r="C67" t="s">
        <v>76</v>
      </c>
      <c r="D67" t="s">
        <v>2052</v>
      </c>
    </row>
    <row r="68" spans="1:5" x14ac:dyDescent="0.25">
      <c r="A68" t="s">
        <v>45</v>
      </c>
      <c r="B68" t="s">
        <v>46</v>
      </c>
      <c r="C68" t="s">
        <v>76</v>
      </c>
      <c r="D68" t="s">
        <v>561</v>
      </c>
    </row>
    <row r="69" spans="1:5" x14ac:dyDescent="0.25">
      <c r="A69" t="s">
        <v>47</v>
      </c>
      <c r="B69" t="s">
        <v>48</v>
      </c>
      <c r="C69" t="s">
        <v>76</v>
      </c>
      <c r="D69" t="s">
        <v>625</v>
      </c>
    </row>
    <row r="70" spans="1:5" x14ac:dyDescent="0.25">
      <c r="A70" t="s">
        <v>309</v>
      </c>
      <c r="B70" t="s">
        <v>310</v>
      </c>
      <c r="C70" t="s">
        <v>74</v>
      </c>
      <c r="D70" t="s">
        <v>563</v>
      </c>
    </row>
    <row r="71" spans="1:5" x14ac:dyDescent="0.25">
      <c r="A71" t="s">
        <v>311</v>
      </c>
      <c r="B71" t="s">
        <v>312</v>
      </c>
      <c r="C71" t="s">
        <v>74</v>
      </c>
      <c r="D71" t="s">
        <v>563</v>
      </c>
    </row>
    <row r="72" spans="1:5" x14ac:dyDescent="0.25">
      <c r="A72" t="s">
        <v>313</v>
      </c>
      <c r="B72" t="s">
        <v>314</v>
      </c>
      <c r="C72" t="s">
        <v>74</v>
      </c>
      <c r="D72" t="s">
        <v>563</v>
      </c>
    </row>
    <row r="73" spans="1:5" x14ac:dyDescent="0.25">
      <c r="A73" t="s">
        <v>315</v>
      </c>
      <c r="B73" t="s">
        <v>316</v>
      </c>
      <c r="C73" t="s">
        <v>74</v>
      </c>
      <c r="D73" t="s">
        <v>563</v>
      </c>
    </row>
    <row r="74" spans="1:5" x14ac:dyDescent="0.25">
      <c r="A74" t="s">
        <v>317</v>
      </c>
      <c r="B74" t="s">
        <v>318</v>
      </c>
      <c r="C74" t="s">
        <v>74</v>
      </c>
      <c r="D74" t="s">
        <v>563</v>
      </c>
    </row>
    <row r="75" spans="1:5" x14ac:dyDescent="0.25">
      <c r="A75" t="s">
        <v>319</v>
      </c>
      <c r="B75" t="s">
        <v>320</v>
      </c>
      <c r="C75" t="s">
        <v>74</v>
      </c>
      <c r="D75" t="s">
        <v>563</v>
      </c>
    </row>
    <row r="76" spans="1:5" x14ac:dyDescent="0.25">
      <c r="A76" t="s">
        <v>245</v>
      </c>
      <c r="B76" t="s">
        <v>321</v>
      </c>
      <c r="C76" t="s">
        <v>74</v>
      </c>
      <c r="D76" t="s">
        <v>563</v>
      </c>
    </row>
    <row r="77" spans="1:5" x14ac:dyDescent="0.25">
      <c r="A77" t="s">
        <v>322</v>
      </c>
      <c r="B77" t="s">
        <v>323</v>
      </c>
      <c r="C77" t="s">
        <v>74</v>
      </c>
      <c r="D77" t="s">
        <v>563</v>
      </c>
    </row>
    <row r="78" spans="1:5" x14ac:dyDescent="0.25">
      <c r="A78" s="30" t="s">
        <v>324</v>
      </c>
      <c r="B78" s="30" t="s">
        <v>2228</v>
      </c>
      <c r="C78" s="30" t="s">
        <v>74</v>
      </c>
      <c r="D78" s="30" t="s">
        <v>564</v>
      </c>
      <c r="E78" s="30" t="s">
        <v>2224</v>
      </c>
    </row>
    <row r="79" spans="1:5" x14ac:dyDescent="0.25">
      <c r="A79" s="30" t="s">
        <v>325</v>
      </c>
      <c r="B79" s="30" t="s">
        <v>2229</v>
      </c>
      <c r="C79" s="30" t="s">
        <v>74</v>
      </c>
      <c r="D79" s="30" t="s">
        <v>564</v>
      </c>
      <c r="E79" s="30" t="s">
        <v>2224</v>
      </c>
    </row>
    <row r="80" spans="1:5" x14ac:dyDescent="0.25">
      <c r="A80" t="s">
        <v>247</v>
      </c>
      <c r="B80" t="s">
        <v>326</v>
      </c>
      <c r="C80" t="s">
        <v>74</v>
      </c>
      <c r="D80" t="s">
        <v>564</v>
      </c>
    </row>
    <row r="81" spans="1:5" x14ac:dyDescent="0.25">
      <c r="A81" t="s">
        <v>327</v>
      </c>
      <c r="B81" t="s">
        <v>328</v>
      </c>
      <c r="C81" t="s">
        <v>74</v>
      </c>
      <c r="D81" t="s">
        <v>564</v>
      </c>
    </row>
    <row r="82" spans="1:5" x14ac:dyDescent="0.25">
      <c r="A82" t="s">
        <v>329</v>
      </c>
      <c r="B82" t="s">
        <v>2225</v>
      </c>
      <c r="C82" t="s">
        <v>74</v>
      </c>
      <c r="D82" t="s">
        <v>564</v>
      </c>
      <c r="E82" t="s">
        <v>2218</v>
      </c>
    </row>
    <row r="83" spans="1:5" x14ac:dyDescent="0.25">
      <c r="A83" t="s">
        <v>331</v>
      </c>
      <c r="B83" t="s">
        <v>323</v>
      </c>
      <c r="C83" t="s">
        <v>74</v>
      </c>
      <c r="D83" t="s">
        <v>564</v>
      </c>
    </row>
    <row r="84" spans="1:5" x14ac:dyDescent="0.25">
      <c r="A84" t="s">
        <v>332</v>
      </c>
      <c r="B84" t="s">
        <v>333</v>
      </c>
      <c r="C84" t="s">
        <v>74</v>
      </c>
      <c r="D84" t="s">
        <v>564</v>
      </c>
    </row>
    <row r="85" spans="1:5" x14ac:dyDescent="0.25">
      <c r="A85" s="29" t="s">
        <v>2226</v>
      </c>
      <c r="B85" s="8" t="s">
        <v>2227</v>
      </c>
      <c r="C85" s="8" t="s">
        <v>74</v>
      </c>
      <c r="D85" s="8" t="s">
        <v>564</v>
      </c>
      <c r="E85" s="8" t="s">
        <v>773</v>
      </c>
    </row>
    <row r="86" spans="1:5" x14ac:dyDescent="0.25">
      <c r="A86" t="s">
        <v>334</v>
      </c>
      <c r="B86" t="s">
        <v>2225</v>
      </c>
      <c r="C86" t="s">
        <v>74</v>
      </c>
      <c r="D86" t="s">
        <v>565</v>
      </c>
      <c r="E86" t="s">
        <v>2218</v>
      </c>
    </row>
    <row r="87" spans="1:5" x14ac:dyDescent="0.25">
      <c r="A87" t="s">
        <v>335</v>
      </c>
      <c r="B87" t="s">
        <v>323</v>
      </c>
      <c r="C87" t="s">
        <v>74</v>
      </c>
      <c r="D87" t="s">
        <v>565</v>
      </c>
    </row>
    <row r="88" spans="1:5" x14ac:dyDescent="0.25">
      <c r="A88" s="30" t="s">
        <v>49</v>
      </c>
      <c r="B88" s="30" t="s">
        <v>50</v>
      </c>
      <c r="C88" s="30" t="s">
        <v>74</v>
      </c>
      <c r="D88" s="30" t="s">
        <v>626</v>
      </c>
      <c r="E88" s="30" t="s">
        <v>772</v>
      </c>
    </row>
    <row r="89" spans="1:5" x14ac:dyDescent="0.25">
      <c r="A89" s="30" t="s">
        <v>336</v>
      </c>
      <c r="B89" s="30" t="s">
        <v>330</v>
      </c>
      <c r="C89" s="30" t="s">
        <v>74</v>
      </c>
      <c r="D89" s="30" t="s">
        <v>626</v>
      </c>
      <c r="E89" s="30" t="s">
        <v>772</v>
      </c>
    </row>
    <row r="90" spans="1:5" x14ac:dyDescent="0.25">
      <c r="A90" t="s">
        <v>51</v>
      </c>
      <c r="B90" t="s">
        <v>52</v>
      </c>
      <c r="C90" t="s">
        <v>74</v>
      </c>
      <c r="D90" t="s">
        <v>566</v>
      </c>
    </row>
    <row r="91" spans="1:5" x14ac:dyDescent="0.25">
      <c r="A91" t="s">
        <v>53</v>
      </c>
      <c r="B91" t="s">
        <v>54</v>
      </c>
      <c r="C91" t="s">
        <v>74</v>
      </c>
      <c r="D91" t="s">
        <v>567</v>
      </c>
    </row>
    <row r="92" spans="1:5" x14ac:dyDescent="0.25">
      <c r="A92" t="s">
        <v>337</v>
      </c>
      <c r="B92" t="s">
        <v>338</v>
      </c>
      <c r="C92" t="s">
        <v>74</v>
      </c>
      <c r="D92" t="s">
        <v>568</v>
      </c>
    </row>
    <row r="93" spans="1:5" x14ac:dyDescent="0.25">
      <c r="A93" t="s">
        <v>339</v>
      </c>
      <c r="B93" t="s">
        <v>340</v>
      </c>
      <c r="C93" t="s">
        <v>74</v>
      </c>
      <c r="D93" t="s">
        <v>1522</v>
      </c>
    </row>
    <row r="94" spans="1:5" x14ac:dyDescent="0.25">
      <c r="A94" t="s">
        <v>341</v>
      </c>
      <c r="B94" t="s">
        <v>342</v>
      </c>
      <c r="C94" t="s">
        <v>74</v>
      </c>
      <c r="D94" t="s">
        <v>1522</v>
      </c>
    </row>
    <row r="95" spans="1:5" x14ac:dyDescent="0.25">
      <c r="A95" t="s">
        <v>343</v>
      </c>
      <c r="B95" t="s">
        <v>344</v>
      </c>
      <c r="C95" t="s">
        <v>74</v>
      </c>
      <c r="D95" t="s">
        <v>1522</v>
      </c>
    </row>
    <row r="96" spans="1:5" x14ac:dyDescent="0.25">
      <c r="A96" s="29" t="s">
        <v>1556</v>
      </c>
      <c r="B96" s="8" t="s">
        <v>1928</v>
      </c>
      <c r="C96" s="8" t="s">
        <v>74</v>
      </c>
      <c r="D96" s="8" t="s">
        <v>1522</v>
      </c>
      <c r="E96" s="8" t="s">
        <v>2217</v>
      </c>
    </row>
    <row r="97" spans="1:5" x14ac:dyDescent="0.25">
      <c r="A97" s="1" t="s">
        <v>703</v>
      </c>
      <c r="B97" t="s">
        <v>704</v>
      </c>
      <c r="C97" t="s">
        <v>75</v>
      </c>
      <c r="D97" t="s">
        <v>2015</v>
      </c>
    </row>
    <row r="98" spans="1:5" x14ac:dyDescent="0.25">
      <c r="A98" t="s">
        <v>55</v>
      </c>
      <c r="B98" t="s">
        <v>56</v>
      </c>
      <c r="C98" t="s">
        <v>75</v>
      </c>
      <c r="D98" t="s">
        <v>715</v>
      </c>
    </row>
    <row r="99" spans="1:5" x14ac:dyDescent="0.25">
      <c r="A99" t="s">
        <v>345</v>
      </c>
      <c r="B99" t="s">
        <v>717</v>
      </c>
      <c r="C99" t="s">
        <v>75</v>
      </c>
      <c r="D99" t="s">
        <v>570</v>
      </c>
    </row>
    <row r="100" spans="1:5" x14ac:dyDescent="0.25">
      <c r="A100" t="s">
        <v>346</v>
      </c>
      <c r="B100" t="s">
        <v>347</v>
      </c>
      <c r="C100" t="s">
        <v>75</v>
      </c>
      <c r="D100" t="s">
        <v>570</v>
      </c>
    </row>
    <row r="101" spans="1:5" x14ac:dyDescent="0.25">
      <c r="A101" t="s">
        <v>348</v>
      </c>
      <c r="B101" t="s">
        <v>349</v>
      </c>
      <c r="C101" t="s">
        <v>75</v>
      </c>
      <c r="D101" t="s">
        <v>570</v>
      </c>
    </row>
    <row r="102" spans="1:5" x14ac:dyDescent="0.25">
      <c r="A102" t="s">
        <v>350</v>
      </c>
      <c r="B102" t="s">
        <v>714</v>
      </c>
      <c r="C102" t="s">
        <v>75</v>
      </c>
      <c r="D102" t="s">
        <v>570</v>
      </c>
    </row>
    <row r="103" spans="1:5" x14ac:dyDescent="0.25">
      <c r="A103" t="s">
        <v>351</v>
      </c>
      <c r="B103" t="s">
        <v>352</v>
      </c>
      <c r="C103" t="s">
        <v>75</v>
      </c>
      <c r="D103" t="s">
        <v>570</v>
      </c>
    </row>
    <row r="104" spans="1:5" x14ac:dyDescent="0.25">
      <c r="A104" s="8" t="s">
        <v>353</v>
      </c>
      <c r="B104" s="8" t="s">
        <v>720</v>
      </c>
      <c r="C104" s="8" t="s">
        <v>75</v>
      </c>
      <c r="D104" s="8" t="s">
        <v>570</v>
      </c>
      <c r="E104" s="8" t="s">
        <v>2218</v>
      </c>
    </row>
    <row r="105" spans="1:5" x14ac:dyDescent="0.25">
      <c r="A105" t="s">
        <v>354</v>
      </c>
      <c r="B105" t="s">
        <v>355</v>
      </c>
      <c r="C105" t="s">
        <v>75</v>
      </c>
      <c r="D105" t="s">
        <v>570</v>
      </c>
    </row>
    <row r="106" spans="1:5" x14ac:dyDescent="0.25">
      <c r="A106" t="s">
        <v>356</v>
      </c>
      <c r="B106" t="s">
        <v>357</v>
      </c>
      <c r="C106" t="s">
        <v>75</v>
      </c>
      <c r="D106" t="s">
        <v>571</v>
      </c>
    </row>
    <row r="107" spans="1:5" x14ac:dyDescent="0.25">
      <c r="A107" t="s">
        <v>358</v>
      </c>
      <c r="B107" t="s">
        <v>2209</v>
      </c>
      <c r="C107" t="s">
        <v>75</v>
      </c>
      <c r="D107" t="s">
        <v>571</v>
      </c>
    </row>
    <row r="108" spans="1:5" x14ac:dyDescent="0.25">
      <c r="A108" t="s">
        <v>359</v>
      </c>
      <c r="B108" t="s">
        <v>360</v>
      </c>
      <c r="C108" t="s">
        <v>75</v>
      </c>
      <c r="D108" t="s">
        <v>571</v>
      </c>
    </row>
    <row r="109" spans="1:5" x14ac:dyDescent="0.25">
      <c r="A109" t="s">
        <v>361</v>
      </c>
      <c r="B109" t="s">
        <v>2248</v>
      </c>
      <c r="C109" t="s">
        <v>75</v>
      </c>
      <c r="D109" t="s">
        <v>571</v>
      </c>
    </row>
    <row r="110" spans="1:5" x14ac:dyDescent="0.25">
      <c r="A110" t="s">
        <v>362</v>
      </c>
      <c r="B110" t="s">
        <v>349</v>
      </c>
      <c r="C110" t="s">
        <v>75</v>
      </c>
      <c r="D110" t="s">
        <v>572</v>
      </c>
    </row>
    <row r="111" spans="1:5" x14ac:dyDescent="0.25">
      <c r="A111" t="s">
        <v>363</v>
      </c>
      <c r="B111" t="s">
        <v>669</v>
      </c>
      <c r="C111" t="s">
        <v>75</v>
      </c>
      <c r="D111" t="s">
        <v>572</v>
      </c>
    </row>
    <row r="112" spans="1:5" x14ac:dyDescent="0.25">
      <c r="A112" t="s">
        <v>364</v>
      </c>
      <c r="B112" t="s">
        <v>365</v>
      </c>
      <c r="C112" t="s">
        <v>75</v>
      </c>
      <c r="D112" t="s">
        <v>572</v>
      </c>
    </row>
    <row r="113" spans="1:5" x14ac:dyDescent="0.25">
      <c r="A113" s="29" t="s">
        <v>680</v>
      </c>
      <c r="B113" s="8" t="s">
        <v>681</v>
      </c>
      <c r="C113" s="8" t="s">
        <v>75</v>
      </c>
      <c r="D113" s="8" t="s">
        <v>572</v>
      </c>
      <c r="E113" s="8" t="s">
        <v>2218</v>
      </c>
    </row>
    <row r="114" spans="1:5" x14ac:dyDescent="0.25">
      <c r="A114" t="s">
        <v>366</v>
      </c>
      <c r="B114" t="s">
        <v>367</v>
      </c>
      <c r="C114" t="s">
        <v>75</v>
      </c>
      <c r="D114" t="s">
        <v>573</v>
      </c>
      <c r="E114" s="1" t="s">
        <v>513</v>
      </c>
    </row>
    <row r="115" spans="1:5" x14ac:dyDescent="0.25">
      <c r="A115" t="s">
        <v>368</v>
      </c>
      <c r="B115" t="s">
        <v>360</v>
      </c>
      <c r="C115" t="s">
        <v>75</v>
      </c>
      <c r="D115" t="s">
        <v>573</v>
      </c>
    </row>
    <row r="116" spans="1:5" x14ac:dyDescent="0.25">
      <c r="A116" t="s">
        <v>369</v>
      </c>
      <c r="B116" t="s">
        <v>370</v>
      </c>
      <c r="C116" t="s">
        <v>75</v>
      </c>
      <c r="D116" t="s">
        <v>574</v>
      </c>
    </row>
    <row r="117" spans="1:5" x14ac:dyDescent="0.25">
      <c r="A117" t="s">
        <v>371</v>
      </c>
      <c r="B117" t="s">
        <v>372</v>
      </c>
      <c r="C117" t="s">
        <v>75</v>
      </c>
      <c r="D117" t="s">
        <v>574</v>
      </c>
    </row>
    <row r="118" spans="1:5" x14ac:dyDescent="0.25">
      <c r="A118" t="s">
        <v>373</v>
      </c>
      <c r="B118" t="s">
        <v>718</v>
      </c>
      <c r="C118" t="s">
        <v>75</v>
      </c>
      <c r="D118" t="s">
        <v>574</v>
      </c>
    </row>
    <row r="119" spans="1:5" x14ac:dyDescent="0.25">
      <c r="A119" t="s">
        <v>374</v>
      </c>
      <c r="B119" t="s">
        <v>671</v>
      </c>
      <c r="C119" t="s">
        <v>75</v>
      </c>
      <c r="D119" t="s">
        <v>574</v>
      </c>
    </row>
    <row r="120" spans="1:5" x14ac:dyDescent="0.25">
      <c r="A120" s="8" t="s">
        <v>375</v>
      </c>
      <c r="B120" s="8" t="s">
        <v>670</v>
      </c>
      <c r="C120" s="8" t="s">
        <v>75</v>
      </c>
      <c r="D120" s="8" t="s">
        <v>574</v>
      </c>
      <c r="E120" s="8" t="s">
        <v>2218</v>
      </c>
    </row>
    <row r="121" spans="1:5" x14ac:dyDescent="0.25">
      <c r="A121" t="s">
        <v>376</v>
      </c>
      <c r="B121" t="s">
        <v>377</v>
      </c>
      <c r="C121" t="s">
        <v>75</v>
      </c>
      <c r="D121" t="s">
        <v>574</v>
      </c>
    </row>
    <row r="122" spans="1:5" x14ac:dyDescent="0.25">
      <c r="A122" t="s">
        <v>57</v>
      </c>
      <c r="B122" t="s">
        <v>58</v>
      </c>
      <c r="C122" t="s">
        <v>75</v>
      </c>
      <c r="D122" t="s">
        <v>575</v>
      </c>
    </row>
    <row r="123" spans="1:5" x14ac:dyDescent="0.25">
      <c r="A123" t="s">
        <v>59</v>
      </c>
      <c r="B123" t="s">
        <v>60</v>
      </c>
      <c r="C123" t="s">
        <v>75</v>
      </c>
      <c r="D123" t="s">
        <v>576</v>
      </c>
    </row>
    <row r="124" spans="1:5" x14ac:dyDescent="0.25">
      <c r="A124" t="s">
        <v>61</v>
      </c>
      <c r="B124" t="s">
        <v>62</v>
      </c>
      <c r="C124" t="s">
        <v>75</v>
      </c>
      <c r="D124" t="s">
        <v>577</v>
      </c>
    </row>
    <row r="125" spans="1:5" x14ac:dyDescent="0.25">
      <c r="A125" t="s">
        <v>63</v>
      </c>
      <c r="B125" t="s">
        <v>64</v>
      </c>
      <c r="C125" t="s">
        <v>75</v>
      </c>
      <c r="D125" t="s">
        <v>578</v>
      </c>
    </row>
    <row r="126" spans="1:5" x14ac:dyDescent="0.25">
      <c r="A126" t="s">
        <v>65</v>
      </c>
      <c r="B126" t="s">
        <v>66</v>
      </c>
      <c r="C126" t="s">
        <v>75</v>
      </c>
      <c r="D126" t="s">
        <v>668</v>
      </c>
    </row>
  </sheetData>
  <pageMargins left="0.7" right="0.7" top="0.75" bottom="0.75" header="0.3" footer="0.3"/>
  <pageSetup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5"/>
  <sheetViews>
    <sheetView topLeftCell="A19" workbookViewId="0">
      <selection activeCell="A51" sqref="A51"/>
    </sheetView>
  </sheetViews>
  <sheetFormatPr defaultRowHeight="15" x14ac:dyDescent="0.25"/>
  <cols>
    <col min="1" max="1" width="108.42578125" customWidth="1"/>
    <col min="2" max="2" width="15.42578125" bestFit="1" customWidth="1"/>
  </cols>
  <sheetData>
    <row r="3" spans="1:2" x14ac:dyDescent="0.25">
      <c r="A3" s="118" t="s">
        <v>378</v>
      </c>
      <c r="B3" t="s">
        <v>381</v>
      </c>
    </row>
    <row r="4" spans="1:2" x14ac:dyDescent="0.25">
      <c r="A4" s="5" t="s">
        <v>779</v>
      </c>
      <c r="B4" s="7">
        <v>90000</v>
      </c>
    </row>
    <row r="5" spans="1:2" x14ac:dyDescent="0.25">
      <c r="A5" s="6" t="s">
        <v>18</v>
      </c>
      <c r="B5" s="7">
        <v>25000</v>
      </c>
    </row>
    <row r="6" spans="1:2" x14ac:dyDescent="0.25">
      <c r="A6" s="98" t="s">
        <v>1925</v>
      </c>
      <c r="B6" s="7">
        <v>25000</v>
      </c>
    </row>
    <row r="7" spans="1:2" x14ac:dyDescent="0.25">
      <c r="A7" s="6" t="s">
        <v>16</v>
      </c>
      <c r="B7" s="7">
        <v>65000</v>
      </c>
    </row>
    <row r="8" spans="1:2" x14ac:dyDescent="0.25">
      <c r="A8" s="98" t="s">
        <v>2019</v>
      </c>
      <c r="B8" s="7">
        <v>30000</v>
      </c>
    </row>
    <row r="9" spans="1:2" x14ac:dyDescent="0.25">
      <c r="A9" s="98" t="s">
        <v>2017</v>
      </c>
      <c r="B9" s="7">
        <v>10000</v>
      </c>
    </row>
    <row r="10" spans="1:2" x14ac:dyDescent="0.25">
      <c r="A10" s="98" t="s">
        <v>2018</v>
      </c>
      <c r="B10" s="7">
        <v>25000</v>
      </c>
    </row>
    <row r="11" spans="1:2" x14ac:dyDescent="0.25">
      <c r="A11" s="5" t="s">
        <v>805</v>
      </c>
      <c r="B11" s="7">
        <v>10000</v>
      </c>
    </row>
    <row r="12" spans="1:2" x14ac:dyDescent="0.25">
      <c r="A12" s="6" t="s">
        <v>834</v>
      </c>
      <c r="B12" s="7">
        <v>10000</v>
      </c>
    </row>
    <row r="13" spans="1:2" x14ac:dyDescent="0.25">
      <c r="A13" s="98" t="s">
        <v>2021</v>
      </c>
      <c r="B13" s="7">
        <v>10000</v>
      </c>
    </row>
    <row r="14" spans="1:2" x14ac:dyDescent="0.25">
      <c r="A14" s="5" t="s">
        <v>1083</v>
      </c>
      <c r="B14" s="7">
        <v>973000</v>
      </c>
    </row>
    <row r="15" spans="1:2" x14ac:dyDescent="0.25">
      <c r="A15" s="6" t="s">
        <v>2199</v>
      </c>
      <c r="B15" s="7">
        <v>5000</v>
      </c>
    </row>
    <row r="16" spans="1:2" x14ac:dyDescent="0.25">
      <c r="A16" s="98" t="s">
        <v>2027</v>
      </c>
      <c r="B16" s="7">
        <v>5000</v>
      </c>
    </row>
    <row r="17" spans="1:2" x14ac:dyDescent="0.25">
      <c r="A17" s="6" t="s">
        <v>554</v>
      </c>
      <c r="B17" s="7">
        <v>700000</v>
      </c>
    </row>
    <row r="18" spans="1:2" x14ac:dyDescent="0.25">
      <c r="A18" s="98" t="s">
        <v>832</v>
      </c>
      <c r="B18" s="7">
        <v>700000</v>
      </c>
    </row>
    <row r="19" spans="1:2" x14ac:dyDescent="0.25">
      <c r="A19" s="6" t="s">
        <v>553</v>
      </c>
      <c r="B19" s="7">
        <v>268000</v>
      </c>
    </row>
    <row r="20" spans="1:2" x14ac:dyDescent="0.25">
      <c r="A20" s="98" t="s">
        <v>2023</v>
      </c>
      <c r="B20" s="7">
        <v>68000</v>
      </c>
    </row>
    <row r="21" spans="1:2" x14ac:dyDescent="0.25">
      <c r="A21" s="98" t="s">
        <v>2026</v>
      </c>
      <c r="B21" s="7">
        <v>200000</v>
      </c>
    </row>
    <row r="22" spans="1:2" x14ac:dyDescent="0.25">
      <c r="A22" s="5" t="s">
        <v>780</v>
      </c>
      <c r="B22" s="7">
        <v>581820</v>
      </c>
    </row>
    <row r="23" spans="1:2" x14ac:dyDescent="0.25">
      <c r="A23" s="6" t="s">
        <v>286</v>
      </c>
      <c r="B23" s="7">
        <v>275000</v>
      </c>
    </row>
    <row r="24" spans="1:2" x14ac:dyDescent="0.25">
      <c r="A24" s="98" t="s">
        <v>2032</v>
      </c>
      <c r="B24" s="7">
        <v>25000</v>
      </c>
    </row>
    <row r="25" spans="1:2" x14ac:dyDescent="0.25">
      <c r="A25" s="98" t="s">
        <v>2033</v>
      </c>
      <c r="B25" s="7">
        <v>250000</v>
      </c>
    </row>
    <row r="26" spans="1:2" x14ac:dyDescent="0.25">
      <c r="A26" s="6" t="s">
        <v>48</v>
      </c>
      <c r="B26" s="7">
        <v>20000</v>
      </c>
    </row>
    <row r="27" spans="1:2" x14ac:dyDescent="0.25">
      <c r="A27" s="98" t="s">
        <v>2031</v>
      </c>
      <c r="B27" s="7">
        <v>20000</v>
      </c>
    </row>
    <row r="28" spans="1:2" x14ac:dyDescent="0.25">
      <c r="A28" s="6" t="s">
        <v>302</v>
      </c>
      <c r="B28" s="7">
        <v>40000</v>
      </c>
    </row>
    <row r="29" spans="1:2" x14ac:dyDescent="0.25">
      <c r="A29" s="98" t="s">
        <v>2029</v>
      </c>
      <c r="B29" s="7">
        <v>40000</v>
      </c>
    </row>
    <row r="30" spans="1:2" x14ac:dyDescent="0.25">
      <c r="A30" s="6" t="s">
        <v>2206</v>
      </c>
      <c r="B30" s="7">
        <v>116820</v>
      </c>
    </row>
    <row r="31" spans="1:2" x14ac:dyDescent="0.25">
      <c r="A31" s="98" t="s">
        <v>2030</v>
      </c>
      <c r="B31" s="7">
        <v>84820</v>
      </c>
    </row>
    <row r="32" spans="1:2" x14ac:dyDescent="0.25">
      <c r="A32" s="98" t="s">
        <v>2197</v>
      </c>
      <c r="B32" s="7">
        <v>32000</v>
      </c>
    </row>
    <row r="33" spans="1:2" x14ac:dyDescent="0.25">
      <c r="A33" s="6" t="s">
        <v>2204</v>
      </c>
      <c r="B33" s="7">
        <v>130000</v>
      </c>
    </row>
    <row r="34" spans="1:2" x14ac:dyDescent="0.25">
      <c r="A34" s="98" t="s">
        <v>1845</v>
      </c>
      <c r="B34" s="7">
        <v>130000</v>
      </c>
    </row>
    <row r="35" spans="1:2" x14ac:dyDescent="0.25">
      <c r="A35" s="5" t="s">
        <v>781</v>
      </c>
      <c r="B35" s="7">
        <v>601206.4</v>
      </c>
    </row>
    <row r="36" spans="1:2" x14ac:dyDescent="0.25">
      <c r="A36" s="6" t="s">
        <v>314</v>
      </c>
      <c r="B36" s="7">
        <v>15206.4</v>
      </c>
    </row>
    <row r="37" spans="1:2" x14ac:dyDescent="0.25">
      <c r="A37" s="98" t="s">
        <v>2234</v>
      </c>
      <c r="B37" s="7">
        <v>15206.4</v>
      </c>
    </row>
    <row r="38" spans="1:2" x14ac:dyDescent="0.25">
      <c r="A38" s="6" t="s">
        <v>52</v>
      </c>
      <c r="B38" s="7">
        <v>10000</v>
      </c>
    </row>
    <row r="39" spans="1:2" x14ac:dyDescent="0.25">
      <c r="A39" s="98" t="s">
        <v>2035</v>
      </c>
      <c r="B39" s="7">
        <v>10000</v>
      </c>
    </row>
    <row r="40" spans="1:2" x14ac:dyDescent="0.25">
      <c r="A40" s="6" t="s">
        <v>312</v>
      </c>
      <c r="B40" s="7">
        <v>80000</v>
      </c>
    </row>
    <row r="41" spans="1:2" x14ac:dyDescent="0.25">
      <c r="A41" s="98" t="s">
        <v>2034</v>
      </c>
      <c r="B41" s="7">
        <v>80000</v>
      </c>
    </row>
    <row r="42" spans="1:2" x14ac:dyDescent="0.25">
      <c r="A42" s="6" t="s">
        <v>326</v>
      </c>
      <c r="B42" s="7">
        <v>95000</v>
      </c>
    </row>
    <row r="43" spans="1:2" x14ac:dyDescent="0.25">
      <c r="A43" s="98" t="s">
        <v>2036</v>
      </c>
      <c r="B43" s="7">
        <v>95000</v>
      </c>
    </row>
    <row r="44" spans="1:2" x14ac:dyDescent="0.25">
      <c r="A44" s="6" t="s">
        <v>328</v>
      </c>
      <c r="B44" s="7">
        <v>51000</v>
      </c>
    </row>
    <row r="45" spans="1:2" x14ac:dyDescent="0.25">
      <c r="A45" s="98" t="s">
        <v>1846</v>
      </c>
      <c r="B45" s="7">
        <v>51000</v>
      </c>
    </row>
    <row r="46" spans="1:2" x14ac:dyDescent="0.25">
      <c r="A46" s="6" t="s">
        <v>2225</v>
      </c>
      <c r="B46" s="7">
        <v>60000</v>
      </c>
    </row>
    <row r="47" spans="1:2" x14ac:dyDescent="0.25">
      <c r="A47" s="98" t="s">
        <v>2038</v>
      </c>
      <c r="B47" s="7">
        <v>60000</v>
      </c>
    </row>
    <row r="48" spans="1:2" x14ac:dyDescent="0.25">
      <c r="A48" s="6" t="s">
        <v>2227</v>
      </c>
      <c r="B48" s="7">
        <v>290000</v>
      </c>
    </row>
    <row r="49" spans="1:2" x14ac:dyDescent="0.25">
      <c r="A49" s="98" t="s">
        <v>2037</v>
      </c>
      <c r="B49" s="7">
        <v>290000</v>
      </c>
    </row>
    <row r="50" spans="1:2" x14ac:dyDescent="0.25">
      <c r="A50" s="5" t="s">
        <v>782</v>
      </c>
      <c r="B50" s="7">
        <v>405000</v>
      </c>
    </row>
    <row r="51" spans="1:2" x14ac:dyDescent="0.25">
      <c r="A51" s="6" t="s">
        <v>64</v>
      </c>
      <c r="B51" s="7">
        <v>5000</v>
      </c>
    </row>
    <row r="52" spans="1:2" x14ac:dyDescent="0.25">
      <c r="A52" s="98" t="s">
        <v>2039</v>
      </c>
      <c r="B52" s="7">
        <v>5000</v>
      </c>
    </row>
    <row r="53" spans="1:2" x14ac:dyDescent="0.25">
      <c r="A53" s="6" t="s">
        <v>2209</v>
      </c>
      <c r="B53" s="7">
        <v>400000</v>
      </c>
    </row>
    <row r="54" spans="1:2" x14ac:dyDescent="0.25">
      <c r="A54" s="98" t="s">
        <v>1569</v>
      </c>
      <c r="B54" s="7">
        <v>400000</v>
      </c>
    </row>
    <row r="55" spans="1:2" x14ac:dyDescent="0.25">
      <c r="A55" s="5" t="s">
        <v>1495</v>
      </c>
      <c r="B55" s="7">
        <v>2661026.4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5"/>
  <sheetViews>
    <sheetView topLeftCell="A163" workbookViewId="0">
      <selection activeCell="B131" activeCellId="7" sqref="B117 B119 B121 B123 B125 B127 B129 B131"/>
    </sheetView>
  </sheetViews>
  <sheetFormatPr defaultRowHeight="15" x14ac:dyDescent="0.25"/>
  <cols>
    <col min="1" max="1" width="52.28515625" customWidth="1"/>
    <col min="2" max="2" width="15.42578125" bestFit="1" customWidth="1"/>
    <col min="3" max="3" width="12.85546875" bestFit="1" customWidth="1"/>
  </cols>
  <sheetData>
    <row r="2" spans="1:2" x14ac:dyDescent="0.25">
      <c r="A2" s="4" t="s">
        <v>2</v>
      </c>
      <c r="B2" t="s">
        <v>443</v>
      </c>
    </row>
    <row r="3" spans="1:2" x14ac:dyDescent="0.25">
      <c r="A3" s="4" t="s">
        <v>1987</v>
      </c>
      <c r="B3" t="s">
        <v>443</v>
      </c>
    </row>
    <row r="4" spans="1:2" x14ac:dyDescent="0.25">
      <c r="A4" s="4" t="s">
        <v>160</v>
      </c>
      <c r="B4" t="s">
        <v>443</v>
      </c>
    </row>
    <row r="6" spans="1:2" x14ac:dyDescent="0.25">
      <c r="A6" s="4" t="s">
        <v>378</v>
      </c>
      <c r="B6" t="s">
        <v>381</v>
      </c>
    </row>
    <row r="7" spans="1:2" x14ac:dyDescent="0.25">
      <c r="A7" s="5" t="s">
        <v>779</v>
      </c>
      <c r="B7" s="7">
        <v>360369.78271</v>
      </c>
    </row>
    <row r="8" spans="1:2" x14ac:dyDescent="0.25">
      <c r="A8" s="6" t="s">
        <v>13</v>
      </c>
      <c r="B8" s="7">
        <v>12050</v>
      </c>
    </row>
    <row r="9" spans="1:2" x14ac:dyDescent="0.25">
      <c r="A9" s="98" t="s">
        <v>14</v>
      </c>
      <c r="B9" s="7">
        <v>12050</v>
      </c>
    </row>
    <row r="10" spans="1:2" x14ac:dyDescent="0.25">
      <c r="A10" s="6" t="s">
        <v>15</v>
      </c>
      <c r="B10" s="7">
        <v>260536.40000000002</v>
      </c>
    </row>
    <row r="11" spans="1:2" x14ac:dyDescent="0.25">
      <c r="A11" s="98" t="s">
        <v>16</v>
      </c>
      <c r="B11" s="7">
        <v>260536.40000000002</v>
      </c>
    </row>
    <row r="12" spans="1:2" x14ac:dyDescent="0.25">
      <c r="A12" s="6" t="s">
        <v>17</v>
      </c>
      <c r="B12" s="7">
        <v>59235.382709999998</v>
      </c>
    </row>
    <row r="13" spans="1:2" x14ac:dyDescent="0.25">
      <c r="A13" s="98" t="s">
        <v>18</v>
      </c>
      <c r="B13" s="7">
        <v>59235.382709999998</v>
      </c>
    </row>
    <row r="14" spans="1:2" x14ac:dyDescent="0.25">
      <c r="A14" s="6" t="s">
        <v>23</v>
      </c>
      <c r="B14" s="7">
        <v>28548</v>
      </c>
    </row>
    <row r="15" spans="1:2" x14ac:dyDescent="0.25">
      <c r="A15" s="98" t="s">
        <v>24</v>
      </c>
      <c r="B15" s="7">
        <v>28548</v>
      </c>
    </row>
    <row r="16" spans="1:2" x14ac:dyDescent="0.25">
      <c r="A16" s="5" t="s">
        <v>2245</v>
      </c>
      <c r="B16" s="7">
        <v>1000</v>
      </c>
    </row>
    <row r="17" spans="1:2" x14ac:dyDescent="0.25">
      <c r="A17" s="6" t="s">
        <v>25</v>
      </c>
      <c r="B17" s="7">
        <v>1000</v>
      </c>
    </row>
    <row r="18" spans="1:2" x14ac:dyDescent="0.25">
      <c r="A18" s="98" t="s">
        <v>26</v>
      </c>
      <c r="B18" s="7">
        <v>1000</v>
      </c>
    </row>
    <row r="19" spans="1:2" x14ac:dyDescent="0.25">
      <c r="A19" s="5" t="s">
        <v>1082</v>
      </c>
      <c r="B19" s="7">
        <v>16850</v>
      </c>
    </row>
    <row r="20" spans="1:2" x14ac:dyDescent="0.25">
      <c r="A20" s="6" t="s">
        <v>27</v>
      </c>
      <c r="B20" s="7">
        <v>16850</v>
      </c>
    </row>
    <row r="21" spans="1:2" x14ac:dyDescent="0.25">
      <c r="A21" s="98" t="s">
        <v>28</v>
      </c>
      <c r="B21" s="7">
        <v>16850</v>
      </c>
    </row>
    <row r="22" spans="1:2" x14ac:dyDescent="0.25">
      <c r="A22" s="5" t="s">
        <v>805</v>
      </c>
      <c r="B22" s="7">
        <v>546271.1</v>
      </c>
    </row>
    <row r="23" spans="1:2" x14ac:dyDescent="0.25">
      <c r="A23" s="6" t="s">
        <v>31</v>
      </c>
      <c r="B23" s="7">
        <v>486305</v>
      </c>
    </row>
    <row r="24" spans="1:2" x14ac:dyDescent="0.25">
      <c r="A24" s="98" t="s">
        <v>834</v>
      </c>
      <c r="B24" s="7">
        <v>486305</v>
      </c>
    </row>
    <row r="25" spans="1:2" x14ac:dyDescent="0.25">
      <c r="A25" s="6" t="s">
        <v>32</v>
      </c>
      <c r="B25" s="7">
        <v>39482.199999999997</v>
      </c>
    </row>
    <row r="26" spans="1:2" x14ac:dyDescent="0.25">
      <c r="A26" s="98" t="s">
        <v>33</v>
      </c>
      <c r="B26" s="7">
        <v>39482.199999999997</v>
      </c>
    </row>
    <row r="27" spans="1:2" x14ac:dyDescent="0.25">
      <c r="A27" s="6" t="s">
        <v>34</v>
      </c>
      <c r="B27" s="7">
        <v>20483.900000000001</v>
      </c>
    </row>
    <row r="28" spans="1:2" x14ac:dyDescent="0.25">
      <c r="A28" s="98" t="s">
        <v>35</v>
      </c>
      <c r="B28" s="7">
        <v>20483.900000000001</v>
      </c>
    </row>
    <row r="29" spans="1:2" x14ac:dyDescent="0.25">
      <c r="A29" s="5" t="s">
        <v>2246</v>
      </c>
      <c r="B29" s="7">
        <v>11946.4</v>
      </c>
    </row>
    <row r="30" spans="1:2" x14ac:dyDescent="0.25">
      <c r="A30" s="6" t="s">
        <v>36</v>
      </c>
      <c r="B30" s="7">
        <v>2446.4</v>
      </c>
    </row>
    <row r="31" spans="1:2" x14ac:dyDescent="0.25">
      <c r="A31" s="98" t="s">
        <v>37</v>
      </c>
      <c r="B31" s="7">
        <v>2446.4</v>
      </c>
    </row>
    <row r="32" spans="1:2" x14ac:dyDescent="0.25">
      <c r="A32" s="6" t="s">
        <v>38</v>
      </c>
      <c r="B32" s="7">
        <v>9500</v>
      </c>
    </row>
    <row r="33" spans="1:2" x14ac:dyDescent="0.25">
      <c r="A33" s="98" t="s">
        <v>1089</v>
      </c>
      <c r="B33" s="7">
        <v>9500</v>
      </c>
    </row>
    <row r="34" spans="1:2" x14ac:dyDescent="0.25">
      <c r="A34" s="5" t="s">
        <v>1083</v>
      </c>
      <c r="B34" s="7">
        <v>487666.88</v>
      </c>
    </row>
    <row r="35" spans="1:2" x14ac:dyDescent="0.25">
      <c r="A35" s="6" t="s">
        <v>40</v>
      </c>
      <c r="B35" s="7">
        <v>53000</v>
      </c>
    </row>
    <row r="36" spans="1:2" x14ac:dyDescent="0.25">
      <c r="A36" s="98" t="s">
        <v>554</v>
      </c>
      <c r="B36" s="7">
        <v>53000</v>
      </c>
    </row>
    <row r="37" spans="1:2" x14ac:dyDescent="0.25">
      <c r="A37" s="6" t="s">
        <v>254</v>
      </c>
      <c r="B37" s="7">
        <v>99464</v>
      </c>
    </row>
    <row r="38" spans="1:2" x14ac:dyDescent="0.25">
      <c r="A38" s="98" t="s">
        <v>2199</v>
      </c>
      <c r="B38" s="7">
        <v>99464</v>
      </c>
    </row>
    <row r="39" spans="1:2" x14ac:dyDescent="0.25">
      <c r="A39" s="6" t="s">
        <v>260</v>
      </c>
      <c r="B39" s="7">
        <v>16460</v>
      </c>
    </row>
    <row r="40" spans="1:2" x14ac:dyDescent="0.25">
      <c r="A40" s="98" t="s">
        <v>261</v>
      </c>
      <c r="B40" s="7">
        <v>16460</v>
      </c>
    </row>
    <row r="41" spans="1:2" x14ac:dyDescent="0.25">
      <c r="A41" s="6" t="s">
        <v>262</v>
      </c>
      <c r="B41" s="7">
        <v>34991.479999999996</v>
      </c>
    </row>
    <row r="42" spans="1:2" x14ac:dyDescent="0.25">
      <c r="A42" s="98" t="s">
        <v>263</v>
      </c>
      <c r="B42" s="7">
        <v>34991.479999999996</v>
      </c>
    </row>
    <row r="43" spans="1:2" x14ac:dyDescent="0.25">
      <c r="A43" s="6" t="s">
        <v>264</v>
      </c>
      <c r="B43" s="7">
        <v>10500</v>
      </c>
    </row>
    <row r="44" spans="1:2" x14ac:dyDescent="0.25">
      <c r="A44" s="98" t="s">
        <v>265</v>
      </c>
      <c r="B44" s="7">
        <v>10500</v>
      </c>
    </row>
    <row r="45" spans="1:2" x14ac:dyDescent="0.25">
      <c r="A45" s="6" t="s">
        <v>2210</v>
      </c>
      <c r="B45" s="7">
        <v>131813.12</v>
      </c>
    </row>
    <row r="46" spans="1:2" x14ac:dyDescent="0.25">
      <c r="A46" s="98" t="s">
        <v>2219</v>
      </c>
      <c r="B46" s="7">
        <v>131813.12</v>
      </c>
    </row>
    <row r="47" spans="1:2" x14ac:dyDescent="0.25">
      <c r="A47" s="6" t="s">
        <v>2211</v>
      </c>
      <c r="B47" s="7">
        <v>141438.28</v>
      </c>
    </row>
    <row r="48" spans="1:2" x14ac:dyDescent="0.25">
      <c r="A48" s="98" t="s">
        <v>2198</v>
      </c>
      <c r="B48" s="7">
        <v>141438.28</v>
      </c>
    </row>
    <row r="49" spans="1:2" x14ac:dyDescent="0.25">
      <c r="A49" s="5" t="s">
        <v>2247</v>
      </c>
      <c r="B49" s="7">
        <v>10500</v>
      </c>
    </row>
    <row r="50" spans="1:2" x14ac:dyDescent="0.25">
      <c r="A50" s="6" t="s">
        <v>41</v>
      </c>
      <c r="B50" s="7">
        <v>10500</v>
      </c>
    </row>
    <row r="51" spans="1:2" x14ac:dyDescent="0.25">
      <c r="A51" s="98" t="s">
        <v>42</v>
      </c>
      <c r="B51" s="7">
        <v>10500</v>
      </c>
    </row>
    <row r="52" spans="1:2" x14ac:dyDescent="0.25">
      <c r="A52" s="5" t="s">
        <v>780</v>
      </c>
      <c r="B52" s="7">
        <v>664547.76</v>
      </c>
    </row>
    <row r="53" spans="1:2" x14ac:dyDescent="0.25">
      <c r="A53" s="6" t="s">
        <v>266</v>
      </c>
      <c r="B53" s="7">
        <v>120000</v>
      </c>
    </row>
    <row r="54" spans="1:2" x14ac:dyDescent="0.25">
      <c r="A54" s="98" t="s">
        <v>267</v>
      </c>
      <c r="B54" s="7">
        <v>120000</v>
      </c>
    </row>
    <row r="55" spans="1:2" x14ac:dyDescent="0.25">
      <c r="A55" s="6" t="s">
        <v>268</v>
      </c>
      <c r="B55" s="7">
        <v>17511.400000000001</v>
      </c>
    </row>
    <row r="56" spans="1:2" x14ac:dyDescent="0.25">
      <c r="A56" s="98" t="s">
        <v>269</v>
      </c>
      <c r="B56" s="7">
        <v>17511.400000000001</v>
      </c>
    </row>
    <row r="57" spans="1:2" x14ac:dyDescent="0.25">
      <c r="A57" s="6" t="s">
        <v>270</v>
      </c>
      <c r="B57" s="7">
        <v>5600</v>
      </c>
    </row>
    <row r="58" spans="1:2" x14ac:dyDescent="0.25">
      <c r="A58" s="98" t="s">
        <v>271</v>
      </c>
      <c r="B58" s="7">
        <v>5600</v>
      </c>
    </row>
    <row r="59" spans="1:2" x14ac:dyDescent="0.25">
      <c r="A59" s="6" t="s">
        <v>272</v>
      </c>
      <c r="B59" s="7">
        <v>8000</v>
      </c>
    </row>
    <row r="60" spans="1:2" x14ac:dyDescent="0.25">
      <c r="A60" s="98" t="s">
        <v>763</v>
      </c>
      <c r="B60" s="7">
        <v>8000</v>
      </c>
    </row>
    <row r="61" spans="1:2" x14ac:dyDescent="0.25">
      <c r="A61" s="6" t="s">
        <v>273</v>
      </c>
      <c r="B61" s="7">
        <v>5800</v>
      </c>
    </row>
    <row r="62" spans="1:2" x14ac:dyDescent="0.25">
      <c r="A62" s="98" t="s">
        <v>342</v>
      </c>
      <c r="B62" s="7">
        <v>5800</v>
      </c>
    </row>
    <row r="63" spans="1:2" x14ac:dyDescent="0.25">
      <c r="A63" s="6" t="s">
        <v>274</v>
      </c>
      <c r="B63" s="7">
        <v>49000</v>
      </c>
    </row>
    <row r="64" spans="1:2" x14ac:dyDescent="0.25">
      <c r="A64" s="98" t="s">
        <v>275</v>
      </c>
      <c r="B64" s="7">
        <v>49000</v>
      </c>
    </row>
    <row r="65" spans="1:2" x14ac:dyDescent="0.25">
      <c r="A65" s="6" t="s">
        <v>758</v>
      </c>
      <c r="B65" s="7">
        <v>26350</v>
      </c>
    </row>
    <row r="66" spans="1:2" x14ac:dyDescent="0.25">
      <c r="A66" s="98" t="s">
        <v>761</v>
      </c>
      <c r="B66" s="7">
        <v>26350</v>
      </c>
    </row>
    <row r="67" spans="1:2" x14ac:dyDescent="0.25">
      <c r="A67" s="6" t="s">
        <v>276</v>
      </c>
      <c r="B67" s="7">
        <v>6670</v>
      </c>
    </row>
    <row r="68" spans="1:2" x14ac:dyDescent="0.25">
      <c r="A68" s="98" t="s">
        <v>762</v>
      </c>
      <c r="B68" s="7">
        <v>6670</v>
      </c>
    </row>
    <row r="69" spans="1:2" x14ac:dyDescent="0.25">
      <c r="A69" s="6" t="s">
        <v>279</v>
      </c>
      <c r="B69" s="7">
        <v>4000</v>
      </c>
    </row>
    <row r="70" spans="1:2" x14ac:dyDescent="0.25">
      <c r="A70" s="98" t="s">
        <v>280</v>
      </c>
      <c r="B70" s="7">
        <v>4000</v>
      </c>
    </row>
    <row r="71" spans="1:2" x14ac:dyDescent="0.25">
      <c r="A71" s="6" t="s">
        <v>624</v>
      </c>
      <c r="B71" s="7">
        <v>2200</v>
      </c>
    </row>
    <row r="72" spans="1:2" x14ac:dyDescent="0.25">
      <c r="A72" s="98" t="s">
        <v>760</v>
      </c>
      <c r="B72" s="7">
        <v>2200</v>
      </c>
    </row>
    <row r="73" spans="1:2" x14ac:dyDescent="0.25">
      <c r="A73" s="6" t="s">
        <v>755</v>
      </c>
      <c r="B73" s="7">
        <v>87252</v>
      </c>
    </row>
    <row r="74" spans="1:2" x14ac:dyDescent="0.25">
      <c r="A74" s="98" t="s">
        <v>759</v>
      </c>
      <c r="B74" s="7">
        <v>87252</v>
      </c>
    </row>
    <row r="75" spans="1:2" x14ac:dyDescent="0.25">
      <c r="A75" s="6" t="s">
        <v>281</v>
      </c>
      <c r="B75" s="7">
        <v>32000</v>
      </c>
    </row>
    <row r="76" spans="1:2" x14ac:dyDescent="0.25">
      <c r="A76" s="98" t="s">
        <v>282</v>
      </c>
      <c r="B76" s="7">
        <v>32000</v>
      </c>
    </row>
    <row r="77" spans="1:2" x14ac:dyDescent="0.25">
      <c r="A77" s="6" t="s">
        <v>283</v>
      </c>
      <c r="B77" s="7">
        <v>13610</v>
      </c>
    </row>
    <row r="78" spans="1:2" x14ac:dyDescent="0.25">
      <c r="A78" s="98" t="s">
        <v>284</v>
      </c>
      <c r="B78" s="7">
        <v>13610</v>
      </c>
    </row>
    <row r="79" spans="1:2" x14ac:dyDescent="0.25">
      <c r="A79" s="6" t="s">
        <v>285</v>
      </c>
      <c r="B79" s="7">
        <v>4500</v>
      </c>
    </row>
    <row r="80" spans="1:2" x14ac:dyDescent="0.25">
      <c r="A80" s="98" t="s">
        <v>286</v>
      </c>
      <c r="B80" s="7">
        <v>4500</v>
      </c>
    </row>
    <row r="81" spans="1:2" x14ac:dyDescent="0.25">
      <c r="A81" s="6" t="s">
        <v>289</v>
      </c>
      <c r="B81" s="7">
        <v>1000</v>
      </c>
    </row>
    <row r="82" spans="1:2" x14ac:dyDescent="0.25">
      <c r="A82" s="98" t="s">
        <v>290</v>
      </c>
      <c r="B82" s="7">
        <v>1000</v>
      </c>
    </row>
    <row r="83" spans="1:2" x14ac:dyDescent="0.25">
      <c r="A83" s="6" t="s">
        <v>2082</v>
      </c>
      <c r="B83" s="7">
        <v>8000</v>
      </c>
    </row>
    <row r="84" spans="1:2" x14ac:dyDescent="0.25">
      <c r="A84" s="98" t="s">
        <v>2083</v>
      </c>
      <c r="B84" s="7">
        <v>8000</v>
      </c>
    </row>
    <row r="85" spans="1:2" x14ac:dyDescent="0.25">
      <c r="A85" s="6" t="s">
        <v>291</v>
      </c>
      <c r="B85" s="7">
        <v>31174.91</v>
      </c>
    </row>
    <row r="86" spans="1:2" x14ac:dyDescent="0.25">
      <c r="A86" s="98" t="s">
        <v>2205</v>
      </c>
      <c r="B86" s="7">
        <v>31174.91</v>
      </c>
    </row>
    <row r="87" spans="1:2" x14ac:dyDescent="0.25">
      <c r="A87" s="6" t="s">
        <v>292</v>
      </c>
      <c r="B87" s="7">
        <v>4550</v>
      </c>
    </row>
    <row r="88" spans="1:2" x14ac:dyDescent="0.25">
      <c r="A88" s="98" t="s">
        <v>2204</v>
      </c>
      <c r="B88" s="7">
        <v>4550</v>
      </c>
    </row>
    <row r="89" spans="1:2" x14ac:dyDescent="0.25">
      <c r="A89" s="6" t="s">
        <v>293</v>
      </c>
      <c r="B89" s="7">
        <v>7200</v>
      </c>
    </row>
    <row r="90" spans="1:2" x14ac:dyDescent="0.25">
      <c r="A90" s="98" t="s">
        <v>2203</v>
      </c>
      <c r="B90" s="7">
        <v>7200</v>
      </c>
    </row>
    <row r="91" spans="1:2" x14ac:dyDescent="0.25">
      <c r="A91" s="6" t="s">
        <v>294</v>
      </c>
      <c r="B91" s="7">
        <v>4165</v>
      </c>
    </row>
    <row r="92" spans="1:2" x14ac:dyDescent="0.25">
      <c r="A92" s="98" t="s">
        <v>2201</v>
      </c>
      <c r="B92" s="7">
        <v>4165</v>
      </c>
    </row>
    <row r="93" spans="1:2" x14ac:dyDescent="0.25">
      <c r="A93" s="6" t="s">
        <v>295</v>
      </c>
      <c r="B93" s="7">
        <v>8380</v>
      </c>
    </row>
    <row r="94" spans="1:2" x14ac:dyDescent="0.25">
      <c r="A94" s="98" t="s">
        <v>2202</v>
      </c>
      <c r="B94" s="7">
        <v>8380</v>
      </c>
    </row>
    <row r="95" spans="1:2" x14ac:dyDescent="0.25">
      <c r="A95" s="6" t="s">
        <v>296</v>
      </c>
      <c r="B95" s="7">
        <v>29319</v>
      </c>
    </row>
    <row r="96" spans="1:2" x14ac:dyDescent="0.25">
      <c r="A96" s="98" t="s">
        <v>2200</v>
      </c>
      <c r="B96" s="7">
        <v>29319</v>
      </c>
    </row>
    <row r="97" spans="1:2" x14ac:dyDescent="0.25">
      <c r="A97" s="6" t="s">
        <v>299</v>
      </c>
      <c r="B97" s="7">
        <v>5357.4</v>
      </c>
    </row>
    <row r="98" spans="1:2" x14ac:dyDescent="0.25">
      <c r="A98" s="98" t="s">
        <v>300</v>
      </c>
      <c r="B98" s="7">
        <v>5357.4</v>
      </c>
    </row>
    <row r="99" spans="1:2" x14ac:dyDescent="0.25">
      <c r="A99" s="6" t="s">
        <v>301</v>
      </c>
      <c r="B99" s="7">
        <v>26840.05</v>
      </c>
    </row>
    <row r="100" spans="1:2" x14ac:dyDescent="0.25">
      <c r="A100" s="98" t="s">
        <v>302</v>
      </c>
      <c r="B100" s="7">
        <v>26840.05</v>
      </c>
    </row>
    <row r="101" spans="1:2" x14ac:dyDescent="0.25">
      <c r="A101" s="6" t="s">
        <v>303</v>
      </c>
      <c r="B101" s="7">
        <v>39301</v>
      </c>
    </row>
    <row r="102" spans="1:2" x14ac:dyDescent="0.25">
      <c r="A102" s="98" t="s">
        <v>304</v>
      </c>
      <c r="B102" s="7">
        <v>39301</v>
      </c>
    </row>
    <row r="103" spans="1:2" x14ac:dyDescent="0.25">
      <c r="A103" s="6" t="s">
        <v>306</v>
      </c>
      <c r="B103" s="7">
        <v>50052</v>
      </c>
    </row>
    <row r="104" spans="1:2" x14ac:dyDescent="0.25">
      <c r="A104" s="98" t="s">
        <v>2206</v>
      </c>
      <c r="B104" s="7">
        <v>50052</v>
      </c>
    </row>
    <row r="105" spans="1:2" x14ac:dyDescent="0.25">
      <c r="A105" s="6" t="s">
        <v>307</v>
      </c>
      <c r="B105" s="7">
        <v>12450</v>
      </c>
    </row>
    <row r="106" spans="1:2" x14ac:dyDescent="0.25">
      <c r="A106" s="98" t="s">
        <v>2207</v>
      </c>
      <c r="B106" s="7">
        <v>12450</v>
      </c>
    </row>
    <row r="107" spans="1:2" x14ac:dyDescent="0.25">
      <c r="A107" s="6" t="s">
        <v>308</v>
      </c>
      <c r="B107" s="7">
        <v>22540</v>
      </c>
    </row>
    <row r="108" spans="1:2" x14ac:dyDescent="0.25">
      <c r="A108" s="98" t="s">
        <v>2208</v>
      </c>
      <c r="B108" s="7">
        <v>22540</v>
      </c>
    </row>
    <row r="109" spans="1:2" x14ac:dyDescent="0.25">
      <c r="A109" s="6" t="s">
        <v>2051</v>
      </c>
      <c r="B109" s="7">
        <v>15605</v>
      </c>
    </row>
    <row r="110" spans="1:2" x14ac:dyDescent="0.25">
      <c r="A110" s="98" t="s">
        <v>2053</v>
      </c>
      <c r="B110" s="7">
        <v>15605</v>
      </c>
    </row>
    <row r="111" spans="1:2" x14ac:dyDescent="0.25">
      <c r="A111" s="6" t="s">
        <v>45</v>
      </c>
      <c r="B111" s="7">
        <v>14000</v>
      </c>
    </row>
    <row r="112" spans="1:2" x14ac:dyDescent="0.25">
      <c r="A112" s="98" t="s">
        <v>46</v>
      </c>
      <c r="B112" s="7">
        <v>14000</v>
      </c>
    </row>
    <row r="113" spans="1:2" x14ac:dyDescent="0.25">
      <c r="A113" s="6" t="s">
        <v>47</v>
      </c>
      <c r="B113" s="7">
        <v>2120</v>
      </c>
    </row>
    <row r="114" spans="1:2" x14ac:dyDescent="0.25">
      <c r="A114" s="98" t="s">
        <v>48</v>
      </c>
      <c r="B114" s="7">
        <v>2120</v>
      </c>
    </row>
    <row r="115" spans="1:2" x14ac:dyDescent="0.25">
      <c r="A115" s="5" t="s">
        <v>781</v>
      </c>
      <c r="B115" s="7">
        <v>1563829.2399999998</v>
      </c>
    </row>
    <row r="116" spans="1:2" x14ac:dyDescent="0.25">
      <c r="A116" s="6" t="s">
        <v>309</v>
      </c>
      <c r="B116" s="7">
        <v>88218</v>
      </c>
    </row>
    <row r="117" spans="1:2" x14ac:dyDescent="0.25">
      <c r="A117" s="98" t="s">
        <v>310</v>
      </c>
      <c r="B117" s="7">
        <v>88218</v>
      </c>
    </row>
    <row r="118" spans="1:2" x14ac:dyDescent="0.25">
      <c r="A118" s="6" t="s">
        <v>311</v>
      </c>
      <c r="B118" s="7">
        <v>34985</v>
      </c>
    </row>
    <row r="119" spans="1:2" x14ac:dyDescent="0.25">
      <c r="A119" s="98" t="s">
        <v>312</v>
      </c>
      <c r="B119" s="7">
        <v>34985</v>
      </c>
    </row>
    <row r="120" spans="1:2" x14ac:dyDescent="0.25">
      <c r="A120" s="6" t="s">
        <v>313</v>
      </c>
      <c r="B120" s="7">
        <v>23595</v>
      </c>
    </row>
    <row r="121" spans="1:2" x14ac:dyDescent="0.25">
      <c r="A121" s="98" t="s">
        <v>314</v>
      </c>
      <c r="B121" s="7">
        <v>23595</v>
      </c>
    </row>
    <row r="122" spans="1:2" x14ac:dyDescent="0.25">
      <c r="A122" s="6" t="s">
        <v>315</v>
      </c>
      <c r="B122" s="7">
        <v>5423</v>
      </c>
    </row>
    <row r="123" spans="1:2" x14ac:dyDescent="0.25">
      <c r="A123" s="98" t="s">
        <v>316</v>
      </c>
      <c r="B123" s="7">
        <v>5423</v>
      </c>
    </row>
    <row r="124" spans="1:2" x14ac:dyDescent="0.25">
      <c r="A124" s="6" t="s">
        <v>317</v>
      </c>
      <c r="B124" s="7">
        <v>32700</v>
      </c>
    </row>
    <row r="125" spans="1:2" x14ac:dyDescent="0.25">
      <c r="A125" s="98" t="s">
        <v>318</v>
      </c>
      <c r="B125" s="7">
        <v>32700</v>
      </c>
    </row>
    <row r="126" spans="1:2" x14ac:dyDescent="0.25">
      <c r="A126" s="6" t="s">
        <v>319</v>
      </c>
      <c r="B126" s="7">
        <v>39330</v>
      </c>
    </row>
    <row r="127" spans="1:2" x14ac:dyDescent="0.25">
      <c r="A127" s="98" t="s">
        <v>320</v>
      </c>
      <c r="B127" s="7">
        <v>39330</v>
      </c>
    </row>
    <row r="128" spans="1:2" x14ac:dyDescent="0.25">
      <c r="A128" s="6" t="s">
        <v>245</v>
      </c>
      <c r="B128" s="7">
        <v>8530</v>
      </c>
    </row>
    <row r="129" spans="1:2" x14ac:dyDescent="0.25">
      <c r="A129" s="98" t="s">
        <v>321</v>
      </c>
      <c r="B129" s="7">
        <v>8530</v>
      </c>
    </row>
    <row r="130" spans="1:2" x14ac:dyDescent="0.25">
      <c r="A130" s="6" t="s">
        <v>322</v>
      </c>
      <c r="B130" s="7">
        <v>46249.440000000002</v>
      </c>
    </row>
    <row r="131" spans="1:2" x14ac:dyDescent="0.25">
      <c r="A131" s="98" t="s">
        <v>323</v>
      </c>
      <c r="B131" s="7">
        <v>46249.440000000002</v>
      </c>
    </row>
    <row r="132" spans="1:2" x14ac:dyDescent="0.25">
      <c r="A132" s="6" t="s">
        <v>247</v>
      </c>
      <c r="B132" s="7">
        <v>99644.4</v>
      </c>
    </row>
    <row r="133" spans="1:2" x14ac:dyDescent="0.25">
      <c r="A133" s="98" t="s">
        <v>326</v>
      </c>
      <c r="B133" s="7">
        <v>99644.4</v>
      </c>
    </row>
    <row r="134" spans="1:2" x14ac:dyDescent="0.25">
      <c r="A134" s="6" t="s">
        <v>327</v>
      </c>
      <c r="B134" s="7">
        <v>36189</v>
      </c>
    </row>
    <row r="135" spans="1:2" x14ac:dyDescent="0.25">
      <c r="A135" s="98" t="s">
        <v>328</v>
      </c>
      <c r="B135" s="7">
        <v>36189</v>
      </c>
    </row>
    <row r="136" spans="1:2" x14ac:dyDescent="0.25">
      <c r="A136" s="6" t="s">
        <v>329</v>
      </c>
      <c r="B136" s="7">
        <v>448169</v>
      </c>
    </row>
    <row r="137" spans="1:2" x14ac:dyDescent="0.25">
      <c r="A137" s="98" t="s">
        <v>2225</v>
      </c>
      <c r="B137" s="7">
        <v>448169</v>
      </c>
    </row>
    <row r="138" spans="1:2" x14ac:dyDescent="0.25">
      <c r="A138" s="6" t="s">
        <v>331</v>
      </c>
      <c r="B138" s="7">
        <v>87579</v>
      </c>
    </row>
    <row r="139" spans="1:2" x14ac:dyDescent="0.25">
      <c r="A139" s="98" t="s">
        <v>323</v>
      </c>
      <c r="B139" s="7">
        <v>87579</v>
      </c>
    </row>
    <row r="140" spans="1:2" x14ac:dyDescent="0.25">
      <c r="A140" s="6" t="s">
        <v>332</v>
      </c>
      <c r="B140" s="7">
        <v>40977</v>
      </c>
    </row>
    <row r="141" spans="1:2" x14ac:dyDescent="0.25">
      <c r="A141" s="98" t="s">
        <v>333</v>
      </c>
      <c r="B141" s="7">
        <v>40977</v>
      </c>
    </row>
    <row r="142" spans="1:2" x14ac:dyDescent="0.25">
      <c r="A142" s="6" t="s">
        <v>2226</v>
      </c>
      <c r="B142" s="7">
        <v>162100</v>
      </c>
    </row>
    <row r="143" spans="1:2" x14ac:dyDescent="0.25">
      <c r="A143" s="98" t="s">
        <v>2227</v>
      </c>
      <c r="B143" s="7">
        <v>162100</v>
      </c>
    </row>
    <row r="144" spans="1:2" x14ac:dyDescent="0.25">
      <c r="A144" s="6" t="s">
        <v>335</v>
      </c>
      <c r="B144" s="7">
        <v>64104.399999999994</v>
      </c>
    </row>
    <row r="145" spans="1:2" x14ac:dyDescent="0.25">
      <c r="A145" s="98" t="s">
        <v>323</v>
      </c>
      <c r="B145" s="7">
        <v>64104.399999999994</v>
      </c>
    </row>
    <row r="146" spans="1:2" x14ac:dyDescent="0.25">
      <c r="A146" s="6" t="s">
        <v>51</v>
      </c>
      <c r="B146" s="7">
        <v>68120</v>
      </c>
    </row>
    <row r="147" spans="1:2" x14ac:dyDescent="0.25">
      <c r="A147" s="98" t="s">
        <v>52</v>
      </c>
      <c r="B147" s="7">
        <v>68120</v>
      </c>
    </row>
    <row r="148" spans="1:2" x14ac:dyDescent="0.25">
      <c r="A148" s="6" t="s">
        <v>53</v>
      </c>
      <c r="B148" s="7">
        <v>190772</v>
      </c>
    </row>
    <row r="149" spans="1:2" x14ac:dyDescent="0.25">
      <c r="A149" s="98" t="s">
        <v>54</v>
      </c>
      <c r="B149" s="7">
        <v>190772</v>
      </c>
    </row>
    <row r="150" spans="1:2" x14ac:dyDescent="0.25">
      <c r="A150" s="6" t="s">
        <v>337</v>
      </c>
      <c r="B150" s="7">
        <v>11404</v>
      </c>
    </row>
    <row r="151" spans="1:2" x14ac:dyDescent="0.25">
      <c r="A151" s="98" t="s">
        <v>338</v>
      </c>
      <c r="B151" s="7">
        <v>11404</v>
      </c>
    </row>
    <row r="152" spans="1:2" x14ac:dyDescent="0.25">
      <c r="A152" s="6" t="s">
        <v>341</v>
      </c>
      <c r="B152" s="7">
        <v>42600</v>
      </c>
    </row>
    <row r="153" spans="1:2" x14ac:dyDescent="0.25">
      <c r="A153" s="98" t="s">
        <v>342</v>
      </c>
      <c r="B153" s="7">
        <v>42600</v>
      </c>
    </row>
    <row r="154" spans="1:2" x14ac:dyDescent="0.25">
      <c r="A154" s="6" t="s">
        <v>343</v>
      </c>
      <c r="B154" s="7">
        <v>13140</v>
      </c>
    </row>
    <row r="155" spans="1:2" x14ac:dyDescent="0.25">
      <c r="A155" s="98" t="s">
        <v>344</v>
      </c>
      <c r="B155" s="7">
        <v>13140</v>
      </c>
    </row>
    <row r="156" spans="1:2" x14ac:dyDescent="0.25">
      <c r="A156" s="6" t="s">
        <v>1556</v>
      </c>
      <c r="B156" s="7">
        <v>20000</v>
      </c>
    </row>
    <row r="157" spans="1:2" x14ac:dyDescent="0.25">
      <c r="A157" s="98" t="s">
        <v>1928</v>
      </c>
      <c r="B157" s="7">
        <v>20000</v>
      </c>
    </row>
    <row r="158" spans="1:2" x14ac:dyDescent="0.25">
      <c r="A158" s="5" t="s">
        <v>782</v>
      </c>
      <c r="B158" s="7">
        <v>1144358.56</v>
      </c>
    </row>
    <row r="159" spans="1:2" x14ac:dyDescent="0.25">
      <c r="A159" s="6" t="s">
        <v>703</v>
      </c>
      <c r="B159" s="7">
        <v>8250</v>
      </c>
    </row>
    <row r="160" spans="1:2" x14ac:dyDescent="0.25">
      <c r="A160" s="98" t="s">
        <v>704</v>
      </c>
      <c r="B160" s="7">
        <v>8250</v>
      </c>
    </row>
    <row r="161" spans="1:2" x14ac:dyDescent="0.25">
      <c r="A161" s="6" t="s">
        <v>55</v>
      </c>
      <c r="B161" s="7">
        <v>7932</v>
      </c>
    </row>
    <row r="162" spans="1:2" x14ac:dyDescent="0.25">
      <c r="A162" s="98" t="s">
        <v>56</v>
      </c>
      <c r="B162" s="7">
        <v>7932</v>
      </c>
    </row>
    <row r="163" spans="1:2" x14ac:dyDescent="0.25">
      <c r="A163" s="6" t="s">
        <v>345</v>
      </c>
      <c r="B163" s="7">
        <v>11000</v>
      </c>
    </row>
    <row r="164" spans="1:2" x14ac:dyDescent="0.25">
      <c r="A164" s="98" t="s">
        <v>717</v>
      </c>
      <c r="B164" s="7">
        <v>11000</v>
      </c>
    </row>
    <row r="165" spans="1:2" x14ac:dyDescent="0.25">
      <c r="A165" s="6" t="s">
        <v>346</v>
      </c>
      <c r="B165" s="7">
        <v>45500</v>
      </c>
    </row>
    <row r="166" spans="1:2" x14ac:dyDescent="0.25">
      <c r="A166" s="98" t="s">
        <v>347</v>
      </c>
      <c r="B166" s="7">
        <v>45500</v>
      </c>
    </row>
    <row r="167" spans="1:2" x14ac:dyDescent="0.25">
      <c r="A167" s="6" t="s">
        <v>348</v>
      </c>
      <c r="B167" s="7">
        <v>161600</v>
      </c>
    </row>
    <row r="168" spans="1:2" x14ac:dyDescent="0.25">
      <c r="A168" s="98" t="s">
        <v>349</v>
      </c>
      <c r="B168" s="7">
        <v>161600</v>
      </c>
    </row>
    <row r="169" spans="1:2" x14ac:dyDescent="0.25">
      <c r="A169" s="6" t="s">
        <v>350</v>
      </c>
      <c r="B169" s="7">
        <v>21400</v>
      </c>
    </row>
    <row r="170" spans="1:2" x14ac:dyDescent="0.25">
      <c r="A170" s="98" t="s">
        <v>714</v>
      </c>
      <c r="B170" s="7">
        <v>21400</v>
      </c>
    </row>
    <row r="171" spans="1:2" x14ac:dyDescent="0.25">
      <c r="A171" s="6" t="s">
        <v>351</v>
      </c>
      <c r="B171" s="7">
        <v>840</v>
      </c>
    </row>
    <row r="172" spans="1:2" x14ac:dyDescent="0.25">
      <c r="A172" s="98" t="s">
        <v>352</v>
      </c>
      <c r="B172" s="7">
        <v>840</v>
      </c>
    </row>
    <row r="173" spans="1:2" x14ac:dyDescent="0.25">
      <c r="A173" s="6" t="s">
        <v>354</v>
      </c>
      <c r="B173" s="7">
        <v>17831</v>
      </c>
    </row>
    <row r="174" spans="1:2" x14ac:dyDescent="0.25">
      <c r="A174" s="98" t="s">
        <v>355</v>
      </c>
      <c r="B174" s="7">
        <v>17831</v>
      </c>
    </row>
    <row r="175" spans="1:2" x14ac:dyDescent="0.25">
      <c r="A175" s="6" t="s">
        <v>356</v>
      </c>
      <c r="B175" s="7">
        <v>50095</v>
      </c>
    </row>
    <row r="176" spans="1:2" x14ac:dyDescent="0.25">
      <c r="A176" s="98" t="s">
        <v>357</v>
      </c>
      <c r="B176" s="7">
        <v>50095</v>
      </c>
    </row>
    <row r="177" spans="1:2" x14ac:dyDescent="0.25">
      <c r="A177" s="6" t="s">
        <v>358</v>
      </c>
      <c r="B177" s="7">
        <v>58762</v>
      </c>
    </row>
    <row r="178" spans="1:2" x14ac:dyDescent="0.25">
      <c r="A178" s="98" t="s">
        <v>2209</v>
      </c>
      <c r="B178" s="7">
        <v>58762</v>
      </c>
    </row>
    <row r="179" spans="1:2" x14ac:dyDescent="0.25">
      <c r="A179" s="6" t="s">
        <v>359</v>
      </c>
      <c r="B179" s="7">
        <v>70000</v>
      </c>
    </row>
    <row r="180" spans="1:2" x14ac:dyDescent="0.25">
      <c r="A180" s="98" t="s">
        <v>360</v>
      </c>
      <c r="B180" s="7">
        <v>70000</v>
      </c>
    </row>
    <row r="181" spans="1:2" x14ac:dyDescent="0.25">
      <c r="A181" s="6" t="s">
        <v>361</v>
      </c>
      <c r="B181" s="7">
        <v>4090</v>
      </c>
    </row>
    <row r="182" spans="1:2" x14ac:dyDescent="0.25">
      <c r="A182" s="98" t="s">
        <v>2248</v>
      </c>
      <c r="B182" s="7">
        <v>4090</v>
      </c>
    </row>
    <row r="183" spans="1:2" x14ac:dyDescent="0.25">
      <c r="A183" s="6" t="s">
        <v>362</v>
      </c>
      <c r="B183" s="7">
        <v>2500</v>
      </c>
    </row>
    <row r="184" spans="1:2" x14ac:dyDescent="0.25">
      <c r="A184" s="98" t="s">
        <v>349</v>
      </c>
      <c r="B184" s="7">
        <v>2500</v>
      </c>
    </row>
    <row r="185" spans="1:2" x14ac:dyDescent="0.25">
      <c r="A185" s="6" t="s">
        <v>363</v>
      </c>
      <c r="B185" s="7">
        <v>38500</v>
      </c>
    </row>
    <row r="186" spans="1:2" x14ac:dyDescent="0.25">
      <c r="A186" s="98" t="s">
        <v>669</v>
      </c>
      <c r="B186" s="7">
        <v>38500</v>
      </c>
    </row>
    <row r="187" spans="1:2" x14ac:dyDescent="0.25">
      <c r="A187" s="6" t="s">
        <v>364</v>
      </c>
      <c r="B187" s="7">
        <v>9500</v>
      </c>
    </row>
    <row r="188" spans="1:2" x14ac:dyDescent="0.25">
      <c r="A188" s="98" t="s">
        <v>365</v>
      </c>
      <c r="B188" s="7">
        <v>9500</v>
      </c>
    </row>
    <row r="189" spans="1:2" x14ac:dyDescent="0.25">
      <c r="A189" s="6" t="s">
        <v>366</v>
      </c>
      <c r="B189" s="7">
        <v>120784.5600000001</v>
      </c>
    </row>
    <row r="190" spans="1:2" x14ac:dyDescent="0.25">
      <c r="A190" s="98" t="s">
        <v>367</v>
      </c>
      <c r="B190" s="7">
        <v>120784.5600000001</v>
      </c>
    </row>
    <row r="191" spans="1:2" x14ac:dyDescent="0.25">
      <c r="A191" s="6" t="s">
        <v>368</v>
      </c>
      <c r="B191" s="7">
        <v>166820</v>
      </c>
    </row>
    <row r="192" spans="1:2" x14ac:dyDescent="0.25">
      <c r="A192" s="98" t="s">
        <v>360</v>
      </c>
      <c r="B192" s="7">
        <v>166820</v>
      </c>
    </row>
    <row r="193" spans="1:2" x14ac:dyDescent="0.25">
      <c r="A193" s="6" t="s">
        <v>369</v>
      </c>
      <c r="B193" s="7">
        <v>48403</v>
      </c>
    </row>
    <row r="194" spans="1:2" x14ac:dyDescent="0.25">
      <c r="A194" s="98" t="s">
        <v>370</v>
      </c>
      <c r="B194" s="7">
        <v>48403</v>
      </c>
    </row>
    <row r="195" spans="1:2" x14ac:dyDescent="0.25">
      <c r="A195" s="6" t="s">
        <v>371</v>
      </c>
      <c r="B195" s="7">
        <v>48100</v>
      </c>
    </row>
    <row r="196" spans="1:2" x14ac:dyDescent="0.25">
      <c r="A196" s="98" t="s">
        <v>372</v>
      </c>
      <c r="B196" s="7">
        <v>48100</v>
      </c>
    </row>
    <row r="197" spans="1:2" x14ac:dyDescent="0.25">
      <c r="A197" s="6" t="s">
        <v>373</v>
      </c>
      <c r="B197" s="7">
        <v>2500</v>
      </c>
    </row>
    <row r="198" spans="1:2" x14ac:dyDescent="0.25">
      <c r="A198" s="98" t="s">
        <v>718</v>
      </c>
      <c r="B198" s="7">
        <v>2500</v>
      </c>
    </row>
    <row r="199" spans="1:2" x14ac:dyDescent="0.25">
      <c r="A199" s="6" t="s">
        <v>374</v>
      </c>
      <c r="B199" s="7">
        <v>45600</v>
      </c>
    </row>
    <row r="200" spans="1:2" x14ac:dyDescent="0.25">
      <c r="A200" s="98" t="s">
        <v>671</v>
      </c>
      <c r="B200" s="7">
        <v>45600</v>
      </c>
    </row>
    <row r="201" spans="1:2" x14ac:dyDescent="0.25">
      <c r="A201" s="6" t="s">
        <v>375</v>
      </c>
      <c r="B201" s="7">
        <v>13600</v>
      </c>
    </row>
    <row r="202" spans="1:2" x14ac:dyDescent="0.25">
      <c r="A202" s="98" t="s">
        <v>670</v>
      </c>
      <c r="B202" s="7">
        <v>13600</v>
      </c>
    </row>
    <row r="203" spans="1:2" x14ac:dyDescent="0.25">
      <c r="A203" s="6" t="s">
        <v>376</v>
      </c>
      <c r="B203" s="7">
        <v>20360</v>
      </c>
    </row>
    <row r="204" spans="1:2" x14ac:dyDescent="0.25">
      <c r="A204" s="98" t="s">
        <v>377</v>
      </c>
      <c r="B204" s="7">
        <v>20360</v>
      </c>
    </row>
    <row r="205" spans="1:2" x14ac:dyDescent="0.25">
      <c r="A205" s="6" t="s">
        <v>57</v>
      </c>
      <c r="B205" s="7">
        <v>5400</v>
      </c>
    </row>
    <row r="206" spans="1:2" x14ac:dyDescent="0.25">
      <c r="A206" s="98" t="s">
        <v>58</v>
      </c>
      <c r="B206" s="7">
        <v>5400</v>
      </c>
    </row>
    <row r="207" spans="1:2" x14ac:dyDescent="0.25">
      <c r="A207" s="6" t="s">
        <v>59</v>
      </c>
      <c r="B207" s="7">
        <v>34385</v>
      </c>
    </row>
    <row r="208" spans="1:2" x14ac:dyDescent="0.25">
      <c r="A208" s="98" t="s">
        <v>60</v>
      </c>
      <c r="B208" s="7">
        <v>34385</v>
      </c>
    </row>
    <row r="209" spans="1:2" x14ac:dyDescent="0.25">
      <c r="A209" s="6" t="s">
        <v>61</v>
      </c>
      <c r="B209" s="7">
        <v>70350</v>
      </c>
    </row>
    <row r="210" spans="1:2" x14ac:dyDescent="0.25">
      <c r="A210" s="98" t="s">
        <v>62</v>
      </c>
      <c r="B210" s="7">
        <v>70350</v>
      </c>
    </row>
    <row r="211" spans="1:2" x14ac:dyDescent="0.25">
      <c r="A211" s="6" t="s">
        <v>63</v>
      </c>
      <c r="B211" s="7">
        <v>33240</v>
      </c>
    </row>
    <row r="212" spans="1:2" x14ac:dyDescent="0.25">
      <c r="A212" s="98" t="s">
        <v>64</v>
      </c>
      <c r="B212" s="7">
        <v>33240</v>
      </c>
    </row>
    <row r="213" spans="1:2" x14ac:dyDescent="0.25">
      <c r="A213" s="6" t="s">
        <v>65</v>
      </c>
      <c r="B213" s="7">
        <v>27016</v>
      </c>
    </row>
    <row r="214" spans="1:2" x14ac:dyDescent="0.25">
      <c r="A214" s="98" t="s">
        <v>66</v>
      </c>
      <c r="B214" s="7">
        <v>27016</v>
      </c>
    </row>
    <row r="215" spans="1:2" x14ac:dyDescent="0.25">
      <c r="A215" s="5" t="s">
        <v>379</v>
      </c>
      <c r="B215" s="7">
        <v>4807339.7227099994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1"/>
  <sheetViews>
    <sheetView workbookViewId="0">
      <selection activeCell="C12" sqref="C12"/>
    </sheetView>
  </sheetViews>
  <sheetFormatPr defaultRowHeight="15" x14ac:dyDescent="0.25"/>
  <cols>
    <col min="1" max="1" width="11.5703125" customWidth="1"/>
    <col min="2" max="2" width="13" customWidth="1"/>
    <col min="3" max="3" width="21.7109375" customWidth="1"/>
    <col min="4" max="4" width="23.28515625" customWidth="1"/>
    <col min="5" max="5" width="26.28515625" customWidth="1"/>
    <col min="6" max="6" width="21.85546875" customWidth="1"/>
    <col min="7" max="7" width="19.7109375" customWidth="1"/>
    <col min="8" max="8" width="10.85546875" customWidth="1"/>
    <col min="9" max="9" width="12" customWidth="1"/>
    <col min="11" max="11" width="16.140625" customWidth="1"/>
    <col min="12" max="12" width="15.85546875" customWidth="1"/>
    <col min="13" max="13" width="14" customWidth="1"/>
    <col min="14" max="14" width="24" customWidth="1"/>
    <col min="15" max="16" width="21" customWidth="1"/>
    <col min="17" max="17" width="15.85546875" customWidth="1"/>
  </cols>
  <sheetData>
    <row r="1" spans="1:17" x14ac:dyDescent="0.25">
      <c r="A1" t="s">
        <v>7</v>
      </c>
      <c r="B1" t="s">
        <v>1</v>
      </c>
      <c r="C1" t="s">
        <v>246</v>
      </c>
      <c r="D1" t="s">
        <v>472</v>
      </c>
      <c r="E1" t="s">
        <v>67</v>
      </c>
      <c r="F1" t="s">
        <v>5</v>
      </c>
      <c r="G1" t="s">
        <v>6</v>
      </c>
      <c r="H1" t="s">
        <v>380</v>
      </c>
      <c r="I1" t="s">
        <v>165</v>
      </c>
      <c r="J1" t="s">
        <v>2</v>
      </c>
      <c r="K1" t="s">
        <v>91</v>
      </c>
      <c r="L1" t="s">
        <v>77</v>
      </c>
      <c r="M1" t="s">
        <v>9</v>
      </c>
      <c r="N1" t="s">
        <v>160</v>
      </c>
      <c r="O1" t="s">
        <v>1987</v>
      </c>
      <c r="P1" t="s">
        <v>135</v>
      </c>
      <c r="Q1" t="s">
        <v>2232</v>
      </c>
    </row>
    <row r="2" spans="1:17" hidden="1" x14ac:dyDescent="0.25">
      <c r="A2" t="str">
        <f>Koond_kulud!A2</f>
        <v>01</v>
      </c>
      <c r="B2" t="str">
        <f>Koond_kulud!B2</f>
        <v xml:space="preserve">01111           </v>
      </c>
      <c r="C2" t="str">
        <f>Koond_kulud!C2</f>
        <v xml:space="preserve"> Valla- ja linnavolikogu</v>
      </c>
      <c r="D2" t="str">
        <f>Koond_kulud!D2</f>
        <v>Valla- ja linnavolikogu</v>
      </c>
      <c r="E2" t="str">
        <f>Koond_kulud!E2</f>
        <v>Üldised valitsussektori teenused</v>
      </c>
      <c r="F2" t="str">
        <f>Koond_kulud!F2</f>
        <v>Volikogu esimees</v>
      </c>
      <c r="G2" t="str">
        <f>Koond_kulud!G2</f>
        <v>külaliste vastuvõtt</v>
      </c>
      <c r="H2">
        <f>Koond_kulud!H2</f>
        <v>100</v>
      </c>
      <c r="I2">
        <f>Koond_kulud!I2</f>
        <v>0</v>
      </c>
      <c r="J2">
        <f>Koond_kulud!J2</f>
        <v>5500</v>
      </c>
      <c r="K2" t="str">
        <f>Koond_kulud!K2</f>
        <v>Administreerimiskulud</v>
      </c>
      <c r="L2">
        <f>Koond_kulud!L2</f>
        <v>55</v>
      </c>
      <c r="M2" t="str">
        <f>Koond_kulud!M2</f>
        <v>55</v>
      </c>
      <c r="N2" t="str">
        <f>Koond_kulud!N2</f>
        <v>Muud tegevuskulud</v>
      </c>
      <c r="O2" t="str">
        <f>Koond_kulud!O2</f>
        <v>Majandamiskulud</v>
      </c>
      <c r="P2" t="str">
        <f>Koond_kulud!P2</f>
        <v>Põhitegevuse kulu</v>
      </c>
      <c r="Q2">
        <f>Koond_kulud!Q2</f>
        <v>0</v>
      </c>
    </row>
    <row r="3" spans="1:17" hidden="1" x14ac:dyDescent="0.25">
      <c r="A3" t="str">
        <f>Koond_kulud!A3</f>
        <v>01</v>
      </c>
      <c r="B3" t="str">
        <f>Koond_kulud!B3</f>
        <v xml:space="preserve">01111           </v>
      </c>
      <c r="C3" t="str">
        <f>Koond_kulud!C3</f>
        <v xml:space="preserve"> Valla- ja linnavolikogu</v>
      </c>
      <c r="D3" t="str">
        <f>Koond_kulud!D3</f>
        <v>Valla- ja linnavolikogu</v>
      </c>
      <c r="E3" t="str">
        <f>Koond_kulud!E3</f>
        <v>Üldised valitsussektori teenused</v>
      </c>
      <c r="F3" t="str">
        <f>Koond_kulud!F3</f>
        <v>Volikogu esimees</v>
      </c>
      <c r="G3" t="str">
        <f>Koond_kulud!G3</f>
        <v>postikulu</v>
      </c>
      <c r="H3">
        <f>Koond_kulud!H3</f>
        <v>50</v>
      </c>
      <c r="I3">
        <f>Koond_kulud!I3</f>
        <v>0</v>
      </c>
      <c r="J3">
        <f>Koond_kulud!J3</f>
        <v>5500</v>
      </c>
      <c r="K3" t="str">
        <f>Koond_kulud!K3</f>
        <v>Administreerimiskulud</v>
      </c>
      <c r="L3">
        <f>Koond_kulud!L3</f>
        <v>55</v>
      </c>
      <c r="M3" t="str">
        <f>Koond_kulud!M3</f>
        <v>55</v>
      </c>
      <c r="N3" t="str">
        <f>Koond_kulud!N3</f>
        <v>Muud tegevuskulud</v>
      </c>
      <c r="O3" t="str">
        <f>Koond_kulud!O3</f>
        <v>Majandamiskulud</v>
      </c>
      <c r="P3" t="str">
        <f>Koond_kulud!P3</f>
        <v>Põhitegevuse kulu</v>
      </c>
      <c r="Q3">
        <f>Koond_kulud!Q3</f>
        <v>0</v>
      </c>
    </row>
    <row r="4" spans="1:17" hidden="1" x14ac:dyDescent="0.25">
      <c r="A4" t="str">
        <f>Koond_kulud!A4</f>
        <v>01</v>
      </c>
      <c r="B4" t="str">
        <f>Koond_kulud!B4</f>
        <v xml:space="preserve">01111           </v>
      </c>
      <c r="C4" t="str">
        <f>Koond_kulud!C4</f>
        <v xml:space="preserve"> Valla- ja linnavolikogu</v>
      </c>
      <c r="D4" t="str">
        <f>Koond_kulud!D4</f>
        <v>Valla- ja linnavolikogu</v>
      </c>
      <c r="E4" t="str">
        <f>Koond_kulud!E4</f>
        <v>Üldised valitsussektori teenused</v>
      </c>
      <c r="F4" t="str">
        <f>Koond_kulud!F4</f>
        <v>Volikogu esimees</v>
      </c>
      <c r="G4" t="str">
        <f>Koond_kulud!G4</f>
        <v>tellitud transport</v>
      </c>
      <c r="H4">
        <f>Koond_kulud!H4</f>
        <v>500</v>
      </c>
      <c r="I4">
        <f>Koond_kulud!I4</f>
        <v>0</v>
      </c>
      <c r="J4">
        <f>Koond_kulud!J4</f>
        <v>5540</v>
      </c>
      <c r="K4" t="str">
        <f>Koond_kulud!K4</f>
        <v>Mitmesugused majanduskulud</v>
      </c>
      <c r="L4">
        <f>Koond_kulud!L4</f>
        <v>55</v>
      </c>
      <c r="M4" t="str">
        <f>Koond_kulud!M4</f>
        <v>55</v>
      </c>
      <c r="N4" t="str">
        <f>Koond_kulud!N4</f>
        <v>Muud tegevuskulud</v>
      </c>
      <c r="O4" t="str">
        <f>Koond_kulud!O4</f>
        <v>Majandamiskulud</v>
      </c>
      <c r="P4" t="str">
        <f>Koond_kulud!P4</f>
        <v>Põhitegevuse kulu</v>
      </c>
      <c r="Q4">
        <f>Koond_kulud!Q4</f>
        <v>0</v>
      </c>
    </row>
    <row r="5" spans="1:17" hidden="1" x14ac:dyDescent="0.25">
      <c r="A5" t="str">
        <f>Koond_kulud!A5</f>
        <v>01</v>
      </c>
      <c r="B5" t="str">
        <f>Koond_kulud!B5</f>
        <v xml:space="preserve">01111           </v>
      </c>
      <c r="C5" t="str">
        <f>Koond_kulud!C5</f>
        <v xml:space="preserve"> Valla- ja linnavolikogu</v>
      </c>
      <c r="D5" t="str">
        <f>Koond_kulud!D5</f>
        <v>Valla- ja linnavolikogu</v>
      </c>
      <c r="E5" t="str">
        <f>Koond_kulud!E5</f>
        <v>Üldised valitsussektori teenused</v>
      </c>
      <c r="F5" t="str">
        <f>Koond_kulud!F5</f>
        <v>Volikogu esimees</v>
      </c>
      <c r="G5" t="str">
        <f>Koond_kulud!G5</f>
        <v>komisjonide töö korraldamised</v>
      </c>
      <c r="H5">
        <f>Koond_kulud!H5</f>
        <v>1250</v>
      </c>
      <c r="I5">
        <f>Koond_kulud!I5</f>
        <v>0</v>
      </c>
      <c r="J5">
        <f>Koond_kulud!J5</f>
        <v>5500</v>
      </c>
      <c r="K5" t="str">
        <f>Koond_kulud!K5</f>
        <v>Administreerimiskulud</v>
      </c>
      <c r="L5">
        <f>Koond_kulud!L5</f>
        <v>55</v>
      </c>
      <c r="M5" t="str">
        <f>Koond_kulud!M5</f>
        <v>55</v>
      </c>
      <c r="N5" t="str">
        <f>Koond_kulud!N5</f>
        <v>Muud tegevuskulud</v>
      </c>
      <c r="O5" t="str">
        <f>Koond_kulud!O5</f>
        <v>Majandamiskulud</v>
      </c>
      <c r="P5" t="str">
        <f>Koond_kulud!P5</f>
        <v>Põhitegevuse kulu</v>
      </c>
      <c r="Q5">
        <f>Koond_kulud!Q5</f>
        <v>0</v>
      </c>
    </row>
    <row r="6" spans="1:17" hidden="1" x14ac:dyDescent="0.25">
      <c r="A6" t="str">
        <f>Koond_kulud!A6</f>
        <v>01</v>
      </c>
      <c r="B6" t="str">
        <f>Koond_kulud!B6</f>
        <v xml:space="preserve">01111           </v>
      </c>
      <c r="C6" t="str">
        <f>Koond_kulud!C6</f>
        <v xml:space="preserve"> Valla- ja linnavolikogu</v>
      </c>
      <c r="D6" t="str">
        <f>Koond_kulud!D6</f>
        <v>Valla- ja linnavolikogu</v>
      </c>
      <c r="E6" t="str">
        <f>Koond_kulud!E6</f>
        <v>Üldised valitsussektori teenused</v>
      </c>
      <c r="F6" t="str">
        <f>Koond_kulud!F6</f>
        <v>Volikogu esimees</v>
      </c>
      <c r="G6" t="str">
        <f>Koond_kulud!G6</f>
        <v>Koolitused</v>
      </c>
      <c r="H6">
        <f>Koond_kulud!H6</f>
        <v>8350</v>
      </c>
      <c r="I6" t="str">
        <f>Koond_kulud!I6</f>
        <v>17 x 50</v>
      </c>
      <c r="J6">
        <f>Koond_kulud!J6</f>
        <v>5504</v>
      </c>
      <c r="K6" t="str">
        <f>Koond_kulud!K6</f>
        <v>Koolituskulud</v>
      </c>
      <c r="L6">
        <f>Koond_kulud!L6</f>
        <v>55</v>
      </c>
      <c r="M6" t="str">
        <f>Koond_kulud!M6</f>
        <v>55</v>
      </c>
      <c r="N6" t="str">
        <f>Koond_kulud!N6</f>
        <v>Muud tegevuskulud</v>
      </c>
      <c r="O6" t="str">
        <f>Koond_kulud!O6</f>
        <v>Majandamiskulud</v>
      </c>
      <c r="P6" t="str">
        <f>Koond_kulud!P6</f>
        <v>Põhitegevuse kulu</v>
      </c>
      <c r="Q6">
        <f>Koond_kulud!Q6</f>
        <v>0</v>
      </c>
    </row>
    <row r="7" spans="1:17" hidden="1" x14ac:dyDescent="0.25">
      <c r="A7" t="str">
        <f>Koond_kulud!A7</f>
        <v>01</v>
      </c>
      <c r="B7" t="str">
        <f>Koond_kulud!B7</f>
        <v xml:space="preserve">01111           </v>
      </c>
      <c r="C7" t="str">
        <f>Koond_kulud!C7</f>
        <v xml:space="preserve"> Valla- ja linnavolikogu</v>
      </c>
      <c r="D7" t="str">
        <f>Koond_kulud!D7</f>
        <v>Valla- ja linnavolikogu</v>
      </c>
      <c r="E7" t="str">
        <f>Koond_kulud!E7</f>
        <v>Üldised valitsussektori teenused</v>
      </c>
      <c r="F7" t="str">
        <f>Koond_kulud!F7</f>
        <v>Volikogu esimees</v>
      </c>
      <c r="G7" t="str">
        <f>Koond_kulud!G7</f>
        <v>Isikliku sõiduauto komp.</v>
      </c>
      <c r="H7">
        <f>Koond_kulud!H7</f>
        <v>1800</v>
      </c>
      <c r="I7" t="str">
        <f>Koond_kulud!I7</f>
        <v>esimees 12*150</v>
      </c>
      <c r="J7">
        <f>Koond_kulud!J7</f>
        <v>5513</v>
      </c>
      <c r="K7" t="str">
        <f>Koond_kulud!K7</f>
        <v>Sõidukite ülalpidamise kulud</v>
      </c>
      <c r="L7">
        <f>Koond_kulud!L7</f>
        <v>55</v>
      </c>
      <c r="M7" t="str">
        <f>Koond_kulud!M7</f>
        <v>55</v>
      </c>
      <c r="N7" t="str">
        <f>Koond_kulud!N7</f>
        <v>Muud tegevuskulud</v>
      </c>
      <c r="O7" t="str">
        <f>Koond_kulud!O7</f>
        <v>Majandamiskulud</v>
      </c>
      <c r="P7" t="str">
        <f>Koond_kulud!P7</f>
        <v>Põhitegevuse kulu</v>
      </c>
      <c r="Q7">
        <f>Koond_kulud!Q7</f>
        <v>0</v>
      </c>
    </row>
    <row r="8" spans="1:17" hidden="1" x14ac:dyDescent="0.25">
      <c r="A8" t="str">
        <f>Koond_kulud!A8</f>
        <v>01</v>
      </c>
      <c r="B8" t="str">
        <f>Koond_kulud!B8</f>
        <v xml:space="preserve">01112           </v>
      </c>
      <c r="C8" t="str">
        <f>Koond_kulud!C8</f>
        <v xml:space="preserve"> Valla- ja linnavalitsus</v>
      </c>
      <c r="D8" t="str">
        <f>Koond_kulud!D8</f>
        <v>Valla- ja linnavalitsus</v>
      </c>
      <c r="E8" t="str">
        <f>Koond_kulud!E8</f>
        <v>Üldised valitsussektori teenused</v>
      </c>
      <c r="F8" t="str">
        <f>Koond_kulud!F8</f>
        <v>Vallavalitsus</v>
      </c>
      <c r="G8" t="str">
        <f>Koond_kulud!G8</f>
        <v>Vallamaja koristusteenus</v>
      </c>
      <c r="H8">
        <f>Koond_kulud!H8</f>
        <v>9936</v>
      </c>
      <c r="I8" t="str">
        <f>Koond_kulud!I8</f>
        <v>Tarvaprojekt</v>
      </c>
      <c r="J8">
        <f>Koond_kulud!J8</f>
        <v>5511</v>
      </c>
      <c r="K8" t="str">
        <f>Koond_kulud!K8</f>
        <v>Kinnistute, hoonete ja ruumide majandamiskulud</v>
      </c>
      <c r="L8">
        <f>Koond_kulud!L8</f>
        <v>55</v>
      </c>
      <c r="M8" t="str">
        <f>Koond_kulud!M8</f>
        <v>55</v>
      </c>
      <c r="N8" t="str">
        <f>Koond_kulud!N8</f>
        <v>Muud tegevuskulud</v>
      </c>
      <c r="O8" t="str">
        <f>Koond_kulud!O8</f>
        <v>Majandamiskulud</v>
      </c>
      <c r="P8" t="str">
        <f>Koond_kulud!P8</f>
        <v>Põhitegevuse kulu</v>
      </c>
      <c r="Q8">
        <f>Koond_kulud!Q8</f>
        <v>0</v>
      </c>
    </row>
    <row r="9" spans="1:17" hidden="1" x14ac:dyDescent="0.25">
      <c r="A9" t="str">
        <f>Koond_kulud!A9</f>
        <v>01</v>
      </c>
      <c r="B9" t="str">
        <f>Koond_kulud!B9</f>
        <v xml:space="preserve">01112           </v>
      </c>
      <c r="C9" t="str">
        <f>Koond_kulud!C9</f>
        <v xml:space="preserve"> Valla- ja linnavalitsus</v>
      </c>
      <c r="D9" t="str">
        <f>Koond_kulud!D9</f>
        <v>Valla- ja linnavalitsus</v>
      </c>
      <c r="E9" t="str">
        <f>Koond_kulud!E9</f>
        <v>Üldised valitsussektori teenused</v>
      </c>
      <c r="F9" t="str">
        <f>Koond_kulud!F9</f>
        <v>Finantsosakond</v>
      </c>
      <c r="G9" t="str">
        <f>Koond_kulud!G9</f>
        <v>Audiitorteenus</v>
      </c>
      <c r="H9">
        <f>Koond_kulud!H9</f>
        <v>2000</v>
      </c>
      <c r="I9">
        <f>Koond_kulud!I9</f>
        <v>0</v>
      </c>
      <c r="J9">
        <f>Koond_kulud!J9</f>
        <v>5500</v>
      </c>
      <c r="K9" t="str">
        <f>Koond_kulud!K9</f>
        <v>Administreerimiskulud</v>
      </c>
      <c r="L9">
        <f>Koond_kulud!L9</f>
        <v>55</v>
      </c>
      <c r="M9" t="str">
        <f>Koond_kulud!M9</f>
        <v>55</v>
      </c>
      <c r="N9" t="str">
        <f>Koond_kulud!N9</f>
        <v>Muud tegevuskulud</v>
      </c>
      <c r="O9" t="str">
        <f>Koond_kulud!O9</f>
        <v>Majandamiskulud</v>
      </c>
      <c r="P9" t="str">
        <f>Koond_kulud!P9</f>
        <v>Põhitegevuse kulu</v>
      </c>
      <c r="Q9">
        <f>Koond_kulud!Q9</f>
        <v>0</v>
      </c>
    </row>
    <row r="10" spans="1:17" hidden="1" x14ac:dyDescent="0.25">
      <c r="A10" t="str">
        <f>Koond_kulud!A10</f>
        <v>01</v>
      </c>
      <c r="B10" t="str">
        <f>Koond_kulud!B10</f>
        <v xml:space="preserve">01112           </v>
      </c>
      <c r="C10" t="str">
        <f>Koond_kulud!C10</f>
        <v xml:space="preserve"> Valla- ja linnavalitsus</v>
      </c>
      <c r="D10" t="str">
        <f>Koond_kulud!D10</f>
        <v>Valla- ja linnavalitsus</v>
      </c>
      <c r="E10" t="str">
        <f>Koond_kulud!E10</f>
        <v>Üldised valitsussektori teenused</v>
      </c>
      <c r="F10" t="str">
        <f>Koond_kulud!F10</f>
        <v>Finantsosakond</v>
      </c>
      <c r="G10" t="str">
        <f>Koond_kulud!G10</f>
        <v>Trükised</v>
      </c>
      <c r="H10">
        <f>Koond_kulud!H10</f>
        <v>0</v>
      </c>
      <c r="I10" t="str">
        <f>Koond_kulud!I10</f>
        <v>raamatupidamisuudised jms</v>
      </c>
      <c r="J10">
        <f>Koond_kulud!J10</f>
        <v>5500</v>
      </c>
      <c r="K10" t="str">
        <f>Koond_kulud!K10</f>
        <v>Administreerimiskulud</v>
      </c>
      <c r="L10">
        <f>Koond_kulud!L10</f>
        <v>55</v>
      </c>
      <c r="M10" t="str">
        <f>Koond_kulud!M10</f>
        <v>55</v>
      </c>
      <c r="N10" t="str">
        <f>Koond_kulud!N10</f>
        <v>Muud tegevuskulud</v>
      </c>
      <c r="O10" t="str">
        <f>Koond_kulud!O10</f>
        <v>Majandamiskulud</v>
      </c>
      <c r="P10" t="str">
        <f>Koond_kulud!P10</f>
        <v>Põhitegevuse kulu</v>
      </c>
      <c r="Q10">
        <f>Koond_kulud!Q10</f>
        <v>0</v>
      </c>
    </row>
    <row r="11" spans="1:17" hidden="1" x14ac:dyDescent="0.25">
      <c r="A11" t="str">
        <f>Koond_kulud!A11</f>
        <v>01</v>
      </c>
      <c r="B11" t="str">
        <f>Koond_kulud!B11</f>
        <v xml:space="preserve">01112           </v>
      </c>
      <c r="C11" t="str">
        <f>Koond_kulud!C11</f>
        <v xml:space="preserve"> Valla- ja linnavalitsus</v>
      </c>
      <c r="D11" t="str">
        <f>Koond_kulud!D11</f>
        <v>Valla- ja linnavalitsus</v>
      </c>
      <c r="E11" t="str">
        <f>Koond_kulud!E11</f>
        <v>Üldised valitsussektori teenused</v>
      </c>
      <c r="F11" t="str">
        <f>Koond_kulud!F11</f>
        <v>Finantsosakond</v>
      </c>
      <c r="G11" t="str">
        <f>Koond_kulud!G11</f>
        <v>Omniva arvekeskus</v>
      </c>
      <c r="H11">
        <f>Koond_kulud!H11</f>
        <v>7200</v>
      </c>
      <c r="I11" t="str">
        <f>Koond_kulud!I11</f>
        <v>600x12 kuud</v>
      </c>
      <c r="J11">
        <f>Koond_kulud!J11</f>
        <v>5500</v>
      </c>
      <c r="K11" t="str">
        <f>Koond_kulud!K11</f>
        <v>Administreerimiskulud</v>
      </c>
      <c r="L11">
        <f>Koond_kulud!L11</f>
        <v>55</v>
      </c>
      <c r="M11" t="str">
        <f>Koond_kulud!M11</f>
        <v>55</v>
      </c>
      <c r="N11" t="str">
        <f>Koond_kulud!N11</f>
        <v>Muud tegevuskulud</v>
      </c>
      <c r="O11" t="str">
        <f>Koond_kulud!O11</f>
        <v>Majandamiskulud</v>
      </c>
      <c r="P11" t="str">
        <f>Koond_kulud!P11</f>
        <v>Põhitegevuse kulu</v>
      </c>
      <c r="Q11">
        <f>Koond_kulud!Q11</f>
        <v>0</v>
      </c>
    </row>
    <row r="12" spans="1:17" hidden="1" x14ac:dyDescent="0.25">
      <c r="A12" t="str">
        <f>Koond_kulud!A12</f>
        <v>01</v>
      </c>
      <c r="B12" t="str">
        <f>Koond_kulud!B12</f>
        <v xml:space="preserve">01112           </v>
      </c>
      <c r="C12" t="str">
        <f>Koond_kulud!C12</f>
        <v xml:space="preserve"> Valla- ja linnavalitsus</v>
      </c>
      <c r="D12" t="str">
        <f>Koond_kulud!D12</f>
        <v>Valla- ja linnavalitsus</v>
      </c>
      <c r="E12" t="str">
        <f>Koond_kulud!E12</f>
        <v>Üldised valitsussektori teenused</v>
      </c>
      <c r="F12" t="str">
        <f>Koond_kulud!F12</f>
        <v>Finantsosakond</v>
      </c>
      <c r="G12" t="str">
        <f>Koond_kulud!G12</f>
        <v>Koolitused</v>
      </c>
      <c r="H12">
        <f>Koond_kulud!H12</f>
        <v>1500</v>
      </c>
      <c r="I12" t="str">
        <f>Koond_kulud!I12</f>
        <v>1 inx375€</v>
      </c>
      <c r="J12">
        <f>Koond_kulud!J12</f>
        <v>5504</v>
      </c>
      <c r="K12" t="str">
        <f>Koond_kulud!K12</f>
        <v>Koolituskulud</v>
      </c>
      <c r="L12">
        <f>Koond_kulud!L12</f>
        <v>55</v>
      </c>
      <c r="M12" t="str">
        <f>Koond_kulud!M12</f>
        <v>55</v>
      </c>
      <c r="N12" t="str">
        <f>Koond_kulud!N12</f>
        <v>Muud tegevuskulud</v>
      </c>
      <c r="O12" t="str">
        <f>Koond_kulud!O12</f>
        <v>Majandamiskulud</v>
      </c>
      <c r="P12" t="str">
        <f>Koond_kulud!P12</f>
        <v>Põhitegevuse kulu</v>
      </c>
      <c r="Q12">
        <f>Koond_kulud!Q12</f>
        <v>0</v>
      </c>
    </row>
    <row r="13" spans="1:17" hidden="1" x14ac:dyDescent="0.25">
      <c r="A13" t="str">
        <f>Koond_kulud!A13</f>
        <v>01</v>
      </c>
      <c r="B13" t="str">
        <f>Koond_kulud!B13</f>
        <v xml:space="preserve">01112           </v>
      </c>
      <c r="C13" t="str">
        <f>Koond_kulud!C13</f>
        <v xml:space="preserve"> Valla- ja linnavalitsus</v>
      </c>
      <c r="D13" t="str">
        <f>Koond_kulud!D13</f>
        <v>Valla- ja linnavalitsus</v>
      </c>
      <c r="E13" t="str">
        <f>Koond_kulud!E13</f>
        <v>Üldised valitsussektori teenused</v>
      </c>
      <c r="F13" t="str">
        <f>Koond_kulud!F13</f>
        <v>Finantsosakond</v>
      </c>
      <c r="G13" t="str">
        <f>Koond_kulud!G13</f>
        <v>Koolituslähetuse sõidukulud</v>
      </c>
      <c r="H13">
        <f>Koond_kulud!H13</f>
        <v>120</v>
      </c>
      <c r="I13">
        <f>Koond_kulud!I13</f>
        <v>0</v>
      </c>
      <c r="J13">
        <f>Koond_kulud!J13</f>
        <v>5504</v>
      </c>
      <c r="K13" t="str">
        <f>Koond_kulud!K13</f>
        <v>Koolituskulud</v>
      </c>
      <c r="L13">
        <f>Koond_kulud!L13</f>
        <v>55</v>
      </c>
      <c r="M13" t="str">
        <f>Koond_kulud!M13</f>
        <v>55</v>
      </c>
      <c r="N13" t="str">
        <f>Koond_kulud!N13</f>
        <v>Muud tegevuskulud</v>
      </c>
      <c r="O13" t="str">
        <f>Koond_kulud!O13</f>
        <v>Majandamiskulud</v>
      </c>
      <c r="P13" t="str">
        <f>Koond_kulud!P13</f>
        <v>Põhitegevuse kulu</v>
      </c>
      <c r="Q13">
        <f>Koond_kulud!Q13</f>
        <v>0</v>
      </c>
    </row>
    <row r="14" spans="1:17" hidden="1" x14ac:dyDescent="0.25">
      <c r="A14" t="str">
        <f>Koond_kulud!A14</f>
        <v>01</v>
      </c>
      <c r="B14" t="str">
        <f>Koond_kulud!B14</f>
        <v xml:space="preserve">01112           </v>
      </c>
      <c r="C14" t="str">
        <f>Koond_kulud!C14</f>
        <v xml:space="preserve"> Valla- ja linnavalitsus</v>
      </c>
      <c r="D14" t="str">
        <f>Koond_kulud!D14</f>
        <v>Valla- ja linnavalitsus</v>
      </c>
      <c r="E14" t="str">
        <f>Koond_kulud!E14</f>
        <v>Üldised valitsussektori teenused</v>
      </c>
      <c r="F14" t="str">
        <f>Koond_kulud!F14</f>
        <v>Finantsosakond</v>
      </c>
      <c r="G14" t="str">
        <f>Koond_kulud!G14</f>
        <v>Isikliku sõiduauto komp.</v>
      </c>
      <c r="H14">
        <f>Koond_kulud!H14</f>
        <v>0</v>
      </c>
      <c r="I14">
        <f>Koond_kulud!I14</f>
        <v>0</v>
      </c>
      <c r="J14">
        <f>Koond_kulud!J14</f>
        <v>5513</v>
      </c>
      <c r="K14" t="str">
        <f>Koond_kulud!K14</f>
        <v>Sõidukite ülalpidamise kulud</v>
      </c>
      <c r="L14">
        <f>Koond_kulud!L14</f>
        <v>55</v>
      </c>
      <c r="M14" t="str">
        <f>Koond_kulud!M14</f>
        <v>55</v>
      </c>
      <c r="N14" t="str">
        <f>Koond_kulud!N14</f>
        <v>Muud tegevuskulud</v>
      </c>
      <c r="O14" t="str">
        <f>Koond_kulud!O14</f>
        <v>Majandamiskulud</v>
      </c>
      <c r="P14" t="str">
        <f>Koond_kulud!P14</f>
        <v>Põhitegevuse kulu</v>
      </c>
      <c r="Q14">
        <f>Koond_kulud!Q14</f>
        <v>0</v>
      </c>
    </row>
    <row r="15" spans="1:17" hidden="1" x14ac:dyDescent="0.25">
      <c r="A15" t="str">
        <f>Koond_kulud!A15</f>
        <v>01</v>
      </c>
      <c r="B15" t="str">
        <f>Koond_kulud!B15</f>
        <v xml:space="preserve">01112           </v>
      </c>
      <c r="C15" t="str">
        <f>Koond_kulud!C15</f>
        <v xml:space="preserve"> Valla- ja linnavalitsus</v>
      </c>
      <c r="D15" t="str">
        <f>Koond_kulud!D15</f>
        <v>Valla- ja linnavalitsus</v>
      </c>
      <c r="E15" t="str">
        <f>Koond_kulud!E15</f>
        <v>Üldised valitsussektori teenused</v>
      </c>
      <c r="F15" t="str">
        <f>Koond_kulud!F15</f>
        <v>Finantsosakond</v>
      </c>
      <c r="G15" t="str">
        <f>Koond_kulud!G15</f>
        <v>Pmen hooldus</v>
      </c>
      <c r="H15">
        <f>Koond_kulud!H15</f>
        <v>2880</v>
      </c>
      <c r="I15" t="str">
        <f>Koond_kulud!I15</f>
        <v>240x12 kuud</v>
      </c>
      <c r="J15">
        <f>Koond_kulud!J15</f>
        <v>5514</v>
      </c>
      <c r="K15" t="str">
        <f>Koond_kulud!K15</f>
        <v>Info- ja kommunikatsioonitehnoliigised kulud</v>
      </c>
      <c r="L15">
        <f>Koond_kulud!L15</f>
        <v>55</v>
      </c>
      <c r="M15" t="str">
        <f>Koond_kulud!M15</f>
        <v>55</v>
      </c>
      <c r="N15" t="str">
        <f>Koond_kulud!N15</f>
        <v>Muud tegevuskulud</v>
      </c>
      <c r="O15" t="str">
        <f>Koond_kulud!O15</f>
        <v>Majandamiskulud</v>
      </c>
      <c r="P15" t="str">
        <f>Koond_kulud!P15</f>
        <v>Põhitegevuse kulu</v>
      </c>
      <c r="Q15">
        <f>Koond_kulud!Q15</f>
        <v>0</v>
      </c>
    </row>
    <row r="16" spans="1:17" hidden="1" x14ac:dyDescent="0.25">
      <c r="A16" t="str">
        <f>Koond_kulud!A16</f>
        <v>01</v>
      </c>
      <c r="B16" t="str">
        <f>Koond_kulud!B16</f>
        <v xml:space="preserve">01112           </v>
      </c>
      <c r="C16" t="str">
        <f>Koond_kulud!C16</f>
        <v xml:space="preserve"> Valla- ja linnavalitsus</v>
      </c>
      <c r="D16" t="str">
        <f>Koond_kulud!D16</f>
        <v>Valla- ja linnavalitsus</v>
      </c>
      <c r="E16" t="str">
        <f>Koond_kulud!E16</f>
        <v>Üldised valitsussektori teenused</v>
      </c>
      <c r="F16" t="str">
        <f>Koond_kulud!F16</f>
        <v>Finantsosakond</v>
      </c>
      <c r="G16" t="str">
        <f>Koond_kulud!G16</f>
        <v>Raamatupidajate kogu liikmemaks</v>
      </c>
      <c r="H16">
        <f>Koond_kulud!H16</f>
        <v>120</v>
      </c>
      <c r="I16">
        <f>Koond_kulud!I16</f>
        <v>0</v>
      </c>
      <c r="J16">
        <f>Koond_kulud!J16</f>
        <v>4528</v>
      </c>
      <c r="K16" t="str">
        <f>Koond_kulud!K16</f>
        <v>Liikmemaksud</v>
      </c>
      <c r="L16">
        <f>Koond_kulud!L16</f>
        <v>452</v>
      </c>
      <c r="M16" t="str">
        <f>Koond_kulud!M16</f>
        <v>45</v>
      </c>
      <c r="N16" t="str">
        <f>Koond_kulud!N16</f>
        <v>Antavad toetused tegevuskuludeks</v>
      </c>
      <c r="O16" t="str">
        <f>Koond_kulud!O16</f>
        <v>Mittesihtotstarbelised toetused</v>
      </c>
      <c r="P16" t="str">
        <f>Koond_kulud!P16</f>
        <v>Põhitegevuse kulu</v>
      </c>
      <c r="Q16">
        <f>Koond_kulud!Q16</f>
        <v>0</v>
      </c>
    </row>
    <row r="17" spans="1:17" hidden="1" x14ac:dyDescent="0.25">
      <c r="A17" t="str">
        <f>Koond_kulud!A17</f>
        <v>01</v>
      </c>
      <c r="B17" t="str">
        <f>Koond_kulud!B17</f>
        <v xml:space="preserve">01112           </v>
      </c>
      <c r="C17" t="str">
        <f>Koond_kulud!C17</f>
        <v xml:space="preserve"> Valla- ja linnavalitsus</v>
      </c>
      <c r="D17" t="str">
        <f>Koond_kulud!D17</f>
        <v>Valla- ja linnavalitsus</v>
      </c>
      <c r="E17" t="str">
        <f>Koond_kulud!E17</f>
        <v>Üldised valitsussektori teenused</v>
      </c>
      <c r="F17" t="str">
        <f>Koond_kulud!F17</f>
        <v>Finantsosakond</v>
      </c>
      <c r="G17" t="str">
        <f>Koond_kulud!G17</f>
        <v>Maksumaksjate liidu liikmemaks</v>
      </c>
      <c r="H17">
        <f>Koond_kulud!H17</f>
        <v>90</v>
      </c>
      <c r="I17">
        <f>Koond_kulud!I17</f>
        <v>0</v>
      </c>
      <c r="J17">
        <f>Koond_kulud!J17</f>
        <v>4528</v>
      </c>
      <c r="K17" t="str">
        <f>Koond_kulud!K17</f>
        <v>Liikmemaksud</v>
      </c>
      <c r="L17">
        <f>Koond_kulud!L17</f>
        <v>452</v>
      </c>
      <c r="M17" t="str">
        <f>Koond_kulud!M17</f>
        <v>45</v>
      </c>
      <c r="N17" t="str">
        <f>Koond_kulud!N17</f>
        <v>Antavad toetused tegevuskuludeks</v>
      </c>
      <c r="O17" t="str">
        <f>Koond_kulud!O17</f>
        <v>Mittesihtotstarbelised toetused</v>
      </c>
      <c r="P17" t="str">
        <f>Koond_kulud!P17</f>
        <v>Põhitegevuse kulu</v>
      </c>
      <c r="Q17">
        <f>Koond_kulud!Q17</f>
        <v>0</v>
      </c>
    </row>
    <row r="18" spans="1:17" hidden="1" x14ac:dyDescent="0.25">
      <c r="A18" t="str">
        <f>Koond_kulud!A18</f>
        <v>01</v>
      </c>
      <c r="B18" t="str">
        <f>Koond_kulud!B18</f>
        <v xml:space="preserve">01112           </v>
      </c>
      <c r="C18" t="str">
        <f>Koond_kulud!C18</f>
        <v xml:space="preserve"> Valla- ja linnavalitsus</v>
      </c>
      <c r="D18" t="str">
        <f>Koond_kulud!D18</f>
        <v>Valla- ja linnavalitsus</v>
      </c>
      <c r="E18" t="str">
        <f>Koond_kulud!E18</f>
        <v>Üldised valitsussektori teenused</v>
      </c>
      <c r="F18" t="str">
        <f>Koond_kulud!F18</f>
        <v>Vallavanem</v>
      </c>
      <c r="G18" t="str">
        <f>Koond_kulud!G18</f>
        <v>Valitsuse liikmete koolituskulud</v>
      </c>
      <c r="H18">
        <f>Koond_kulud!H18</f>
        <v>1000</v>
      </c>
      <c r="I18">
        <f>Koond_kulud!I18</f>
        <v>0</v>
      </c>
      <c r="J18">
        <f>Koond_kulud!J18</f>
        <v>5504</v>
      </c>
      <c r="K18" t="str">
        <f>Koond_kulud!K18</f>
        <v>Koolituskulud</v>
      </c>
      <c r="L18">
        <f>Koond_kulud!L18</f>
        <v>55</v>
      </c>
      <c r="M18" t="str">
        <f>Koond_kulud!M18</f>
        <v>55</v>
      </c>
      <c r="N18" t="str">
        <f>Koond_kulud!N18</f>
        <v>Muud tegevuskulud</v>
      </c>
      <c r="O18" t="str">
        <f>Koond_kulud!O18</f>
        <v>Majandamiskulud</v>
      </c>
      <c r="P18" t="str">
        <f>Koond_kulud!P18</f>
        <v>Põhitegevuse kulu</v>
      </c>
      <c r="Q18">
        <f>Koond_kulud!Q18</f>
        <v>0</v>
      </c>
    </row>
    <row r="19" spans="1:17" hidden="1" x14ac:dyDescent="0.25">
      <c r="A19" t="str">
        <f>Koond_kulud!A19</f>
        <v>01</v>
      </c>
      <c r="B19" t="str">
        <f>Koond_kulud!B19</f>
        <v xml:space="preserve">01112           </v>
      </c>
      <c r="C19" t="str">
        <f>Koond_kulud!C19</f>
        <v xml:space="preserve"> Valla- ja linnavalitsus</v>
      </c>
      <c r="D19" t="str">
        <f>Koond_kulud!D19</f>
        <v>Valla- ja linnavalitsus</v>
      </c>
      <c r="E19" t="str">
        <f>Koond_kulud!E19</f>
        <v>Üldised valitsussektori teenused</v>
      </c>
      <c r="F19" t="str">
        <f>Koond_kulud!F19</f>
        <v>Finantsosakond</v>
      </c>
      <c r="G19" t="str">
        <f>Koond_kulud!G19</f>
        <v>Pangateenustasud</v>
      </c>
      <c r="H19">
        <f>Koond_kulud!H19</f>
        <v>660</v>
      </c>
      <c r="I19" t="str">
        <f>Koond_kulud!I19</f>
        <v>Swedbank</v>
      </c>
      <c r="J19">
        <f>Koond_kulud!J19</f>
        <v>5500</v>
      </c>
      <c r="K19" t="str">
        <f>Koond_kulud!K19</f>
        <v>Administreerimiskulud</v>
      </c>
      <c r="L19">
        <f>Koond_kulud!L19</f>
        <v>55</v>
      </c>
      <c r="M19" t="str">
        <f>Koond_kulud!M19</f>
        <v>55</v>
      </c>
      <c r="N19" t="str">
        <f>Koond_kulud!N19</f>
        <v>Muud tegevuskulud</v>
      </c>
      <c r="O19" t="str">
        <f>Koond_kulud!O19</f>
        <v>Majandamiskulud</v>
      </c>
      <c r="P19" t="str">
        <f>Koond_kulud!P19</f>
        <v>Põhitegevuse kulu</v>
      </c>
      <c r="Q19">
        <f>Koond_kulud!Q19</f>
        <v>0</v>
      </c>
    </row>
    <row r="20" spans="1:17" hidden="1" x14ac:dyDescent="0.25">
      <c r="A20" t="str">
        <f>Koond_kulud!A20</f>
        <v>01</v>
      </c>
      <c r="B20" t="str">
        <f>Koond_kulud!B20</f>
        <v xml:space="preserve">01112           </v>
      </c>
      <c r="C20" t="str">
        <f>Koond_kulud!C20</f>
        <v xml:space="preserve"> Valla- ja linnavalitsus</v>
      </c>
      <c r="D20" t="str">
        <f>Koond_kulud!D20</f>
        <v>Valla- ja linnavalitsus</v>
      </c>
      <c r="E20" t="str">
        <f>Koond_kulud!E20</f>
        <v>Üldised valitsussektori teenused</v>
      </c>
      <c r="F20" t="str">
        <f>Koond_kulud!F20</f>
        <v>Finantsosakond</v>
      </c>
      <c r="G20" t="str">
        <f>Koond_kulud!G20</f>
        <v>Pangateenustasud</v>
      </c>
      <c r="H20">
        <f>Koond_kulud!H20</f>
        <v>480</v>
      </c>
      <c r="I20">
        <f>Koond_kulud!I20</f>
        <v>0</v>
      </c>
      <c r="J20">
        <f>Koond_kulud!J20</f>
        <v>5500</v>
      </c>
      <c r="K20" t="str">
        <f>Koond_kulud!K20</f>
        <v>Administreerimiskulud</v>
      </c>
      <c r="L20">
        <f>Koond_kulud!L20</f>
        <v>55</v>
      </c>
      <c r="M20" t="str">
        <f>Koond_kulud!M20</f>
        <v>55</v>
      </c>
      <c r="N20" t="str">
        <f>Koond_kulud!N20</f>
        <v>Muud tegevuskulud</v>
      </c>
      <c r="O20" t="str">
        <f>Koond_kulud!O20</f>
        <v>Majandamiskulud</v>
      </c>
      <c r="P20" t="str">
        <f>Koond_kulud!P20</f>
        <v>Põhitegevuse kulu</v>
      </c>
      <c r="Q20">
        <f>Koond_kulud!Q20</f>
        <v>0</v>
      </c>
    </row>
    <row r="21" spans="1:17" hidden="1" x14ac:dyDescent="0.25">
      <c r="A21" t="str">
        <f>Koond_kulud!A21</f>
        <v>01</v>
      </c>
      <c r="B21" t="str">
        <f>Koond_kulud!B21</f>
        <v xml:space="preserve">01112           </v>
      </c>
      <c r="C21" t="str">
        <f>Koond_kulud!C21</f>
        <v xml:space="preserve"> Valla- ja linnavalitsus</v>
      </c>
      <c r="D21" t="str">
        <f>Koond_kulud!D21</f>
        <v>Valla- ja linnavalitsus</v>
      </c>
      <c r="E21" t="str">
        <f>Koond_kulud!E21</f>
        <v>Üldised valitsussektori teenused</v>
      </c>
      <c r="F21" t="str">
        <f>Koond_kulud!F21</f>
        <v>Kantselei</v>
      </c>
      <c r="G21" t="str">
        <f>Koond_kulud!G21</f>
        <v>Arhivaalide hävitamise teenus</v>
      </c>
      <c r="H21">
        <f>Koond_kulud!H21</f>
        <v>500</v>
      </c>
      <c r="I21">
        <f>Koond_kulud!I21</f>
        <v>0</v>
      </c>
      <c r="J21">
        <f>Koond_kulud!J21</f>
        <v>5500</v>
      </c>
      <c r="K21" t="str">
        <f>Koond_kulud!K21</f>
        <v>Administreerimiskulud</v>
      </c>
      <c r="L21">
        <f>Koond_kulud!L21</f>
        <v>55</v>
      </c>
      <c r="M21" t="str">
        <f>Koond_kulud!M21</f>
        <v>55</v>
      </c>
      <c r="N21" t="str">
        <f>Koond_kulud!N21</f>
        <v>Muud tegevuskulud</v>
      </c>
      <c r="O21" t="str">
        <f>Koond_kulud!O21</f>
        <v>Majandamiskulud</v>
      </c>
      <c r="P21" t="str">
        <f>Koond_kulud!P21</f>
        <v>Põhitegevuse kulu</v>
      </c>
      <c r="Q21">
        <f>Koond_kulud!Q21</f>
        <v>0</v>
      </c>
    </row>
    <row r="22" spans="1:17" hidden="1" x14ac:dyDescent="0.25">
      <c r="A22" t="str">
        <f>Koond_kulud!A22</f>
        <v>01</v>
      </c>
      <c r="B22" t="str">
        <f>Koond_kulud!B22</f>
        <v xml:space="preserve">01112           </v>
      </c>
      <c r="C22" t="str">
        <f>Koond_kulud!C22</f>
        <v xml:space="preserve"> Valla- ja linnavalitsus</v>
      </c>
      <c r="D22" t="str">
        <f>Koond_kulud!D22</f>
        <v>Valla- ja linnavalitsus</v>
      </c>
      <c r="E22" t="str">
        <f>Koond_kulud!E22</f>
        <v>Üldised valitsussektori teenused</v>
      </c>
      <c r="F22" t="str">
        <f>Koond_kulud!F22</f>
        <v>Kantselei</v>
      </c>
      <c r="G22" t="str">
        <f>Koond_kulud!G22</f>
        <v>Arhiivi tarvikud</v>
      </c>
      <c r="H22">
        <f>Koond_kulud!H22</f>
        <v>500</v>
      </c>
      <c r="I22">
        <f>Koond_kulud!I22</f>
        <v>0</v>
      </c>
      <c r="J22">
        <f>Koond_kulud!J22</f>
        <v>5500</v>
      </c>
      <c r="K22" t="str">
        <f>Koond_kulud!K22</f>
        <v>Administreerimiskulud</v>
      </c>
      <c r="L22">
        <f>Koond_kulud!L22</f>
        <v>55</v>
      </c>
      <c r="M22" t="str">
        <f>Koond_kulud!M22</f>
        <v>55</v>
      </c>
      <c r="N22" t="str">
        <f>Koond_kulud!N22</f>
        <v>Muud tegevuskulud</v>
      </c>
      <c r="O22" t="str">
        <f>Koond_kulud!O22</f>
        <v>Majandamiskulud</v>
      </c>
      <c r="P22" t="str">
        <f>Koond_kulud!P22</f>
        <v>Põhitegevuse kulu</v>
      </c>
      <c r="Q22">
        <f>Koond_kulud!Q22</f>
        <v>0</v>
      </c>
    </row>
    <row r="23" spans="1:17" hidden="1" x14ac:dyDescent="0.25">
      <c r="A23" t="str">
        <f>Koond_kulud!A23</f>
        <v>01</v>
      </c>
      <c r="B23" t="str">
        <f>Koond_kulud!B23</f>
        <v xml:space="preserve">01112           </v>
      </c>
      <c r="C23" t="str">
        <f>Koond_kulud!C23</f>
        <v xml:space="preserve"> Valla- ja linnavalitsus</v>
      </c>
      <c r="D23" t="str">
        <f>Koond_kulud!D23</f>
        <v>Valla- ja linnavalitsus</v>
      </c>
      <c r="E23" t="str">
        <f>Koond_kulud!E23</f>
        <v>Üldised valitsussektori teenused</v>
      </c>
      <c r="F23" t="str">
        <f>Koond_kulud!F23</f>
        <v>Kantselei</v>
      </c>
      <c r="G23" t="str">
        <f>Koond_kulud!G23</f>
        <v>Kontoritarbed</v>
      </c>
      <c r="H23">
        <f>Koond_kulud!H23</f>
        <v>1680</v>
      </c>
      <c r="I23">
        <f>Koond_kulud!I23</f>
        <v>0</v>
      </c>
      <c r="J23">
        <f>Koond_kulud!J23</f>
        <v>5500</v>
      </c>
      <c r="K23" t="str">
        <f>Koond_kulud!K23</f>
        <v>Administreerimiskulud</v>
      </c>
      <c r="L23">
        <f>Koond_kulud!L23</f>
        <v>55</v>
      </c>
      <c r="M23" t="str">
        <f>Koond_kulud!M23</f>
        <v>55</v>
      </c>
      <c r="N23" t="str">
        <f>Koond_kulud!N23</f>
        <v>Muud tegevuskulud</v>
      </c>
      <c r="O23" t="str">
        <f>Koond_kulud!O23</f>
        <v>Majandamiskulud</v>
      </c>
      <c r="P23" t="str">
        <f>Koond_kulud!P23</f>
        <v>Põhitegevuse kulu</v>
      </c>
      <c r="Q23">
        <f>Koond_kulud!Q23</f>
        <v>0</v>
      </c>
    </row>
    <row r="24" spans="1:17" hidden="1" x14ac:dyDescent="0.25">
      <c r="A24" t="str">
        <f>Koond_kulud!A24</f>
        <v>01</v>
      </c>
      <c r="B24" t="str">
        <f>Koond_kulud!B24</f>
        <v xml:space="preserve">01112           </v>
      </c>
      <c r="C24" t="str">
        <f>Koond_kulud!C24</f>
        <v xml:space="preserve"> Valla- ja linnavalitsus</v>
      </c>
      <c r="D24" t="str">
        <f>Koond_kulud!D24</f>
        <v>Valla- ja linnavalitsus</v>
      </c>
      <c r="E24" t="str">
        <f>Koond_kulud!E24</f>
        <v>Üldised valitsussektori teenused</v>
      </c>
      <c r="F24" t="str">
        <f>Koond_kulud!F24</f>
        <v>Kantselei</v>
      </c>
      <c r="G24" t="str">
        <f>Koond_kulud!G24</f>
        <v>Postikulud</v>
      </c>
      <c r="H24">
        <f>Koond_kulud!H24</f>
        <v>960</v>
      </c>
      <c r="I24">
        <f>Koond_kulud!I24</f>
        <v>0</v>
      </c>
      <c r="J24">
        <f>Koond_kulud!J24</f>
        <v>5500</v>
      </c>
      <c r="K24" t="str">
        <f>Koond_kulud!K24</f>
        <v>Administreerimiskulud</v>
      </c>
      <c r="L24">
        <f>Koond_kulud!L24</f>
        <v>55</v>
      </c>
      <c r="M24" t="str">
        <f>Koond_kulud!M24</f>
        <v>55</v>
      </c>
      <c r="N24" t="str">
        <f>Koond_kulud!N24</f>
        <v>Muud tegevuskulud</v>
      </c>
      <c r="O24" t="str">
        <f>Koond_kulud!O24</f>
        <v>Majandamiskulud</v>
      </c>
      <c r="P24" t="str">
        <f>Koond_kulud!P24</f>
        <v>Põhitegevuse kulu</v>
      </c>
      <c r="Q24">
        <f>Koond_kulud!Q24</f>
        <v>0</v>
      </c>
    </row>
    <row r="25" spans="1:17" hidden="1" x14ac:dyDescent="0.25">
      <c r="A25" t="str">
        <f>Koond_kulud!A25</f>
        <v>01</v>
      </c>
      <c r="B25" t="str">
        <f>Koond_kulud!B25</f>
        <v xml:space="preserve">01112           </v>
      </c>
      <c r="C25" t="str">
        <f>Koond_kulud!C25</f>
        <v xml:space="preserve"> Valla- ja linnavalitsus</v>
      </c>
      <c r="D25" t="str">
        <f>Koond_kulud!D25</f>
        <v>Valla- ja linnavalitsus</v>
      </c>
      <c r="E25" t="str">
        <f>Koond_kulud!E25</f>
        <v>Üldised valitsussektori teenused</v>
      </c>
      <c r="F25" t="str">
        <f>Koond_kulud!F25</f>
        <v>Kantselei</v>
      </c>
      <c r="G25" t="str">
        <f>Koond_kulud!G25</f>
        <v>Koopiapaber</v>
      </c>
      <c r="H25">
        <f>Koond_kulud!H25</f>
        <v>1500</v>
      </c>
      <c r="I25">
        <f>Koond_kulud!I25</f>
        <v>0</v>
      </c>
      <c r="J25">
        <f>Koond_kulud!J25</f>
        <v>5500</v>
      </c>
      <c r="K25" t="str">
        <f>Koond_kulud!K25</f>
        <v>Administreerimiskulud</v>
      </c>
      <c r="L25">
        <f>Koond_kulud!L25</f>
        <v>55</v>
      </c>
      <c r="M25" t="str">
        <f>Koond_kulud!M25</f>
        <v>55</v>
      </c>
      <c r="N25" t="str">
        <f>Koond_kulud!N25</f>
        <v>Muud tegevuskulud</v>
      </c>
      <c r="O25" t="str">
        <f>Koond_kulud!O25</f>
        <v>Majandamiskulud</v>
      </c>
      <c r="P25" t="str">
        <f>Koond_kulud!P25</f>
        <v>Põhitegevuse kulu</v>
      </c>
      <c r="Q25">
        <f>Koond_kulud!Q25</f>
        <v>0</v>
      </c>
    </row>
    <row r="26" spans="1:17" hidden="1" x14ac:dyDescent="0.25">
      <c r="A26" t="str">
        <f>Koond_kulud!A26</f>
        <v>01</v>
      </c>
      <c r="B26" t="str">
        <f>Koond_kulud!B26</f>
        <v xml:space="preserve">01112           </v>
      </c>
      <c r="C26" t="str">
        <f>Koond_kulud!C26</f>
        <v xml:space="preserve"> Valla- ja linnavalitsus</v>
      </c>
      <c r="D26" t="str">
        <f>Koond_kulud!D26</f>
        <v>Valla- ja linnavalitsus</v>
      </c>
      <c r="E26" t="str">
        <f>Koond_kulud!E26</f>
        <v>Üldised valitsussektori teenused</v>
      </c>
      <c r="F26" t="str">
        <f>Koond_kulud!F26</f>
        <v>Kantselei</v>
      </c>
      <c r="G26" t="str">
        <f>Koond_kulud!G26</f>
        <v>Paljunduskulud</v>
      </c>
      <c r="H26">
        <f>Koond_kulud!H26</f>
        <v>1440</v>
      </c>
      <c r="I26">
        <f>Koond_kulud!I26</f>
        <v>0</v>
      </c>
      <c r="J26">
        <f>Koond_kulud!J26</f>
        <v>5500</v>
      </c>
      <c r="K26" t="str">
        <f>Koond_kulud!K26</f>
        <v>Administreerimiskulud</v>
      </c>
      <c r="L26">
        <f>Koond_kulud!L26</f>
        <v>55</v>
      </c>
      <c r="M26" t="str">
        <f>Koond_kulud!M26</f>
        <v>55</v>
      </c>
      <c r="N26" t="str">
        <f>Koond_kulud!N26</f>
        <v>Muud tegevuskulud</v>
      </c>
      <c r="O26" t="str">
        <f>Koond_kulud!O26</f>
        <v>Majandamiskulud</v>
      </c>
      <c r="P26" t="str">
        <f>Koond_kulud!P26</f>
        <v>Põhitegevuse kulu</v>
      </c>
      <c r="Q26">
        <f>Koond_kulud!Q26</f>
        <v>0</v>
      </c>
    </row>
    <row r="27" spans="1:17" hidden="1" x14ac:dyDescent="0.25">
      <c r="A27" t="str">
        <f>Koond_kulud!A27</f>
        <v>01</v>
      </c>
      <c r="B27" t="str">
        <f>Koond_kulud!B27</f>
        <v xml:space="preserve">01112           </v>
      </c>
      <c r="C27" t="str">
        <f>Koond_kulud!C27</f>
        <v xml:space="preserve"> Valla- ja linnavalitsus</v>
      </c>
      <c r="D27" t="str">
        <f>Koond_kulud!D27</f>
        <v>Valla- ja linnavalitsus</v>
      </c>
      <c r="E27" t="str">
        <f>Koond_kulud!E27</f>
        <v>Üldised valitsussektori teenused</v>
      </c>
      <c r="F27" t="str">
        <f>Koond_kulud!F27</f>
        <v>Kantselei</v>
      </c>
      <c r="G27" t="str">
        <f>Koond_kulud!G27</f>
        <v>Kalendrid</v>
      </c>
      <c r="H27">
        <f>Koond_kulud!H27</f>
        <v>600</v>
      </c>
      <c r="I27">
        <f>Koond_kulud!I27</f>
        <v>0</v>
      </c>
      <c r="J27">
        <f>Koond_kulud!J27</f>
        <v>5500</v>
      </c>
      <c r="K27" t="str">
        <f>Koond_kulud!K27</f>
        <v>Administreerimiskulud</v>
      </c>
      <c r="L27">
        <f>Koond_kulud!L27</f>
        <v>55</v>
      </c>
      <c r="M27" t="str">
        <f>Koond_kulud!M27</f>
        <v>55</v>
      </c>
      <c r="N27" t="str">
        <f>Koond_kulud!N27</f>
        <v>Muud tegevuskulud</v>
      </c>
      <c r="O27" t="str">
        <f>Koond_kulud!O27</f>
        <v>Majandamiskulud</v>
      </c>
      <c r="P27" t="str">
        <f>Koond_kulud!P27</f>
        <v>Põhitegevuse kulu</v>
      </c>
      <c r="Q27">
        <f>Koond_kulud!Q27</f>
        <v>0</v>
      </c>
    </row>
    <row r="28" spans="1:17" hidden="1" x14ac:dyDescent="0.25">
      <c r="A28" t="str">
        <f>Koond_kulud!A28</f>
        <v>01</v>
      </c>
      <c r="B28" t="str">
        <f>Koond_kulud!B28</f>
        <v xml:space="preserve">01112           </v>
      </c>
      <c r="C28" t="str">
        <f>Koond_kulud!C28</f>
        <v xml:space="preserve"> Valla- ja linnavalitsus</v>
      </c>
      <c r="D28" t="str">
        <f>Koond_kulud!D28</f>
        <v>Valla- ja linnavalitsus</v>
      </c>
      <c r="E28" t="str">
        <f>Koond_kulud!E28</f>
        <v>Üldised valitsussektori teenused</v>
      </c>
      <c r="F28" t="str">
        <f>Koond_kulud!F28</f>
        <v>Kantselei</v>
      </c>
      <c r="G28" t="str">
        <f>Koond_kulud!G28</f>
        <v>Kalendermärkmikud</v>
      </c>
      <c r="H28">
        <f>Koond_kulud!H28</f>
        <v>420</v>
      </c>
      <c r="I28">
        <f>Koond_kulud!I28</f>
        <v>0</v>
      </c>
      <c r="J28">
        <f>Koond_kulud!J28</f>
        <v>5500</v>
      </c>
      <c r="K28" t="str">
        <f>Koond_kulud!K28</f>
        <v>Administreerimiskulud</v>
      </c>
      <c r="L28">
        <f>Koond_kulud!L28</f>
        <v>55</v>
      </c>
      <c r="M28" t="str">
        <f>Koond_kulud!M28</f>
        <v>55</v>
      </c>
      <c r="N28" t="str">
        <f>Koond_kulud!N28</f>
        <v>Muud tegevuskulud</v>
      </c>
      <c r="O28" t="str">
        <f>Koond_kulud!O28</f>
        <v>Majandamiskulud</v>
      </c>
      <c r="P28" t="str">
        <f>Koond_kulud!P28</f>
        <v>Põhitegevuse kulu</v>
      </c>
      <c r="Q28">
        <f>Koond_kulud!Q28</f>
        <v>0</v>
      </c>
    </row>
    <row r="29" spans="1:17" hidden="1" x14ac:dyDescent="0.25">
      <c r="A29" t="str">
        <f>Koond_kulud!A29</f>
        <v>01</v>
      </c>
      <c r="B29" t="str">
        <f>Koond_kulud!B29</f>
        <v xml:space="preserve">01112           </v>
      </c>
      <c r="C29" t="str">
        <f>Koond_kulud!C29</f>
        <v xml:space="preserve"> Valla- ja linnavalitsus</v>
      </c>
      <c r="D29" t="str">
        <f>Koond_kulud!D29</f>
        <v>Valla- ja linnavalitsus</v>
      </c>
      <c r="E29" t="str">
        <f>Koond_kulud!E29</f>
        <v>Üldised valitsussektori teenused</v>
      </c>
      <c r="F29" t="str">
        <f>Koond_kulud!F29</f>
        <v>Kantselei</v>
      </c>
      <c r="G29" t="str">
        <f>Koond_kulud!G29</f>
        <v>Meened (prillilapp, tassid, pastakad)</v>
      </c>
      <c r="H29">
        <f>Koond_kulud!H29</f>
        <v>5000</v>
      </c>
      <c r="I29">
        <f>Koond_kulud!I29</f>
        <v>0</v>
      </c>
      <c r="J29">
        <f>Koond_kulud!J29</f>
        <v>5500</v>
      </c>
      <c r="K29" t="str">
        <f>Koond_kulud!K29</f>
        <v>Administreerimiskulud</v>
      </c>
      <c r="L29">
        <f>Koond_kulud!L29</f>
        <v>55</v>
      </c>
      <c r="M29" t="str">
        <f>Koond_kulud!M29</f>
        <v>55</v>
      </c>
      <c r="N29" t="str">
        <f>Koond_kulud!N29</f>
        <v>Muud tegevuskulud</v>
      </c>
      <c r="O29" t="str">
        <f>Koond_kulud!O29</f>
        <v>Majandamiskulud</v>
      </c>
      <c r="P29" t="str">
        <f>Koond_kulud!P29</f>
        <v>Põhitegevuse kulu</v>
      </c>
      <c r="Q29">
        <f>Koond_kulud!Q29</f>
        <v>0</v>
      </c>
    </row>
    <row r="30" spans="1:17" hidden="1" x14ac:dyDescent="0.25">
      <c r="A30" t="str">
        <f>Koond_kulud!A30</f>
        <v>01</v>
      </c>
      <c r="B30" t="str">
        <f>Koond_kulud!B30</f>
        <v xml:space="preserve">01112           </v>
      </c>
      <c r="C30" t="str">
        <f>Koond_kulud!C30</f>
        <v xml:space="preserve"> Valla- ja linnavalitsus</v>
      </c>
      <c r="D30" t="str">
        <f>Koond_kulud!D30</f>
        <v>Valla- ja linnavalitsus</v>
      </c>
      <c r="E30" t="str">
        <f>Koond_kulud!E30</f>
        <v>Üldised valitsussektori teenused</v>
      </c>
      <c r="F30" t="str">
        <f>Koond_kulud!F30</f>
        <v>Kantselei</v>
      </c>
      <c r="G30" t="str">
        <f>Koond_kulud!G30</f>
        <v>Lilled sünnipäevalistele jne</v>
      </c>
      <c r="H30">
        <f>Koond_kulud!H30</f>
        <v>2520</v>
      </c>
      <c r="I30">
        <f>Koond_kulud!I30</f>
        <v>0</v>
      </c>
      <c r="J30">
        <f>Koond_kulud!J30</f>
        <v>5500</v>
      </c>
      <c r="K30" t="str">
        <f>Koond_kulud!K30</f>
        <v>Administreerimiskulud</v>
      </c>
      <c r="L30">
        <f>Koond_kulud!L30</f>
        <v>55</v>
      </c>
      <c r="M30" t="str">
        <f>Koond_kulud!M30</f>
        <v>55</v>
      </c>
      <c r="N30" t="str">
        <f>Koond_kulud!N30</f>
        <v>Muud tegevuskulud</v>
      </c>
      <c r="O30" t="str">
        <f>Koond_kulud!O30</f>
        <v>Majandamiskulud</v>
      </c>
      <c r="P30" t="str">
        <f>Koond_kulud!P30</f>
        <v>Põhitegevuse kulu</v>
      </c>
      <c r="Q30">
        <f>Koond_kulud!Q30</f>
        <v>0</v>
      </c>
    </row>
    <row r="31" spans="1:17" hidden="1" x14ac:dyDescent="0.25">
      <c r="A31" t="str">
        <f>Koond_kulud!A31</f>
        <v>01</v>
      </c>
      <c r="B31" t="str">
        <f>Koond_kulud!B31</f>
        <v xml:space="preserve">01112           </v>
      </c>
      <c r="C31" t="str">
        <f>Koond_kulud!C31</f>
        <v xml:space="preserve"> Valla- ja linnavalitsus</v>
      </c>
      <c r="D31" t="str">
        <f>Koond_kulud!D31</f>
        <v>Valla- ja linnavalitsus</v>
      </c>
      <c r="E31" t="str">
        <f>Koond_kulud!E31</f>
        <v>Üldised valitsussektori teenused</v>
      </c>
      <c r="F31" t="str">
        <f>Koond_kulud!F31</f>
        <v>Kantselei</v>
      </c>
      <c r="G31" t="str">
        <f>Koond_kulud!G31</f>
        <v>Lauatelefonid</v>
      </c>
      <c r="H31">
        <f>Koond_kulud!H31</f>
        <v>3480</v>
      </c>
      <c r="I31">
        <f>Koond_kulud!I31</f>
        <v>0</v>
      </c>
      <c r="J31">
        <f>Koond_kulud!J31</f>
        <v>5500</v>
      </c>
      <c r="K31" t="str">
        <f>Koond_kulud!K31</f>
        <v>Administreerimiskulud</v>
      </c>
      <c r="L31">
        <f>Koond_kulud!L31</f>
        <v>55</v>
      </c>
      <c r="M31" t="str">
        <f>Koond_kulud!M31</f>
        <v>55</v>
      </c>
      <c r="N31" t="str">
        <f>Koond_kulud!N31</f>
        <v>Muud tegevuskulud</v>
      </c>
      <c r="O31" t="str">
        <f>Koond_kulud!O31</f>
        <v>Majandamiskulud</v>
      </c>
      <c r="P31" t="str">
        <f>Koond_kulud!P31</f>
        <v>Põhitegevuse kulu</v>
      </c>
      <c r="Q31">
        <f>Koond_kulud!Q31</f>
        <v>0</v>
      </c>
    </row>
    <row r="32" spans="1:17" hidden="1" x14ac:dyDescent="0.25">
      <c r="A32" t="str">
        <f>Koond_kulud!A32</f>
        <v>01</v>
      </c>
      <c r="B32" t="str">
        <f>Koond_kulud!B32</f>
        <v xml:space="preserve">01112           </v>
      </c>
      <c r="C32" t="str">
        <f>Koond_kulud!C32</f>
        <v xml:space="preserve"> Valla- ja linnavalitsus</v>
      </c>
      <c r="D32" t="str">
        <f>Koond_kulud!D32</f>
        <v>Valla- ja linnavalitsus</v>
      </c>
      <c r="E32" t="str">
        <f>Koond_kulud!E32</f>
        <v>Üldised valitsussektori teenused</v>
      </c>
      <c r="F32" t="str">
        <f>Koond_kulud!F32</f>
        <v>Kantselei</v>
      </c>
      <c r="G32" t="str">
        <f>Koond_kulud!G32</f>
        <v>Esinduskulud (kohv)</v>
      </c>
      <c r="H32">
        <f>Koond_kulud!H32</f>
        <v>540</v>
      </c>
      <c r="I32">
        <f>Koond_kulud!I32</f>
        <v>0</v>
      </c>
      <c r="J32">
        <f>Koond_kulud!J32</f>
        <v>5500</v>
      </c>
      <c r="K32" t="str">
        <f>Koond_kulud!K32</f>
        <v>Administreerimiskulud</v>
      </c>
      <c r="L32">
        <f>Koond_kulud!L32</f>
        <v>55</v>
      </c>
      <c r="M32" t="str">
        <f>Koond_kulud!M32</f>
        <v>55</v>
      </c>
      <c r="N32" t="str">
        <f>Koond_kulud!N32</f>
        <v>Muud tegevuskulud</v>
      </c>
      <c r="O32" t="str">
        <f>Koond_kulud!O32</f>
        <v>Majandamiskulud</v>
      </c>
      <c r="P32" t="str">
        <f>Koond_kulud!P32</f>
        <v>Põhitegevuse kulu</v>
      </c>
      <c r="Q32">
        <f>Koond_kulud!Q32</f>
        <v>0</v>
      </c>
    </row>
    <row r="33" spans="1:17" hidden="1" x14ac:dyDescent="0.25">
      <c r="A33" t="str">
        <f>Koond_kulud!A33</f>
        <v>01</v>
      </c>
      <c r="B33" t="str">
        <f>Koond_kulud!B33</f>
        <v xml:space="preserve">01112           </v>
      </c>
      <c r="C33" t="str">
        <f>Koond_kulud!C33</f>
        <v xml:space="preserve"> Valla- ja linnavalitsus</v>
      </c>
      <c r="D33" t="str">
        <f>Koond_kulud!D33</f>
        <v>Valla- ja linnavalitsus</v>
      </c>
      <c r="E33" t="str">
        <f>Koond_kulud!E33</f>
        <v>Üldised valitsussektori teenused</v>
      </c>
      <c r="F33" t="str">
        <f>Koond_kulud!F33</f>
        <v>Kantselei</v>
      </c>
      <c r="G33" t="str">
        <f>Koond_kulud!G33</f>
        <v>Esindus - ja vastuvõtu kulud</v>
      </c>
      <c r="H33">
        <f>Koond_kulud!H33</f>
        <v>5500</v>
      </c>
      <c r="I33">
        <f>Koond_kulud!I33</f>
        <v>0</v>
      </c>
      <c r="J33">
        <f>Koond_kulud!J33</f>
        <v>5500</v>
      </c>
      <c r="K33" t="str">
        <f>Koond_kulud!K33</f>
        <v>Administreerimiskulud</v>
      </c>
      <c r="L33">
        <f>Koond_kulud!L33</f>
        <v>55</v>
      </c>
      <c r="M33" t="str">
        <f>Koond_kulud!M33</f>
        <v>55</v>
      </c>
      <c r="N33" t="str">
        <f>Koond_kulud!N33</f>
        <v>Muud tegevuskulud</v>
      </c>
      <c r="O33" t="str">
        <f>Koond_kulud!O33</f>
        <v>Majandamiskulud</v>
      </c>
      <c r="P33" t="str">
        <f>Koond_kulud!P33</f>
        <v>Põhitegevuse kulu</v>
      </c>
      <c r="Q33">
        <f>Koond_kulud!Q33</f>
        <v>0</v>
      </c>
    </row>
    <row r="34" spans="1:17" hidden="1" x14ac:dyDescent="0.25">
      <c r="A34" t="str">
        <f>Koond_kulud!A34</f>
        <v>01</v>
      </c>
      <c r="B34" t="str">
        <f>Koond_kulud!B34</f>
        <v xml:space="preserve">01112           </v>
      </c>
      <c r="C34" t="str">
        <f>Koond_kulud!C34</f>
        <v xml:space="preserve"> Valla- ja linnavalitsus</v>
      </c>
      <c r="D34" t="str">
        <f>Koond_kulud!D34</f>
        <v>Valla- ja linnavalitsus</v>
      </c>
      <c r="E34" t="str">
        <f>Koond_kulud!E34</f>
        <v>Üldised valitsussektori teenused</v>
      </c>
      <c r="F34" t="str">
        <f>Koond_kulud!F34</f>
        <v>Kantselei</v>
      </c>
      <c r="G34" t="str">
        <f>Koond_kulud!G34</f>
        <v>Kuulutused</v>
      </c>
      <c r="H34">
        <f>Koond_kulud!H34</f>
        <v>1000</v>
      </c>
      <c r="I34" t="str">
        <f>Koond_kulud!I34</f>
        <v>kaastunde avaldused jms</v>
      </c>
      <c r="J34">
        <f>Koond_kulud!J34</f>
        <v>5500</v>
      </c>
      <c r="K34" t="str">
        <f>Koond_kulud!K34</f>
        <v>Administreerimiskulud</v>
      </c>
      <c r="L34">
        <f>Koond_kulud!L34</f>
        <v>55</v>
      </c>
      <c r="M34" t="str">
        <f>Koond_kulud!M34</f>
        <v>55</v>
      </c>
      <c r="N34" t="str">
        <f>Koond_kulud!N34</f>
        <v>Muud tegevuskulud</v>
      </c>
      <c r="O34" t="str">
        <f>Koond_kulud!O34</f>
        <v>Majandamiskulud</v>
      </c>
      <c r="P34" t="str">
        <f>Koond_kulud!P34</f>
        <v>Põhitegevuse kulu</v>
      </c>
      <c r="Q34">
        <f>Koond_kulud!Q34</f>
        <v>0</v>
      </c>
    </row>
    <row r="35" spans="1:17" hidden="1" x14ac:dyDescent="0.25">
      <c r="A35" t="str">
        <f>Koond_kulud!A35</f>
        <v>01</v>
      </c>
      <c r="B35" t="str">
        <f>Koond_kulud!B35</f>
        <v xml:space="preserve">01112           </v>
      </c>
      <c r="C35" t="str">
        <f>Koond_kulud!C35</f>
        <v xml:space="preserve"> Valla- ja linnavalitsus</v>
      </c>
      <c r="D35" t="str">
        <f>Koond_kulud!D35</f>
        <v>Valla- ja linnavalitsus</v>
      </c>
      <c r="E35" t="str">
        <f>Koond_kulud!E35</f>
        <v>Üldised valitsussektori teenused</v>
      </c>
      <c r="F35" t="str">
        <f>Koond_kulud!F35</f>
        <v>Kantselei</v>
      </c>
      <c r="G35" t="str">
        <f>Koond_kulud!G35</f>
        <v>Visiitkaardid</v>
      </c>
      <c r="H35">
        <f>Koond_kulud!H35</f>
        <v>60</v>
      </c>
      <c r="I35">
        <f>Koond_kulud!I35</f>
        <v>0</v>
      </c>
      <c r="J35">
        <f>Koond_kulud!J35</f>
        <v>5500</v>
      </c>
      <c r="K35" t="str">
        <f>Koond_kulud!K35</f>
        <v>Administreerimiskulud</v>
      </c>
      <c r="L35">
        <f>Koond_kulud!L35</f>
        <v>55</v>
      </c>
      <c r="M35" t="str">
        <f>Koond_kulud!M35</f>
        <v>55</v>
      </c>
      <c r="N35" t="str">
        <f>Koond_kulud!N35</f>
        <v>Muud tegevuskulud</v>
      </c>
      <c r="O35" t="str">
        <f>Koond_kulud!O35</f>
        <v>Majandamiskulud</v>
      </c>
      <c r="P35" t="str">
        <f>Koond_kulud!P35</f>
        <v>Põhitegevuse kulu</v>
      </c>
      <c r="Q35">
        <f>Koond_kulud!Q35</f>
        <v>0</v>
      </c>
    </row>
    <row r="36" spans="1:17" hidden="1" x14ac:dyDescent="0.25">
      <c r="A36" t="str">
        <f>Koond_kulud!A36</f>
        <v>01</v>
      </c>
      <c r="B36" t="str">
        <f>Koond_kulud!B36</f>
        <v xml:space="preserve">01112           </v>
      </c>
      <c r="C36" t="str">
        <f>Koond_kulud!C36</f>
        <v xml:space="preserve"> Valla- ja linnavalitsus</v>
      </c>
      <c r="D36" t="str">
        <f>Koond_kulud!D36</f>
        <v>Valla- ja linnavalitsus</v>
      </c>
      <c r="E36" t="str">
        <f>Koond_kulud!E36</f>
        <v>Üldised valitsussektori teenused</v>
      </c>
      <c r="F36" t="str">
        <f>Koond_kulud!F36</f>
        <v>Vallavanem</v>
      </c>
      <c r="G36" t="str">
        <f>Koond_kulud!G36</f>
        <v>R.Võrno lähetused</v>
      </c>
      <c r="H36">
        <f>Koond_kulud!H36</f>
        <v>1500</v>
      </c>
      <c r="I36">
        <f>Koond_kulud!I36</f>
        <v>0</v>
      </c>
      <c r="J36">
        <f>Koond_kulud!J36</f>
        <v>5503</v>
      </c>
      <c r="K36" t="str">
        <f>Koond_kulud!K36</f>
        <v>Lähetuskulud</v>
      </c>
      <c r="L36">
        <f>Koond_kulud!L36</f>
        <v>55</v>
      </c>
      <c r="M36" t="str">
        <f>Koond_kulud!M36</f>
        <v>55</v>
      </c>
      <c r="N36" t="str">
        <f>Koond_kulud!N36</f>
        <v>Muud tegevuskulud</v>
      </c>
      <c r="O36" t="str">
        <f>Koond_kulud!O36</f>
        <v>Majandamiskulud</v>
      </c>
      <c r="P36" t="str">
        <f>Koond_kulud!P36</f>
        <v>Põhitegevuse kulu</v>
      </c>
      <c r="Q36">
        <f>Koond_kulud!Q36</f>
        <v>0</v>
      </c>
    </row>
    <row r="37" spans="1:17" hidden="1" x14ac:dyDescent="0.25">
      <c r="A37" t="str">
        <f>Koond_kulud!A37</f>
        <v>01</v>
      </c>
      <c r="B37" t="str">
        <f>Koond_kulud!B37</f>
        <v xml:space="preserve">01112           </v>
      </c>
      <c r="C37" t="str">
        <f>Koond_kulud!C37</f>
        <v xml:space="preserve"> Valla- ja linnavalitsus</v>
      </c>
      <c r="D37" t="str">
        <f>Koond_kulud!D37</f>
        <v>Valla- ja linnavalitsus</v>
      </c>
      <c r="E37" t="str">
        <f>Koond_kulud!E37</f>
        <v>Üldised valitsussektori teenused</v>
      </c>
      <c r="F37" t="str">
        <f>Koond_kulud!F37</f>
        <v>Kantselei</v>
      </c>
      <c r="G37" t="str">
        <f>Koond_kulud!G37</f>
        <v>Koolitustel osalemine</v>
      </c>
      <c r="H37">
        <f>Koond_kulud!H37</f>
        <v>5000</v>
      </c>
      <c r="I37" t="str">
        <f>Koond_kulud!I37</f>
        <v>Mart, Vaive, Kersti, Tuuli, Inga, Kätlin</v>
      </c>
      <c r="J37">
        <f>Koond_kulud!J37</f>
        <v>5504</v>
      </c>
      <c r="K37" t="str">
        <f>Koond_kulud!K37</f>
        <v>Koolituskulud</v>
      </c>
      <c r="L37">
        <f>Koond_kulud!L37</f>
        <v>55</v>
      </c>
      <c r="M37" t="str">
        <f>Koond_kulud!M37</f>
        <v>55</v>
      </c>
      <c r="N37" t="str">
        <f>Koond_kulud!N37</f>
        <v>Muud tegevuskulud</v>
      </c>
      <c r="O37" t="str">
        <f>Koond_kulud!O37</f>
        <v>Majandamiskulud</v>
      </c>
      <c r="P37" t="str">
        <f>Koond_kulud!P37</f>
        <v>Põhitegevuse kulu</v>
      </c>
      <c r="Q37">
        <f>Koond_kulud!Q37</f>
        <v>0</v>
      </c>
    </row>
    <row r="38" spans="1:17" hidden="1" x14ac:dyDescent="0.25">
      <c r="A38" t="str">
        <f>Koond_kulud!A38</f>
        <v>01</v>
      </c>
      <c r="B38" t="str">
        <f>Koond_kulud!B38</f>
        <v xml:space="preserve">01112           </v>
      </c>
      <c r="C38" t="str">
        <f>Koond_kulud!C38</f>
        <v xml:space="preserve"> Valla- ja linnavalitsus</v>
      </c>
      <c r="D38" t="str">
        <f>Koond_kulud!D38</f>
        <v>Valla- ja linnavalitsus</v>
      </c>
      <c r="E38" t="str">
        <f>Koond_kulud!E38</f>
        <v>Üldised valitsussektori teenused</v>
      </c>
      <c r="F38" t="str">
        <f>Koond_kulud!F38</f>
        <v>Kantselei</v>
      </c>
      <c r="G38" t="str">
        <f>Koond_kulud!G38</f>
        <v>Vallavalitsuse koosseisu hõlmavad üldised koolitused</v>
      </c>
      <c r="H38">
        <f>Koond_kulud!H38</f>
        <v>2500</v>
      </c>
      <c r="I38">
        <f>Koond_kulud!I38</f>
        <v>0</v>
      </c>
      <c r="J38">
        <f>Koond_kulud!J38</f>
        <v>5504</v>
      </c>
      <c r="K38" t="str">
        <f>Koond_kulud!K38</f>
        <v>Koolituskulud</v>
      </c>
      <c r="L38">
        <f>Koond_kulud!L38</f>
        <v>55</v>
      </c>
      <c r="M38" t="str">
        <f>Koond_kulud!M38</f>
        <v>55</v>
      </c>
      <c r="N38" t="str">
        <f>Koond_kulud!N38</f>
        <v>Muud tegevuskulud</v>
      </c>
      <c r="O38" t="str">
        <f>Koond_kulud!O38</f>
        <v>Majandamiskulud</v>
      </c>
      <c r="P38" t="str">
        <f>Koond_kulud!P38</f>
        <v>Põhitegevuse kulu</v>
      </c>
      <c r="Q38">
        <f>Koond_kulud!Q38</f>
        <v>0</v>
      </c>
    </row>
    <row r="39" spans="1:17" hidden="1" x14ac:dyDescent="0.25">
      <c r="A39" t="str">
        <f>Koond_kulud!A39</f>
        <v>01</v>
      </c>
      <c r="B39" t="str">
        <f>Koond_kulud!B39</f>
        <v xml:space="preserve">01112           </v>
      </c>
      <c r="C39" t="str">
        <f>Koond_kulud!C39</f>
        <v xml:space="preserve"> Valla- ja linnavalitsus</v>
      </c>
      <c r="D39" t="str">
        <f>Koond_kulud!D39</f>
        <v>Valla- ja linnavalitsus</v>
      </c>
      <c r="E39" t="str">
        <f>Koond_kulud!E39</f>
        <v>Üldised valitsussektori teenused</v>
      </c>
      <c r="F39" t="str">
        <f>Koond_kulud!F39</f>
        <v>Vallavanem</v>
      </c>
      <c r="G39" t="str">
        <f>Koond_kulud!G39</f>
        <v>Valla meeskonna koolitused</v>
      </c>
      <c r="H39">
        <f>Koond_kulud!H39</f>
        <v>12000</v>
      </c>
      <c r="I39">
        <f>Koond_kulud!I39</f>
        <v>0</v>
      </c>
      <c r="J39">
        <f>Koond_kulud!J39</f>
        <v>5504</v>
      </c>
      <c r="K39" t="str">
        <f>Koond_kulud!K39</f>
        <v>Koolituskulud</v>
      </c>
      <c r="L39">
        <f>Koond_kulud!L39</f>
        <v>55</v>
      </c>
      <c r="M39" t="str">
        <f>Koond_kulud!M39</f>
        <v>55</v>
      </c>
      <c r="N39" t="str">
        <f>Koond_kulud!N39</f>
        <v>Muud tegevuskulud</v>
      </c>
      <c r="O39" t="str">
        <f>Koond_kulud!O39</f>
        <v>Majandamiskulud</v>
      </c>
      <c r="P39" t="str">
        <f>Koond_kulud!P39</f>
        <v>Põhitegevuse kulu</v>
      </c>
      <c r="Q39">
        <f>Koond_kulud!Q39</f>
        <v>0</v>
      </c>
    </row>
    <row r="40" spans="1:17" hidden="1" x14ac:dyDescent="0.25">
      <c r="A40" t="str">
        <f>Koond_kulud!A40</f>
        <v>01</v>
      </c>
      <c r="B40" t="str">
        <f>Koond_kulud!B40</f>
        <v xml:space="preserve">01112           </v>
      </c>
      <c r="C40" t="str">
        <f>Koond_kulud!C40</f>
        <v xml:space="preserve"> Valla- ja linnavalitsus</v>
      </c>
      <c r="D40" t="str">
        <f>Koond_kulud!D40</f>
        <v>Valla- ja linnavalitsus</v>
      </c>
      <c r="E40" t="str">
        <f>Koond_kulud!E40</f>
        <v>Üldised valitsussektori teenused</v>
      </c>
      <c r="F40" t="str">
        <f>Koond_kulud!F40</f>
        <v>Kantselei</v>
      </c>
      <c r="G40" t="str">
        <f>Koond_kulud!G40</f>
        <v>Mastilipud</v>
      </c>
      <c r="H40">
        <f>Koond_kulud!H40</f>
        <v>4800</v>
      </c>
      <c r="I40">
        <f>Koond_kulud!I40</f>
        <v>0</v>
      </c>
      <c r="J40">
        <f>Koond_kulud!J40</f>
        <v>5511</v>
      </c>
      <c r="K40" t="str">
        <f>Koond_kulud!K40</f>
        <v>Kinnistute, hoonete ja ruumide majandamiskulud</v>
      </c>
      <c r="L40">
        <f>Koond_kulud!L40</f>
        <v>55</v>
      </c>
      <c r="M40" t="str">
        <f>Koond_kulud!M40</f>
        <v>55</v>
      </c>
      <c r="N40" t="str">
        <f>Koond_kulud!N40</f>
        <v>Muud tegevuskulud</v>
      </c>
      <c r="O40" t="str">
        <f>Koond_kulud!O40</f>
        <v>Majandamiskulud</v>
      </c>
      <c r="P40" t="str">
        <f>Koond_kulud!P40</f>
        <v>Põhitegevuse kulu</v>
      </c>
      <c r="Q40">
        <f>Koond_kulud!Q40</f>
        <v>0</v>
      </c>
    </row>
    <row r="41" spans="1:17" hidden="1" x14ac:dyDescent="0.25">
      <c r="A41" t="str">
        <f>Koond_kulud!A41</f>
        <v>01</v>
      </c>
      <c r="B41" t="str">
        <f>Koond_kulud!B41</f>
        <v xml:space="preserve">01112           </v>
      </c>
      <c r="C41" t="str">
        <f>Koond_kulud!C41</f>
        <v xml:space="preserve"> Valla- ja linnavalitsus</v>
      </c>
      <c r="D41" t="str">
        <f>Koond_kulud!D41</f>
        <v>Valla- ja linnavalitsus</v>
      </c>
      <c r="E41" t="str">
        <f>Koond_kulud!E41</f>
        <v>Üldised valitsussektori teenused</v>
      </c>
      <c r="F41" t="str">
        <f>Koond_kulud!F41</f>
        <v>Vallavanem</v>
      </c>
      <c r="G41" t="str">
        <f>Koond_kulud!G41</f>
        <v>Saku Läte</v>
      </c>
      <c r="H41">
        <f>Koond_kulud!H41</f>
        <v>1440</v>
      </c>
      <c r="I41">
        <f>Koond_kulud!I41</f>
        <v>0</v>
      </c>
      <c r="J41">
        <f>Koond_kulud!J41</f>
        <v>5511</v>
      </c>
      <c r="K41" t="str">
        <f>Koond_kulud!K41</f>
        <v>Kinnistute, hoonete ja ruumide majandamiskulud</v>
      </c>
      <c r="L41">
        <f>Koond_kulud!L41</f>
        <v>55</v>
      </c>
      <c r="M41" t="str">
        <f>Koond_kulud!M41</f>
        <v>55</v>
      </c>
      <c r="N41" t="str">
        <f>Koond_kulud!N41</f>
        <v>Muud tegevuskulud</v>
      </c>
      <c r="O41" t="str">
        <f>Koond_kulud!O41</f>
        <v>Majandamiskulud</v>
      </c>
      <c r="P41" t="str">
        <f>Koond_kulud!P41</f>
        <v>Põhitegevuse kulu</v>
      </c>
      <c r="Q41">
        <f>Koond_kulud!Q41</f>
        <v>0</v>
      </c>
    </row>
    <row r="42" spans="1:17" hidden="1" x14ac:dyDescent="0.25">
      <c r="A42" t="str">
        <f>Koond_kulud!A42</f>
        <v>01</v>
      </c>
      <c r="B42" t="str">
        <f>Koond_kulud!B42</f>
        <v xml:space="preserve">01112           </v>
      </c>
      <c r="C42" t="str">
        <f>Koond_kulud!C42</f>
        <v xml:space="preserve"> Valla- ja linnavalitsus</v>
      </c>
      <c r="D42" t="str">
        <f>Koond_kulud!D42</f>
        <v>Valla- ja linnavalitsus</v>
      </c>
      <c r="E42" t="str">
        <f>Koond_kulud!E42</f>
        <v>Üldised valitsussektori teenused</v>
      </c>
      <c r="F42" t="str">
        <f>Koond_kulud!F42</f>
        <v>Vallavanem</v>
      </c>
      <c r="G42" t="str">
        <f>Koond_kulud!G42</f>
        <v>Vallamaja elekter</v>
      </c>
      <c r="H42">
        <f>Koond_kulud!H42</f>
        <v>4800</v>
      </c>
      <c r="I42">
        <f>Koond_kulud!I42</f>
        <v>0</v>
      </c>
      <c r="J42">
        <f>Koond_kulud!J42</f>
        <v>5511</v>
      </c>
      <c r="K42" t="str">
        <f>Koond_kulud!K42</f>
        <v>Kinnistute, hoonete ja ruumide majandamiskulud</v>
      </c>
      <c r="L42">
        <f>Koond_kulud!L42</f>
        <v>55</v>
      </c>
      <c r="M42" t="str">
        <f>Koond_kulud!M42</f>
        <v>55</v>
      </c>
      <c r="N42" t="str">
        <f>Koond_kulud!N42</f>
        <v>Muud tegevuskulud</v>
      </c>
      <c r="O42" t="str">
        <f>Koond_kulud!O42</f>
        <v>Majandamiskulud</v>
      </c>
      <c r="P42" t="str">
        <f>Koond_kulud!P42</f>
        <v>Põhitegevuse kulu</v>
      </c>
      <c r="Q42">
        <f>Koond_kulud!Q42</f>
        <v>0</v>
      </c>
    </row>
    <row r="43" spans="1:17" hidden="1" x14ac:dyDescent="0.25">
      <c r="A43" t="str">
        <f>Koond_kulud!A43</f>
        <v>01</v>
      </c>
      <c r="B43" t="str">
        <f>Koond_kulud!B43</f>
        <v xml:space="preserve">01112           </v>
      </c>
      <c r="C43" t="str">
        <f>Koond_kulud!C43</f>
        <v xml:space="preserve"> Valla- ja linnavalitsus</v>
      </c>
      <c r="D43" t="str">
        <f>Koond_kulud!D43</f>
        <v>Valla- ja linnavalitsus</v>
      </c>
      <c r="E43" t="str">
        <f>Koond_kulud!E43</f>
        <v>Üldised valitsussektori teenused</v>
      </c>
      <c r="F43" t="str">
        <f>Koond_kulud!F43</f>
        <v>Vallavanem</v>
      </c>
      <c r="G43" t="str">
        <f>Koond_kulud!G43</f>
        <v>Vallamaja vesi</v>
      </c>
      <c r="H43">
        <f>Koond_kulud!H43</f>
        <v>1800</v>
      </c>
      <c r="I43">
        <f>Koond_kulud!I43</f>
        <v>0</v>
      </c>
      <c r="J43">
        <f>Koond_kulud!J43</f>
        <v>5511</v>
      </c>
      <c r="K43" t="str">
        <f>Koond_kulud!K43</f>
        <v>Kinnistute, hoonete ja ruumide majandamiskulud</v>
      </c>
      <c r="L43">
        <f>Koond_kulud!L43</f>
        <v>55</v>
      </c>
      <c r="M43" t="str">
        <f>Koond_kulud!M43</f>
        <v>55</v>
      </c>
      <c r="N43" t="str">
        <f>Koond_kulud!N43</f>
        <v>Muud tegevuskulud</v>
      </c>
      <c r="O43" t="str">
        <f>Koond_kulud!O43</f>
        <v>Majandamiskulud</v>
      </c>
      <c r="P43" t="str">
        <f>Koond_kulud!P43</f>
        <v>Põhitegevuse kulu</v>
      </c>
      <c r="Q43">
        <f>Koond_kulud!Q43</f>
        <v>0</v>
      </c>
    </row>
    <row r="44" spans="1:17" hidden="1" x14ac:dyDescent="0.25">
      <c r="A44" t="str">
        <f>Koond_kulud!A44</f>
        <v>01</v>
      </c>
      <c r="B44" t="str">
        <f>Koond_kulud!B44</f>
        <v xml:space="preserve">01112           </v>
      </c>
      <c r="C44" t="str">
        <f>Koond_kulud!C44</f>
        <v xml:space="preserve"> Valla- ja linnavalitsus</v>
      </c>
      <c r="D44" t="str">
        <f>Koond_kulud!D44</f>
        <v>Valla- ja linnavalitsus</v>
      </c>
      <c r="E44" t="str">
        <f>Koond_kulud!E44</f>
        <v>Üldised valitsussektori teenused</v>
      </c>
      <c r="F44" t="str">
        <f>Koond_kulud!F44</f>
        <v>Vallavanem</v>
      </c>
      <c r="G44" t="str">
        <f>Koond_kulud!G44</f>
        <v>Vallamaja keskküte</v>
      </c>
      <c r="H44">
        <f>Koond_kulud!H44</f>
        <v>20700</v>
      </c>
      <c r="I44">
        <f>Koond_kulud!I44</f>
        <v>0</v>
      </c>
      <c r="J44">
        <f>Koond_kulud!J44</f>
        <v>5511</v>
      </c>
      <c r="K44" t="str">
        <f>Koond_kulud!K44</f>
        <v>Kinnistute, hoonete ja ruumide majandamiskulud</v>
      </c>
      <c r="L44">
        <f>Koond_kulud!L44</f>
        <v>55</v>
      </c>
      <c r="M44" t="str">
        <f>Koond_kulud!M44</f>
        <v>55</v>
      </c>
      <c r="N44" t="str">
        <f>Koond_kulud!N44</f>
        <v>Muud tegevuskulud</v>
      </c>
      <c r="O44" t="str">
        <f>Koond_kulud!O44</f>
        <v>Majandamiskulud</v>
      </c>
      <c r="P44" t="str">
        <f>Koond_kulud!P44</f>
        <v>Põhitegevuse kulu</v>
      </c>
      <c r="Q44">
        <f>Koond_kulud!Q44</f>
        <v>0</v>
      </c>
    </row>
    <row r="45" spans="1:17" hidden="1" x14ac:dyDescent="0.25">
      <c r="A45" t="str">
        <f>Koond_kulud!A45</f>
        <v>01</v>
      </c>
      <c r="B45" t="str">
        <f>Koond_kulud!B45</f>
        <v xml:space="preserve">01112           </v>
      </c>
      <c r="C45" t="str">
        <f>Koond_kulud!C45</f>
        <v xml:space="preserve"> Valla- ja linnavalitsus</v>
      </c>
      <c r="D45" t="str">
        <f>Koond_kulud!D45</f>
        <v>Valla- ja linnavalitsus</v>
      </c>
      <c r="E45" t="str">
        <f>Koond_kulud!E45</f>
        <v>Üldised valitsussektori teenused</v>
      </c>
      <c r="F45" t="str">
        <f>Koond_kulud!F45</f>
        <v>Vallavanem</v>
      </c>
      <c r="G45" t="str">
        <f>Koond_kulud!G45</f>
        <v>Prügikonteineri rent</v>
      </c>
      <c r="H45">
        <f>Koond_kulud!H45</f>
        <v>300</v>
      </c>
      <c r="I45">
        <f>Koond_kulud!I45</f>
        <v>0</v>
      </c>
      <c r="J45">
        <f>Koond_kulud!J45</f>
        <v>5511</v>
      </c>
      <c r="K45" t="str">
        <f>Koond_kulud!K45</f>
        <v>Kinnistute, hoonete ja ruumide majandamiskulud</v>
      </c>
      <c r="L45">
        <f>Koond_kulud!L45</f>
        <v>55</v>
      </c>
      <c r="M45" t="str">
        <f>Koond_kulud!M45</f>
        <v>55</v>
      </c>
      <c r="N45" t="str">
        <f>Koond_kulud!N45</f>
        <v>Muud tegevuskulud</v>
      </c>
      <c r="O45" t="str">
        <f>Koond_kulud!O45</f>
        <v>Majandamiskulud</v>
      </c>
      <c r="P45" t="str">
        <f>Koond_kulud!P45</f>
        <v>Põhitegevuse kulu</v>
      </c>
      <c r="Q45">
        <f>Koond_kulud!Q45</f>
        <v>0</v>
      </c>
    </row>
    <row r="46" spans="1:17" hidden="1" x14ac:dyDescent="0.25">
      <c r="A46" t="str">
        <f>Koond_kulud!A46</f>
        <v>01</v>
      </c>
      <c r="B46" t="str">
        <f>Koond_kulud!B46</f>
        <v xml:space="preserve">01112           </v>
      </c>
      <c r="C46" t="str">
        <f>Koond_kulud!C46</f>
        <v xml:space="preserve"> Valla- ja linnavalitsus</v>
      </c>
      <c r="D46" t="str">
        <f>Koond_kulud!D46</f>
        <v>Valla- ja linnavalitsus</v>
      </c>
      <c r="E46" t="str">
        <f>Koond_kulud!E46</f>
        <v>Üldised valitsussektori teenused</v>
      </c>
      <c r="F46" t="str">
        <f>Koond_kulud!F46</f>
        <v>Vallavanem</v>
      </c>
      <c r="G46" t="str">
        <f>Koond_kulud!G46</f>
        <v>Jäätmekäitlus</v>
      </c>
      <c r="H46">
        <f>Koond_kulud!H46</f>
        <v>840</v>
      </c>
      <c r="I46">
        <f>Koond_kulud!I46</f>
        <v>0</v>
      </c>
      <c r="J46">
        <f>Koond_kulud!J46</f>
        <v>5511</v>
      </c>
      <c r="K46" t="str">
        <f>Koond_kulud!K46</f>
        <v>Kinnistute, hoonete ja ruumide majandamiskulud</v>
      </c>
      <c r="L46">
        <f>Koond_kulud!L46</f>
        <v>55</v>
      </c>
      <c r="M46" t="str">
        <f>Koond_kulud!M46</f>
        <v>55</v>
      </c>
      <c r="N46" t="str">
        <f>Koond_kulud!N46</f>
        <v>Muud tegevuskulud</v>
      </c>
      <c r="O46" t="str">
        <f>Koond_kulud!O46</f>
        <v>Majandamiskulud</v>
      </c>
      <c r="P46" t="str">
        <f>Koond_kulud!P46</f>
        <v>Põhitegevuse kulu</v>
      </c>
      <c r="Q46">
        <f>Koond_kulud!Q46</f>
        <v>0</v>
      </c>
    </row>
    <row r="47" spans="1:17" hidden="1" x14ac:dyDescent="0.25">
      <c r="A47" t="str">
        <f>Koond_kulud!A47</f>
        <v>01</v>
      </c>
      <c r="B47" t="str">
        <f>Koond_kulud!B47</f>
        <v xml:space="preserve">01112           </v>
      </c>
      <c r="C47" t="str">
        <f>Koond_kulud!C47</f>
        <v xml:space="preserve"> Valla- ja linnavalitsus</v>
      </c>
      <c r="D47" t="str">
        <f>Koond_kulud!D47</f>
        <v>Valla- ja linnavalitsus</v>
      </c>
      <c r="E47" t="str">
        <f>Koond_kulud!E47</f>
        <v>Üldised valitsussektori teenused</v>
      </c>
      <c r="F47" t="str">
        <f>Koond_kulud!F47</f>
        <v>Vallavanem</v>
      </c>
      <c r="G47" t="str">
        <f>Koond_kulud!G47</f>
        <v>Hoone kindlustus</v>
      </c>
      <c r="H47">
        <f>Koond_kulud!H47</f>
        <v>260</v>
      </c>
      <c r="I47">
        <f>Koond_kulud!I47</f>
        <v>0</v>
      </c>
      <c r="J47">
        <f>Koond_kulud!J47</f>
        <v>5511</v>
      </c>
      <c r="K47" t="str">
        <f>Koond_kulud!K47</f>
        <v>Kinnistute, hoonete ja ruumide majandamiskulud</v>
      </c>
      <c r="L47">
        <f>Koond_kulud!L47</f>
        <v>55</v>
      </c>
      <c r="M47" t="str">
        <f>Koond_kulud!M47</f>
        <v>55</v>
      </c>
      <c r="N47" t="str">
        <f>Koond_kulud!N47</f>
        <v>Muud tegevuskulud</v>
      </c>
      <c r="O47" t="str">
        <f>Koond_kulud!O47</f>
        <v>Majandamiskulud</v>
      </c>
      <c r="P47" t="str">
        <f>Koond_kulud!P47</f>
        <v>Põhitegevuse kulu</v>
      </c>
      <c r="Q47">
        <f>Koond_kulud!Q47</f>
        <v>0</v>
      </c>
    </row>
    <row r="48" spans="1:17" hidden="1" x14ac:dyDescent="0.25">
      <c r="A48" t="str">
        <f>Koond_kulud!A48</f>
        <v>01</v>
      </c>
      <c r="B48" t="str">
        <f>Koond_kulud!B48</f>
        <v xml:space="preserve">01112           </v>
      </c>
      <c r="C48" t="str">
        <f>Koond_kulud!C48</f>
        <v xml:space="preserve"> Valla- ja linnavalitsus</v>
      </c>
      <c r="D48" t="str">
        <f>Koond_kulud!D48</f>
        <v>Valla- ja linnavalitsus</v>
      </c>
      <c r="E48" t="str">
        <f>Koond_kulud!E48</f>
        <v>Üldised valitsussektori teenused</v>
      </c>
      <c r="F48" t="str">
        <f>Koond_kulud!F48</f>
        <v>Vallavanem</v>
      </c>
      <c r="G48" t="str">
        <f>Koond_kulud!G48</f>
        <v>Muud kinnistu ja hoonetega seotud kulud</v>
      </c>
      <c r="H48">
        <f>Koond_kulud!H48</f>
        <v>15000</v>
      </c>
      <c r="I48">
        <f>Koond_kulud!I48</f>
        <v>0</v>
      </c>
      <c r="J48">
        <f>Koond_kulud!J48</f>
        <v>5511</v>
      </c>
      <c r="K48" t="str">
        <f>Koond_kulud!K48</f>
        <v>Kinnistute, hoonete ja ruumide majandamiskulud</v>
      </c>
      <c r="L48">
        <f>Koond_kulud!L48</f>
        <v>55</v>
      </c>
      <c r="M48" t="str">
        <f>Koond_kulud!M48</f>
        <v>55</v>
      </c>
      <c r="N48" t="str">
        <f>Koond_kulud!N48</f>
        <v>Muud tegevuskulud</v>
      </c>
      <c r="O48" t="str">
        <f>Koond_kulud!O48</f>
        <v>Majandamiskulud</v>
      </c>
      <c r="P48" t="str">
        <f>Koond_kulud!P48</f>
        <v>Põhitegevuse kulu</v>
      </c>
      <c r="Q48">
        <f>Koond_kulud!Q48</f>
        <v>0</v>
      </c>
    </row>
    <row r="49" spans="1:17" hidden="1" x14ac:dyDescent="0.25">
      <c r="A49" t="str">
        <f>Koond_kulud!A49</f>
        <v>01</v>
      </c>
      <c r="B49" t="str">
        <f>Koond_kulud!B49</f>
        <v xml:space="preserve">01112           </v>
      </c>
      <c r="C49" t="str">
        <f>Koond_kulud!C49</f>
        <v xml:space="preserve"> Valla- ja linnavalitsus</v>
      </c>
      <c r="D49" t="str">
        <f>Koond_kulud!D49</f>
        <v>Valla- ja linnavalitsus</v>
      </c>
      <c r="E49" t="str">
        <f>Koond_kulud!E49</f>
        <v>Üldised valitsussektori teenused</v>
      </c>
      <c r="F49" t="str">
        <f>Koond_kulud!F49</f>
        <v>Kantselei</v>
      </c>
      <c r="G49" t="str">
        <f>Koond_kulud!G49</f>
        <v>Isikliku sõiduauto komp.</v>
      </c>
      <c r="H49">
        <f>Koond_kulud!H49</f>
        <v>704</v>
      </c>
      <c r="I49" t="str">
        <f>Koond_kulud!I49</f>
        <v>juhiabi</v>
      </c>
      <c r="J49">
        <f>Koond_kulud!J49</f>
        <v>5513</v>
      </c>
      <c r="K49" t="str">
        <f>Koond_kulud!K49</f>
        <v>Sõidukite ülalpidamise kulud</v>
      </c>
      <c r="L49">
        <f>Koond_kulud!L49</f>
        <v>55</v>
      </c>
      <c r="M49" t="str">
        <f>Koond_kulud!M49</f>
        <v>55</v>
      </c>
      <c r="N49" t="str">
        <f>Koond_kulud!N49</f>
        <v>Muud tegevuskulud</v>
      </c>
      <c r="O49" t="str">
        <f>Koond_kulud!O49</f>
        <v>Majandamiskulud</v>
      </c>
      <c r="P49" t="str">
        <f>Koond_kulud!P49</f>
        <v>Põhitegevuse kulu</v>
      </c>
      <c r="Q49">
        <f>Koond_kulud!Q49</f>
        <v>0</v>
      </c>
    </row>
    <row r="50" spans="1:17" hidden="1" x14ac:dyDescent="0.25">
      <c r="A50" t="str">
        <f>Koond_kulud!A50</f>
        <v>01</v>
      </c>
      <c r="B50" t="str">
        <f>Koond_kulud!B50</f>
        <v xml:space="preserve">01112           </v>
      </c>
      <c r="C50" t="str">
        <f>Koond_kulud!C50</f>
        <v xml:space="preserve"> Valla- ja linnavalitsus</v>
      </c>
      <c r="D50" t="str">
        <f>Koond_kulud!D50</f>
        <v>Valla- ja linnavalitsus</v>
      </c>
      <c r="E50" t="str">
        <f>Koond_kulud!E50</f>
        <v>Üldised valitsussektori teenused</v>
      </c>
      <c r="F50" t="str">
        <f>Koond_kulud!F50</f>
        <v>Kantselei</v>
      </c>
      <c r="G50" t="str">
        <f>Koond_kulud!G50</f>
        <v>Isikliku sõiduauto komp.</v>
      </c>
      <c r="H50">
        <f>Koond_kulud!H50</f>
        <v>704</v>
      </c>
      <c r="I50" t="str">
        <f>Koond_kulud!I50</f>
        <v>vallasekretär</v>
      </c>
      <c r="J50">
        <f>Koond_kulud!J50</f>
        <v>5513</v>
      </c>
      <c r="K50" t="str">
        <f>Koond_kulud!K50</f>
        <v>Sõidukite ülalpidamise kulud</v>
      </c>
      <c r="L50">
        <f>Koond_kulud!L50</f>
        <v>55</v>
      </c>
      <c r="M50" t="str">
        <f>Koond_kulud!M50</f>
        <v>55</v>
      </c>
      <c r="N50" t="str">
        <f>Koond_kulud!N50</f>
        <v>Muud tegevuskulud</v>
      </c>
      <c r="O50" t="str">
        <f>Koond_kulud!O50</f>
        <v>Majandamiskulud</v>
      </c>
      <c r="P50" t="str">
        <f>Koond_kulud!P50</f>
        <v>Põhitegevuse kulu</v>
      </c>
      <c r="Q50">
        <f>Koond_kulud!Q50</f>
        <v>0</v>
      </c>
    </row>
    <row r="51" spans="1:17" hidden="1" x14ac:dyDescent="0.25">
      <c r="A51" t="str">
        <f>Koond_kulud!A51</f>
        <v>01</v>
      </c>
      <c r="B51" t="str">
        <f>Koond_kulud!B51</f>
        <v xml:space="preserve">01112           </v>
      </c>
      <c r="C51" t="str">
        <f>Koond_kulud!C51</f>
        <v xml:space="preserve"> Valla- ja linnavalitsus</v>
      </c>
      <c r="D51" t="str">
        <f>Koond_kulud!D51</f>
        <v>Valla- ja linnavalitsus</v>
      </c>
      <c r="E51" t="str">
        <f>Koond_kulud!E51</f>
        <v>Üldised valitsussektori teenused</v>
      </c>
      <c r="F51" t="str">
        <f>Koond_kulud!F51</f>
        <v>Vallavanem</v>
      </c>
      <c r="G51" t="str">
        <f>Koond_kulud!G51</f>
        <v>Isikliku sõiduauto komp.</v>
      </c>
      <c r="H51">
        <f>Koond_kulud!H51</f>
        <v>1650</v>
      </c>
      <c r="I51" t="str">
        <f>Koond_kulud!I51</f>
        <v>abivallavanem</v>
      </c>
      <c r="J51">
        <f>Koond_kulud!J51</f>
        <v>5513</v>
      </c>
      <c r="K51" t="str">
        <f>Koond_kulud!K51</f>
        <v>Sõidukite ülalpidamise kulud</v>
      </c>
      <c r="L51">
        <f>Koond_kulud!L51</f>
        <v>55</v>
      </c>
      <c r="M51" t="str">
        <f>Koond_kulud!M51</f>
        <v>55</v>
      </c>
      <c r="N51" t="str">
        <f>Koond_kulud!N51</f>
        <v>Muud tegevuskulud</v>
      </c>
      <c r="O51" t="str">
        <f>Koond_kulud!O51</f>
        <v>Majandamiskulud</v>
      </c>
      <c r="P51" t="str">
        <f>Koond_kulud!P51</f>
        <v>Põhitegevuse kulu</v>
      </c>
      <c r="Q51">
        <f>Koond_kulud!Q51</f>
        <v>0</v>
      </c>
    </row>
    <row r="52" spans="1:17" hidden="1" x14ac:dyDescent="0.25">
      <c r="A52" t="str">
        <f>Koond_kulud!A52</f>
        <v>01</v>
      </c>
      <c r="B52" t="str">
        <f>Koond_kulud!B52</f>
        <v xml:space="preserve">01112           </v>
      </c>
      <c r="C52" t="str">
        <f>Koond_kulud!C52</f>
        <v xml:space="preserve"> Valla- ja linnavalitsus</v>
      </c>
      <c r="D52" t="str">
        <f>Koond_kulud!D52</f>
        <v>Valla- ja linnavalitsus</v>
      </c>
      <c r="E52" t="str">
        <f>Koond_kulud!E52</f>
        <v>Üldised valitsussektori teenused</v>
      </c>
      <c r="F52" t="str">
        <f>Koond_kulud!F52</f>
        <v>Vallavanem</v>
      </c>
      <c r="G52" t="str">
        <f>Koond_kulud!G52</f>
        <v>Vallavanema auto liising</v>
      </c>
      <c r="H52">
        <f>Koond_kulud!H52</f>
        <v>5227.2000000000007</v>
      </c>
      <c r="I52">
        <f>Koond_kulud!I52</f>
        <v>0</v>
      </c>
      <c r="J52">
        <f>Koond_kulud!J52</f>
        <v>5513</v>
      </c>
      <c r="K52" t="str">
        <f>Koond_kulud!K52</f>
        <v>Sõidukite ülalpidamise kulud</v>
      </c>
      <c r="L52">
        <f>Koond_kulud!L52</f>
        <v>55</v>
      </c>
      <c r="M52" t="str">
        <f>Koond_kulud!M52</f>
        <v>55</v>
      </c>
      <c r="N52" t="str">
        <f>Koond_kulud!N52</f>
        <v>Muud tegevuskulud</v>
      </c>
      <c r="O52" t="str">
        <f>Koond_kulud!O52</f>
        <v>Majandamiskulud</v>
      </c>
      <c r="P52" t="str">
        <f>Koond_kulud!P52</f>
        <v>Põhitegevuse kulu</v>
      </c>
      <c r="Q52">
        <f>Koond_kulud!Q52</f>
        <v>0</v>
      </c>
    </row>
    <row r="53" spans="1:17" hidden="1" x14ac:dyDescent="0.25">
      <c r="A53" t="str">
        <f>Koond_kulud!A53</f>
        <v>01</v>
      </c>
      <c r="B53" t="str">
        <f>Koond_kulud!B53</f>
        <v xml:space="preserve">01112           </v>
      </c>
      <c r="C53" t="str">
        <f>Koond_kulud!C53</f>
        <v xml:space="preserve"> Valla- ja linnavalitsus</v>
      </c>
      <c r="D53" t="str">
        <f>Koond_kulud!D53</f>
        <v>Valla- ja linnavalitsus</v>
      </c>
      <c r="E53" t="str">
        <f>Koond_kulud!E53</f>
        <v>Üldised valitsussektori teenused</v>
      </c>
      <c r="F53" t="str">
        <f>Koond_kulud!F53</f>
        <v>Vallavanem</v>
      </c>
      <c r="G53" t="str">
        <f>Koond_kulud!G53</f>
        <v>Vallavanema auto kindlustus</v>
      </c>
      <c r="H53">
        <f>Koond_kulud!H53</f>
        <v>650</v>
      </c>
      <c r="I53">
        <f>Koond_kulud!I53</f>
        <v>0</v>
      </c>
      <c r="J53">
        <f>Koond_kulud!J53</f>
        <v>5513</v>
      </c>
      <c r="K53" t="str">
        <f>Koond_kulud!K53</f>
        <v>Sõidukite ülalpidamise kulud</v>
      </c>
      <c r="L53">
        <f>Koond_kulud!L53</f>
        <v>55</v>
      </c>
      <c r="M53" t="str">
        <f>Koond_kulud!M53</f>
        <v>55</v>
      </c>
      <c r="N53" t="str">
        <f>Koond_kulud!N53</f>
        <v>Muud tegevuskulud</v>
      </c>
      <c r="O53" t="str">
        <f>Koond_kulud!O53</f>
        <v>Majandamiskulud</v>
      </c>
      <c r="P53" t="str">
        <f>Koond_kulud!P53</f>
        <v>Põhitegevuse kulu</v>
      </c>
      <c r="Q53">
        <f>Koond_kulud!Q53</f>
        <v>0</v>
      </c>
    </row>
    <row r="54" spans="1:17" hidden="1" x14ac:dyDescent="0.25">
      <c r="A54" t="str">
        <f>Koond_kulud!A54</f>
        <v>01</v>
      </c>
      <c r="B54" t="str">
        <f>Koond_kulud!B54</f>
        <v xml:space="preserve">01112           </v>
      </c>
      <c r="C54" t="str">
        <f>Koond_kulud!C54</f>
        <v xml:space="preserve"> Valla- ja linnavalitsus</v>
      </c>
      <c r="D54" t="str">
        <f>Koond_kulud!D54</f>
        <v>Valla- ja linnavalitsus</v>
      </c>
      <c r="E54" t="str">
        <f>Koond_kulud!E54</f>
        <v>Üldised valitsussektori teenused</v>
      </c>
      <c r="F54" t="str">
        <f>Koond_kulud!F54</f>
        <v>Vallavanem</v>
      </c>
      <c r="G54" t="str">
        <f>Koond_kulud!G54</f>
        <v>Vallavanema auto kütus</v>
      </c>
      <c r="H54">
        <f>Koond_kulud!H54</f>
        <v>4800</v>
      </c>
      <c r="I54">
        <f>Koond_kulud!I54</f>
        <v>0</v>
      </c>
      <c r="J54">
        <f>Koond_kulud!J54</f>
        <v>5513</v>
      </c>
      <c r="K54" t="str">
        <f>Koond_kulud!K54</f>
        <v>Sõidukite ülalpidamise kulud</v>
      </c>
      <c r="L54">
        <f>Koond_kulud!L54</f>
        <v>55</v>
      </c>
      <c r="M54" t="str">
        <f>Koond_kulud!M54</f>
        <v>55</v>
      </c>
      <c r="N54" t="str">
        <f>Koond_kulud!N54</f>
        <v>Muud tegevuskulud</v>
      </c>
      <c r="O54" t="str">
        <f>Koond_kulud!O54</f>
        <v>Majandamiskulud</v>
      </c>
      <c r="P54" t="str">
        <f>Koond_kulud!P54</f>
        <v>Põhitegevuse kulu</v>
      </c>
      <c r="Q54">
        <f>Koond_kulud!Q54</f>
        <v>0</v>
      </c>
    </row>
    <row r="55" spans="1:17" hidden="1" x14ac:dyDescent="0.25">
      <c r="A55" t="str">
        <f>Koond_kulud!A55</f>
        <v>01</v>
      </c>
      <c r="B55" t="str">
        <f>Koond_kulud!B55</f>
        <v xml:space="preserve">01112           </v>
      </c>
      <c r="C55" t="str">
        <f>Koond_kulud!C55</f>
        <v xml:space="preserve"> Valla- ja linnavalitsus</v>
      </c>
      <c r="D55" t="str">
        <f>Koond_kulud!D55</f>
        <v>Valla- ja linnavalitsus</v>
      </c>
      <c r="E55" t="str">
        <f>Koond_kulud!E55</f>
        <v>Üldised valitsussektori teenused</v>
      </c>
      <c r="F55" t="str">
        <f>Koond_kulud!F55</f>
        <v>Vallavanem</v>
      </c>
      <c r="G55" t="str">
        <f>Koond_kulud!G55</f>
        <v>Vallavanema auto remont ja hooldus</v>
      </c>
      <c r="H55">
        <f>Koond_kulud!H55</f>
        <v>1500</v>
      </c>
      <c r="I55">
        <f>Koond_kulud!I55</f>
        <v>0</v>
      </c>
      <c r="J55">
        <f>Koond_kulud!J55</f>
        <v>5513</v>
      </c>
      <c r="K55" t="str">
        <f>Koond_kulud!K55</f>
        <v>Sõidukite ülalpidamise kulud</v>
      </c>
      <c r="L55">
        <f>Koond_kulud!L55</f>
        <v>55</v>
      </c>
      <c r="M55" t="str">
        <f>Koond_kulud!M55</f>
        <v>55</v>
      </c>
      <c r="N55" t="str">
        <f>Koond_kulud!N55</f>
        <v>Muud tegevuskulud</v>
      </c>
      <c r="O55" t="str">
        <f>Koond_kulud!O55</f>
        <v>Majandamiskulud</v>
      </c>
      <c r="P55" t="str">
        <f>Koond_kulud!P55</f>
        <v>Põhitegevuse kulu</v>
      </c>
      <c r="Q55">
        <f>Koond_kulud!Q55</f>
        <v>0</v>
      </c>
    </row>
    <row r="56" spans="1:17" hidden="1" x14ac:dyDescent="0.25">
      <c r="A56" t="str">
        <f>Koond_kulud!A56</f>
        <v>01</v>
      </c>
      <c r="B56" t="str">
        <f>Koond_kulud!B56</f>
        <v xml:space="preserve">01112           </v>
      </c>
      <c r="C56" t="str">
        <f>Koond_kulud!C56</f>
        <v xml:space="preserve"> Valla- ja linnavalitsus</v>
      </c>
      <c r="D56" t="str">
        <f>Koond_kulud!D56</f>
        <v>Valla- ja linnavalitsus</v>
      </c>
      <c r="E56" t="str">
        <f>Koond_kulud!E56</f>
        <v>Üldised valitsussektori teenused</v>
      </c>
      <c r="F56" t="str">
        <f>Koond_kulud!F56</f>
        <v>Kantselei</v>
      </c>
      <c r="G56" t="str">
        <f>Koond_kulud!G56</f>
        <v>Amphora dokumendihaldustarkvara kuutasud</v>
      </c>
      <c r="H56">
        <f>Koond_kulud!H56</f>
        <v>4395.2</v>
      </c>
      <c r="I56" t="str">
        <f>Koond_kulud!I56</f>
        <v>kuutasu 280,02+km; 2020 hinnatõus 9%</v>
      </c>
      <c r="J56">
        <f>Koond_kulud!J56</f>
        <v>5514</v>
      </c>
      <c r="K56" t="str">
        <f>Koond_kulud!K56</f>
        <v>Info- ja kommunikatsioonitehnoliigised kulud</v>
      </c>
      <c r="L56">
        <f>Koond_kulud!L56</f>
        <v>55</v>
      </c>
      <c r="M56" t="str">
        <f>Koond_kulud!M56</f>
        <v>55</v>
      </c>
      <c r="N56" t="str">
        <f>Koond_kulud!N56</f>
        <v>Muud tegevuskulud</v>
      </c>
      <c r="O56" t="str">
        <f>Koond_kulud!O56</f>
        <v>Majandamiskulud</v>
      </c>
      <c r="P56" t="str">
        <f>Koond_kulud!P56</f>
        <v>Põhitegevuse kulu</v>
      </c>
      <c r="Q56">
        <f>Koond_kulud!Q56</f>
        <v>0</v>
      </c>
    </row>
    <row r="57" spans="1:17" hidden="1" x14ac:dyDescent="0.25">
      <c r="A57" t="str">
        <f>Koond_kulud!A57</f>
        <v>01</v>
      </c>
      <c r="B57" t="str">
        <f>Koond_kulud!B57</f>
        <v xml:space="preserve">01112           </v>
      </c>
      <c r="C57" t="str">
        <f>Koond_kulud!C57</f>
        <v xml:space="preserve"> Valla- ja linnavalitsus</v>
      </c>
      <c r="D57" t="str">
        <f>Koond_kulud!D57</f>
        <v>Valla- ja linnavalitsus</v>
      </c>
      <c r="E57" t="str">
        <f>Koond_kulud!E57</f>
        <v>Üldised valitsussektori teenused</v>
      </c>
      <c r="F57" t="str">
        <f>Koond_kulud!F57</f>
        <v>Kantselei</v>
      </c>
      <c r="G57" t="str">
        <f>Koond_kulud!G57</f>
        <v>Amphora arendamine</v>
      </c>
      <c r="H57">
        <f>Koond_kulud!H57</f>
        <v>1500</v>
      </c>
      <c r="I57">
        <f>Koond_kulud!I57</f>
        <v>0</v>
      </c>
      <c r="J57">
        <f>Koond_kulud!J57</f>
        <v>5514</v>
      </c>
      <c r="K57" t="str">
        <f>Koond_kulud!K57</f>
        <v>Info- ja kommunikatsioonitehnoliigised kulud</v>
      </c>
      <c r="L57">
        <f>Koond_kulud!L57</f>
        <v>55</v>
      </c>
      <c r="M57" t="str">
        <f>Koond_kulud!M57</f>
        <v>55</v>
      </c>
      <c r="N57" t="str">
        <f>Koond_kulud!N57</f>
        <v>Muud tegevuskulud</v>
      </c>
      <c r="O57" t="str">
        <f>Koond_kulud!O57</f>
        <v>Majandamiskulud</v>
      </c>
      <c r="P57" t="str">
        <f>Koond_kulud!P57</f>
        <v>Põhitegevuse kulu</v>
      </c>
      <c r="Q57">
        <f>Koond_kulud!Q57</f>
        <v>0</v>
      </c>
    </row>
    <row r="58" spans="1:17" hidden="1" x14ac:dyDescent="0.25">
      <c r="A58" t="str">
        <f>Koond_kulud!A58</f>
        <v>01</v>
      </c>
      <c r="B58" t="str">
        <f>Koond_kulud!B58</f>
        <v xml:space="preserve">01112           </v>
      </c>
      <c r="C58" t="str">
        <f>Koond_kulud!C58</f>
        <v xml:space="preserve"> Valla- ja linnavalitsus</v>
      </c>
      <c r="D58" t="str">
        <f>Koond_kulud!D58</f>
        <v>Valla- ja linnavalitsus</v>
      </c>
      <c r="E58" t="str">
        <f>Koond_kulud!E58</f>
        <v>Üldised valitsussektori teenused</v>
      </c>
      <c r="F58" t="str">
        <f>Koond_kulud!F58</f>
        <v>Vallavanem</v>
      </c>
      <c r="G58" t="str">
        <f>Koond_kulud!G58</f>
        <v>Kohvimasina rent</v>
      </c>
      <c r="H58">
        <f>Koond_kulud!H58</f>
        <v>660</v>
      </c>
      <c r="I58">
        <f>Koond_kulud!I58</f>
        <v>0</v>
      </c>
      <c r="J58">
        <f>Koond_kulud!J58</f>
        <v>5515</v>
      </c>
      <c r="K58" t="str">
        <f>Koond_kulud!K58</f>
        <v>Inventari kulud, v.a infotehnoloogia ja kaitseotstarbelised kulud</v>
      </c>
      <c r="L58">
        <f>Koond_kulud!L58</f>
        <v>55</v>
      </c>
      <c r="M58" t="str">
        <f>Koond_kulud!M58</f>
        <v>55</v>
      </c>
      <c r="N58" t="str">
        <f>Koond_kulud!N58</f>
        <v>Muud tegevuskulud</v>
      </c>
      <c r="O58" t="str">
        <f>Koond_kulud!O58</f>
        <v>Majandamiskulud</v>
      </c>
      <c r="P58" t="str">
        <f>Koond_kulud!P58</f>
        <v>Põhitegevuse kulu</v>
      </c>
      <c r="Q58">
        <f>Koond_kulud!Q58</f>
        <v>0</v>
      </c>
    </row>
    <row r="59" spans="1:17" hidden="1" x14ac:dyDescent="0.25">
      <c r="A59" t="str">
        <f>Koond_kulud!A59</f>
        <v>01</v>
      </c>
      <c r="B59" t="str">
        <f>Koond_kulud!B59</f>
        <v xml:space="preserve">01112           </v>
      </c>
      <c r="C59" t="str">
        <f>Koond_kulud!C59</f>
        <v xml:space="preserve"> Valla- ja linnavalitsus</v>
      </c>
      <c r="D59" t="str">
        <f>Koond_kulud!D59</f>
        <v>Valla- ja linnavalitsus</v>
      </c>
      <c r="E59" t="str">
        <f>Koond_kulud!E59</f>
        <v>Üldised valitsussektori teenused</v>
      </c>
      <c r="F59" t="str">
        <f>Koond_kulud!F59</f>
        <v>Vallavanem</v>
      </c>
      <c r="G59" t="str">
        <f>Koond_kulud!G59</f>
        <v>Muud inventari vajadused</v>
      </c>
      <c r="H59">
        <f>Koond_kulud!H59</f>
        <v>1500</v>
      </c>
      <c r="I59">
        <f>Koond_kulud!I59</f>
        <v>0</v>
      </c>
      <c r="J59">
        <f>Koond_kulud!J59</f>
        <v>5515</v>
      </c>
      <c r="K59" t="str">
        <f>Koond_kulud!K59</f>
        <v>Inventari kulud, v.a infotehnoloogia ja kaitseotstarbelised kulud</v>
      </c>
      <c r="L59">
        <f>Koond_kulud!L59</f>
        <v>55</v>
      </c>
      <c r="M59" t="str">
        <f>Koond_kulud!M59</f>
        <v>55</v>
      </c>
      <c r="N59" t="str">
        <f>Koond_kulud!N59</f>
        <v>Muud tegevuskulud</v>
      </c>
      <c r="O59" t="str">
        <f>Koond_kulud!O59</f>
        <v>Majandamiskulud</v>
      </c>
      <c r="P59" t="str">
        <f>Koond_kulud!P59</f>
        <v>Põhitegevuse kulu</v>
      </c>
      <c r="Q59">
        <f>Koond_kulud!Q59</f>
        <v>0</v>
      </c>
    </row>
    <row r="60" spans="1:17" hidden="1" x14ac:dyDescent="0.25">
      <c r="A60" t="str">
        <f>Koond_kulud!A60</f>
        <v>01</v>
      </c>
      <c r="B60" t="str">
        <f>Koond_kulud!B60</f>
        <v xml:space="preserve">01112           </v>
      </c>
      <c r="C60" t="str">
        <f>Koond_kulud!C60</f>
        <v xml:space="preserve"> Valla- ja linnavalitsus</v>
      </c>
      <c r="D60" t="str">
        <f>Koond_kulud!D60</f>
        <v>Valla- ja linnavalitsus</v>
      </c>
      <c r="E60" t="str">
        <f>Koond_kulud!E60</f>
        <v>Üldised valitsussektori teenused</v>
      </c>
      <c r="F60" t="str">
        <f>Koond_kulud!F60</f>
        <v>Kantselei</v>
      </c>
      <c r="G60" t="str">
        <f>Koond_kulud!G60</f>
        <v>Töötervishoiuarsti teenused, gripivaktsiin, esmaabi vahendid</v>
      </c>
      <c r="H60">
        <f>Koond_kulud!H60</f>
        <v>3500</v>
      </c>
      <c r="I60">
        <f>Koond_kulud!I60</f>
        <v>0</v>
      </c>
      <c r="J60">
        <f>Koond_kulud!J60</f>
        <v>5522</v>
      </c>
      <c r="K60" t="str">
        <f>Koond_kulud!K60</f>
        <v>Meditsiinikulud ja hügieenitarbed</v>
      </c>
      <c r="L60">
        <f>Koond_kulud!L60</f>
        <v>55</v>
      </c>
      <c r="M60" t="str">
        <f>Koond_kulud!M60</f>
        <v>55</v>
      </c>
      <c r="N60" t="str">
        <f>Koond_kulud!N60</f>
        <v>Muud tegevuskulud</v>
      </c>
      <c r="O60" t="str">
        <f>Koond_kulud!O60</f>
        <v>Majandamiskulud</v>
      </c>
      <c r="P60" t="str">
        <f>Koond_kulud!P60</f>
        <v>Põhitegevuse kulu</v>
      </c>
      <c r="Q60">
        <f>Koond_kulud!Q60</f>
        <v>0</v>
      </c>
    </row>
    <row r="61" spans="1:17" hidden="1" x14ac:dyDescent="0.25">
      <c r="A61" t="str">
        <f>Koond_kulud!A61</f>
        <v>01</v>
      </c>
      <c r="B61" t="str">
        <f>Koond_kulud!B61</f>
        <v xml:space="preserve">01112           </v>
      </c>
      <c r="C61" t="str">
        <f>Koond_kulud!C61</f>
        <v xml:space="preserve"> Valla- ja linnavalitsus</v>
      </c>
      <c r="D61" t="str">
        <f>Koond_kulud!D61</f>
        <v>Valla- ja linnavalitsus</v>
      </c>
      <c r="E61" t="str">
        <f>Koond_kulud!E61</f>
        <v>Üldised valitsussektori teenused</v>
      </c>
      <c r="F61" t="str">
        <f>Koond_kulud!F61</f>
        <v>Kantselei</v>
      </c>
      <c r="G61" t="str">
        <f>Koond_kulud!G61</f>
        <v>Prillide kompensatsioon</v>
      </c>
      <c r="H61">
        <f>Koond_kulud!H61</f>
        <v>1000</v>
      </c>
      <c r="I61" t="str">
        <f>Koond_kulud!I61</f>
        <v>10 in.</v>
      </c>
      <c r="J61">
        <f>Koond_kulud!J61</f>
        <v>5522</v>
      </c>
      <c r="K61" t="str">
        <f>Koond_kulud!K61</f>
        <v>Meditsiinikulud ja hügieenitarbed</v>
      </c>
      <c r="L61">
        <f>Koond_kulud!L61</f>
        <v>55</v>
      </c>
      <c r="M61" t="str">
        <f>Koond_kulud!M61</f>
        <v>55</v>
      </c>
      <c r="N61" t="str">
        <f>Koond_kulud!N61</f>
        <v>Muud tegevuskulud</v>
      </c>
      <c r="O61" t="str">
        <f>Koond_kulud!O61</f>
        <v>Majandamiskulud</v>
      </c>
      <c r="P61" t="str">
        <f>Koond_kulud!P61</f>
        <v>Põhitegevuse kulu</v>
      </c>
      <c r="Q61">
        <f>Koond_kulud!Q61</f>
        <v>0</v>
      </c>
    </row>
    <row r="62" spans="1:17" hidden="1" x14ac:dyDescent="0.25">
      <c r="A62" t="str">
        <f>Koond_kulud!A62</f>
        <v>01</v>
      </c>
      <c r="B62" t="str">
        <f>Koond_kulud!B62</f>
        <v xml:space="preserve">01112           </v>
      </c>
      <c r="C62" t="str">
        <f>Koond_kulud!C62</f>
        <v xml:space="preserve"> Valla- ja linnavalitsus</v>
      </c>
      <c r="D62" t="str">
        <f>Koond_kulud!D62</f>
        <v>Valla- ja linnavalitsus</v>
      </c>
      <c r="E62" t="str">
        <f>Koond_kulud!E62</f>
        <v>Üldised valitsussektori teenused</v>
      </c>
      <c r="F62" t="str">
        <f>Koond_kulud!F62</f>
        <v>Kantselei</v>
      </c>
      <c r="G62" t="str">
        <f>Koond_kulud!G62</f>
        <v>Raamatud (meene isa-ema, vanaema-vanaisa)</v>
      </c>
      <c r="H62">
        <f>Koond_kulud!H62</f>
        <v>200</v>
      </c>
      <c r="I62">
        <f>Koond_kulud!I62</f>
        <v>0</v>
      </c>
      <c r="J62">
        <f>Koond_kulud!J62</f>
        <v>5523</v>
      </c>
      <c r="K62" t="str">
        <f>Koond_kulud!K62</f>
        <v>Teavikud ja kunstiesemed</v>
      </c>
      <c r="L62">
        <f>Koond_kulud!L62</f>
        <v>55</v>
      </c>
      <c r="M62" t="str">
        <f>Koond_kulud!M62</f>
        <v>55</v>
      </c>
      <c r="N62" t="str">
        <f>Koond_kulud!N62</f>
        <v>Muud tegevuskulud</v>
      </c>
      <c r="O62" t="str">
        <f>Koond_kulud!O62</f>
        <v>Majandamiskulud</v>
      </c>
      <c r="P62" t="str">
        <f>Koond_kulud!P62</f>
        <v>Põhitegevuse kulu</v>
      </c>
      <c r="Q62">
        <f>Koond_kulud!Q62</f>
        <v>0</v>
      </c>
    </row>
    <row r="63" spans="1:17" hidden="1" x14ac:dyDescent="0.25">
      <c r="A63" t="str">
        <f>Koond_kulud!A63</f>
        <v>01</v>
      </c>
      <c r="B63" t="str">
        <f>Koond_kulud!B63</f>
        <v xml:space="preserve">01112           </v>
      </c>
      <c r="C63" t="str">
        <f>Koond_kulud!C63</f>
        <v xml:space="preserve"> Valla- ja linnavalitsus</v>
      </c>
      <c r="D63" t="str">
        <f>Koond_kulud!D63</f>
        <v>Valla- ja linnavalitsus</v>
      </c>
      <c r="E63" t="str">
        <f>Koond_kulud!E63</f>
        <v>Üldised valitsussektori teenused</v>
      </c>
      <c r="F63" t="str">
        <f>Koond_kulud!F63</f>
        <v>Kantselei</v>
      </c>
      <c r="G63" t="str">
        <f>Koond_kulud!G63</f>
        <v>Kalade ülalpidamine</v>
      </c>
      <c r="H63">
        <f>Koond_kulud!H63</f>
        <v>300</v>
      </c>
      <c r="I63">
        <f>Koond_kulud!I63</f>
        <v>0</v>
      </c>
      <c r="J63">
        <f>Koond_kulud!J63</f>
        <v>5500</v>
      </c>
      <c r="K63" t="str">
        <f>Koond_kulud!K63</f>
        <v>Administreerimiskulud</v>
      </c>
      <c r="L63">
        <f>Koond_kulud!L63</f>
        <v>55</v>
      </c>
      <c r="M63" t="str">
        <f>Koond_kulud!M63</f>
        <v>55</v>
      </c>
      <c r="N63" t="str">
        <f>Koond_kulud!N63</f>
        <v>Muud tegevuskulud</v>
      </c>
      <c r="O63" t="str">
        <f>Koond_kulud!O63</f>
        <v>Majandamiskulud</v>
      </c>
      <c r="P63" t="str">
        <f>Koond_kulud!P63</f>
        <v>Põhitegevuse kulu</v>
      </c>
      <c r="Q63">
        <f>Koond_kulud!Q63</f>
        <v>0</v>
      </c>
    </row>
    <row r="64" spans="1:17" hidden="1" x14ac:dyDescent="0.25">
      <c r="A64" t="str">
        <f>Koond_kulud!A64</f>
        <v>01</v>
      </c>
      <c r="B64" t="str">
        <f>Koond_kulud!B64</f>
        <v xml:space="preserve">01112           </v>
      </c>
      <c r="C64" t="str">
        <f>Koond_kulud!C64</f>
        <v xml:space="preserve"> Valla- ja linnavalitsus</v>
      </c>
      <c r="D64" t="str">
        <f>Koond_kulud!D64</f>
        <v>Valla- ja linnavalitsus</v>
      </c>
      <c r="E64" t="str">
        <f>Koond_kulud!E64</f>
        <v>Üldised valitsussektori teenused</v>
      </c>
      <c r="F64" t="str">
        <f>Koond_kulud!F64</f>
        <v>Kantselei</v>
      </c>
      <c r="G64" t="str">
        <f>Koond_kulud!G64</f>
        <v>Spordikulude hüvitamine</v>
      </c>
      <c r="H64">
        <f>Koond_kulud!H64</f>
        <v>11200</v>
      </c>
      <c r="I64" t="str">
        <f>Koond_kulud!I64</f>
        <v>28 in x 400€</v>
      </c>
      <c r="J64">
        <f>Koond_kulud!J64</f>
        <v>5540</v>
      </c>
      <c r="K64" t="str">
        <f>Koond_kulud!K64</f>
        <v>Mitmesugused majanduskulud</v>
      </c>
      <c r="L64">
        <f>Koond_kulud!L64</f>
        <v>55</v>
      </c>
      <c r="M64" t="str">
        <f>Koond_kulud!M64</f>
        <v>55</v>
      </c>
      <c r="N64" t="str">
        <f>Koond_kulud!N64</f>
        <v>Muud tegevuskulud</v>
      </c>
      <c r="O64" t="str">
        <f>Koond_kulud!O64</f>
        <v>Majandamiskulud</v>
      </c>
      <c r="P64" t="str">
        <f>Koond_kulud!P64</f>
        <v>Põhitegevuse kulu</v>
      </c>
      <c r="Q64">
        <f>Koond_kulud!Q64</f>
        <v>0</v>
      </c>
    </row>
    <row r="65" spans="1:17" hidden="1" x14ac:dyDescent="0.25">
      <c r="A65" t="str">
        <f>Koond_kulud!A69</f>
        <v>01</v>
      </c>
      <c r="B65" t="str">
        <f>Koond_kulud!B69</f>
        <v xml:space="preserve">01112           </v>
      </c>
      <c r="C65" t="str">
        <f>Koond_kulud!C69</f>
        <v xml:space="preserve"> Valla- ja linnavalitsus</v>
      </c>
      <c r="D65" t="str">
        <f>Koond_kulud!D69</f>
        <v>Valla- ja linnavalitsus</v>
      </c>
      <c r="E65" t="str">
        <f>Koond_kulud!E69</f>
        <v>Üldised valitsussektori teenused</v>
      </c>
      <c r="F65" t="str">
        <f>Koond_kulud!F69</f>
        <v>Arendusnõunik</v>
      </c>
      <c r="G65" t="str">
        <f>Koond_kulud!G69</f>
        <v>Valla üldplaneeringu koostamine</v>
      </c>
      <c r="H65">
        <f>Koond_kulud!H69</f>
        <v>54000</v>
      </c>
      <c r="I65">
        <f>Koond_kulud!I69</f>
        <v>0</v>
      </c>
      <c r="J65">
        <f>Koond_kulud!J69</f>
        <v>5502</v>
      </c>
      <c r="K65" t="str">
        <f>Koond_kulud!K69</f>
        <v>Uurimis- ja arendustööd</v>
      </c>
      <c r="L65">
        <f>Koond_kulud!L69</f>
        <v>55</v>
      </c>
      <c r="M65" t="str">
        <f>Koond_kulud!M69</f>
        <v>55</v>
      </c>
      <c r="N65" t="str">
        <f>Koond_kulud!N69</f>
        <v>Muud tegevuskulud</v>
      </c>
      <c r="O65" t="str">
        <f>Koond_kulud!O69</f>
        <v>Majandamiskulud</v>
      </c>
      <c r="P65" t="str">
        <f>Koond_kulud!P69</f>
        <v>Põhitegevuse kulu</v>
      </c>
      <c r="Q65">
        <f>Koond_kulud!Q69</f>
        <v>0</v>
      </c>
    </row>
    <row r="66" spans="1:17" hidden="1" x14ac:dyDescent="0.25">
      <c r="A66" t="str">
        <f>Koond_kulud!A72</f>
        <v>01</v>
      </c>
      <c r="B66" t="str">
        <f>Koond_kulud!B72</f>
        <v xml:space="preserve">01112           </v>
      </c>
      <c r="C66" t="str">
        <f>Koond_kulud!C72</f>
        <v xml:space="preserve"> Valla- ja linnavalitsus</v>
      </c>
      <c r="D66" t="str">
        <f>Koond_kulud!D72</f>
        <v>Valla- ja linnavalitsus</v>
      </c>
      <c r="E66" t="str">
        <f>Koond_kulud!E72</f>
        <v>Üldised valitsussektori teenused</v>
      </c>
      <c r="F66" t="str">
        <f>Koond_kulud!F72</f>
        <v>Kantselei</v>
      </c>
      <c r="G66" t="str">
        <f>Koond_kulud!G72</f>
        <v>Fliisid jms</v>
      </c>
      <c r="H66">
        <f>Koond_kulud!H72</f>
        <v>1500</v>
      </c>
      <c r="I66">
        <f>Koond_kulud!I72</f>
        <v>0</v>
      </c>
      <c r="J66">
        <f>Koond_kulud!J72</f>
        <v>5532</v>
      </c>
      <c r="K66" t="str">
        <f>Koond_kulud!K72</f>
        <v>Eri- ja vormiriietus</v>
      </c>
      <c r="L66">
        <f>Koond_kulud!L72</f>
        <v>55</v>
      </c>
      <c r="M66" t="str">
        <f>Koond_kulud!M72</f>
        <v>55</v>
      </c>
      <c r="N66" t="str">
        <f>Koond_kulud!N72</f>
        <v>Muud tegevuskulud</v>
      </c>
      <c r="O66" t="str">
        <f>Koond_kulud!O72</f>
        <v>Majandamiskulud</v>
      </c>
      <c r="P66" t="str">
        <f>Koond_kulud!P72</f>
        <v>Põhitegevuse kulu</v>
      </c>
      <c r="Q66">
        <f>Koond_kulud!Q72</f>
        <v>0</v>
      </c>
    </row>
    <row r="67" spans="1:17" hidden="1" x14ac:dyDescent="0.25">
      <c r="A67" t="str">
        <f>Koond_kulud!A73</f>
        <v>01</v>
      </c>
      <c r="B67" t="str">
        <f>Koond_kulud!B73</f>
        <v xml:space="preserve">01112           </v>
      </c>
      <c r="C67" t="str">
        <f>Koond_kulud!C73</f>
        <v xml:space="preserve"> Valla- ja linnavalitsus</v>
      </c>
      <c r="D67" t="str">
        <f>Koond_kulud!D73</f>
        <v>Valla- ja linnavalitsus</v>
      </c>
      <c r="E67" t="str">
        <f>Koond_kulud!E73</f>
        <v>Üldised valitsussektori teenused</v>
      </c>
      <c r="F67" t="str">
        <f>Koond_kulud!F73</f>
        <v>Finantsosakond</v>
      </c>
      <c r="G67" t="str">
        <f>Koond_kulud!G73</f>
        <v>Eelarve rakenduse Veera Liitumis- ja juurutusprotsess</v>
      </c>
      <c r="H67">
        <f>Koond_kulud!H73</f>
        <v>4188</v>
      </c>
      <c r="I67">
        <f>Koond_kulud!I73</f>
        <v>0</v>
      </c>
      <c r="J67">
        <f>Koond_kulud!J73</f>
        <v>5514</v>
      </c>
      <c r="K67" t="str">
        <f>Koond_kulud!K73</f>
        <v>Info- ja kommunikatsioonitehnoliigised kulud</v>
      </c>
      <c r="L67">
        <f>Koond_kulud!L73</f>
        <v>55</v>
      </c>
      <c r="M67" t="str">
        <f>Koond_kulud!M73</f>
        <v>55</v>
      </c>
      <c r="N67" t="str">
        <f>Koond_kulud!N73</f>
        <v>Muud tegevuskulud</v>
      </c>
      <c r="O67" t="str">
        <f>Koond_kulud!O73</f>
        <v>Majandamiskulud</v>
      </c>
      <c r="P67" t="str">
        <f>Koond_kulud!P73</f>
        <v>Põhitegevuse kulu</v>
      </c>
      <c r="Q67">
        <f>Koond_kulud!Q73</f>
        <v>0</v>
      </c>
    </row>
    <row r="68" spans="1:17" hidden="1" x14ac:dyDescent="0.25">
      <c r="A68" t="str">
        <f>Koond_kulud!A74</f>
        <v>01</v>
      </c>
      <c r="B68" t="str">
        <f>Koond_kulud!B74</f>
        <v xml:space="preserve">01112           </v>
      </c>
      <c r="C68" t="str">
        <f>Koond_kulud!C74</f>
        <v xml:space="preserve"> Valla- ja linnavalitsus</v>
      </c>
      <c r="D68" t="str">
        <f>Koond_kulud!D74</f>
        <v>Valla- ja linnavalitsus</v>
      </c>
      <c r="E68" t="str">
        <f>Koond_kulud!E74</f>
        <v>Üldised valitsussektori teenused</v>
      </c>
      <c r="F68" t="str">
        <f>Koond_kulud!F74</f>
        <v>Finantsosakond</v>
      </c>
      <c r="G68" t="str">
        <f>Koond_kulud!G74</f>
        <v>Eelarve rakenduse Veera kuutasu</v>
      </c>
      <c r="H68">
        <f>Koond_kulud!H74</f>
        <v>3732</v>
      </c>
      <c r="I68">
        <f>Koond_kulud!I74</f>
        <v>0</v>
      </c>
      <c r="J68">
        <f>Koond_kulud!J74</f>
        <v>5514</v>
      </c>
      <c r="K68" t="str">
        <f>Koond_kulud!K74</f>
        <v>Info- ja kommunikatsioonitehnoliigised kulud</v>
      </c>
      <c r="L68">
        <f>Koond_kulud!L74</f>
        <v>55</v>
      </c>
      <c r="M68" t="str">
        <f>Koond_kulud!M74</f>
        <v>55</v>
      </c>
      <c r="N68" t="str">
        <f>Koond_kulud!N74</f>
        <v>Muud tegevuskulud</v>
      </c>
      <c r="O68" t="str">
        <f>Koond_kulud!O74</f>
        <v>Majandamiskulud</v>
      </c>
      <c r="P68" t="str">
        <f>Koond_kulud!P74</f>
        <v>Põhitegevuse kulu</v>
      </c>
      <c r="Q68">
        <f>Koond_kulud!Q74</f>
        <v>0</v>
      </c>
    </row>
    <row r="69" spans="1:17" hidden="1" x14ac:dyDescent="0.25">
      <c r="A69" t="str">
        <f>Koond_kulud!A75</f>
        <v>01</v>
      </c>
      <c r="B69" t="str">
        <f>Koond_kulud!B75</f>
        <v xml:space="preserve">01112           </v>
      </c>
      <c r="C69" t="str">
        <f>Koond_kulud!C75</f>
        <v xml:space="preserve"> Valla- ja linnavalitsus</v>
      </c>
      <c r="D69" t="str">
        <f>Koond_kulud!D75</f>
        <v>Valla- ja linnavalitsus</v>
      </c>
      <c r="E69" t="str">
        <f>Koond_kulud!E75</f>
        <v>Üldised valitsussektori teenused</v>
      </c>
      <c r="F69" t="str">
        <f>Koond_kulud!F75</f>
        <v>Vallavanem</v>
      </c>
      <c r="G69" t="str">
        <f>Koond_kulud!G75</f>
        <v>Muud ettenägematud kulud</v>
      </c>
      <c r="H69">
        <f>Koond_kulud!H75</f>
        <v>35000</v>
      </c>
      <c r="I69" t="str">
        <f>Koond_kulud!I75</f>
        <v>Rauno</v>
      </c>
      <c r="J69">
        <f>Koond_kulud!J75</f>
        <v>5540</v>
      </c>
      <c r="K69" t="str">
        <f>Koond_kulud!K75</f>
        <v>Mitmesugused majanduskulud</v>
      </c>
      <c r="L69">
        <f>Koond_kulud!L75</f>
        <v>55</v>
      </c>
      <c r="M69" t="str">
        <f>Koond_kulud!M75</f>
        <v>55</v>
      </c>
      <c r="N69" t="str">
        <f>Koond_kulud!N75</f>
        <v>Muud tegevuskulud</v>
      </c>
      <c r="O69" t="str">
        <f>Koond_kulud!O75</f>
        <v>Majandamiskulud</v>
      </c>
      <c r="P69" t="str">
        <f>Koond_kulud!P75</f>
        <v>Põhitegevuse kulu</v>
      </c>
      <c r="Q69">
        <f>Koond_kulud!Q75</f>
        <v>0</v>
      </c>
    </row>
    <row r="70" spans="1:17" hidden="1" x14ac:dyDescent="0.25">
      <c r="A70" t="str">
        <f>Koond_kulud!A76</f>
        <v>01</v>
      </c>
      <c r="B70" t="str">
        <f>Koond_kulud!B76</f>
        <v xml:space="preserve">01114           </v>
      </c>
      <c r="C70" t="str">
        <f>Koond_kulud!C76</f>
        <v xml:space="preserve"> Kohaliku omavalitsuse üksuse reservfond</v>
      </c>
      <c r="D70" t="str">
        <f>Koond_kulud!D76</f>
        <v>Kohaliku omavalitsuse üksuse reservfond</v>
      </c>
      <c r="E70" t="str">
        <f>Koond_kulud!E76</f>
        <v>Üldised valitsussektori teenused</v>
      </c>
      <c r="F70" t="str">
        <f>Koond_kulud!F76</f>
        <v>Vallavalitsus</v>
      </c>
      <c r="G70" t="str">
        <f>Koond_kulud!G76</f>
        <v>Reservfond</v>
      </c>
      <c r="H70">
        <f>Koond_kulud!H76</f>
        <v>59235.382709999998</v>
      </c>
      <c r="I70" t="str">
        <f>Koond_kulud!I76</f>
        <v>Põhitegevustuludest 1%</v>
      </c>
      <c r="J70">
        <f>Koond_kulud!J76</f>
        <v>608</v>
      </c>
      <c r="K70" t="str">
        <f>Koond_kulud!K76</f>
        <v>Muud tegevuskulud</v>
      </c>
      <c r="L70">
        <f>Koond_kulud!L76</f>
        <v>60</v>
      </c>
      <c r="M70" t="str">
        <f>Koond_kulud!M76</f>
        <v>60</v>
      </c>
      <c r="N70" t="str">
        <f>Koond_kulud!N76</f>
        <v>Muud tegevuskulud</v>
      </c>
      <c r="O70" t="str">
        <f>Koond_kulud!O76</f>
        <v>Muud kulud</v>
      </c>
      <c r="P70" t="str">
        <f>Koond_kulud!P76</f>
        <v>Põhitegevuse kulu</v>
      </c>
      <c r="Q70">
        <f>Koond_kulud!Q76</f>
        <v>0</v>
      </c>
    </row>
    <row r="71" spans="1:17" hidden="1" x14ac:dyDescent="0.25">
      <c r="A71" t="str">
        <f>Koond_kulud!A83</f>
        <v>01</v>
      </c>
      <c r="B71" t="str">
        <f>Koond_kulud!B83</f>
        <v xml:space="preserve">01800           </v>
      </c>
      <c r="C71" t="str">
        <f>Koond_kulud!C83</f>
        <v xml:space="preserve"> Üldiseloomuga ülekanded valitsussektoris</v>
      </c>
      <c r="D71" t="str">
        <f>Koond_kulud!D83</f>
        <v>Üldiseloomuga ülekanded valitsussektoris</v>
      </c>
      <c r="E71" t="str">
        <f>Koond_kulud!E83</f>
        <v>Üldised valitsussektori teenused</v>
      </c>
      <c r="F71" t="str">
        <f>Koond_kulud!F83</f>
        <v>Vallavalitsus</v>
      </c>
      <c r="G71" t="str">
        <f>Koond_kulud!G83</f>
        <v>Eesti Linnade ja Valdade Liidu 2020.a. liikmemaks</v>
      </c>
      <c r="H71">
        <f>Koond_kulud!H83</f>
        <v>5828</v>
      </c>
      <c r="I71">
        <f>Koond_kulud!I83</f>
        <v>0</v>
      </c>
      <c r="J71">
        <f>Koond_kulud!J83</f>
        <v>4528</v>
      </c>
      <c r="K71" t="str">
        <f>Koond_kulud!K83</f>
        <v>Liikmemaksud</v>
      </c>
      <c r="L71">
        <f>Koond_kulud!L83</f>
        <v>452</v>
      </c>
      <c r="M71" t="str">
        <f>Koond_kulud!M83</f>
        <v>45</v>
      </c>
      <c r="N71" t="str">
        <f>Koond_kulud!N83</f>
        <v>Antavad toetused tegevuskuludeks</v>
      </c>
      <c r="O71" t="str">
        <f>Koond_kulud!O83</f>
        <v>Mittesihtotstarbelised toetused</v>
      </c>
      <c r="P71" t="str">
        <f>Koond_kulud!P83</f>
        <v>Põhitegevuse kulu</v>
      </c>
      <c r="Q71">
        <f>Koond_kulud!Q83</f>
        <v>0</v>
      </c>
    </row>
    <row r="72" spans="1:17" hidden="1" x14ac:dyDescent="0.25">
      <c r="A72" t="str">
        <f>Koond_kulud!A84</f>
        <v>01</v>
      </c>
      <c r="B72" t="str">
        <f>Koond_kulud!B84</f>
        <v xml:space="preserve">01800           </v>
      </c>
      <c r="C72" t="str">
        <f>Koond_kulud!C84</f>
        <v xml:space="preserve"> Üldiseloomuga ülekanded valitsussektoris</v>
      </c>
      <c r="D72" t="str">
        <f>Koond_kulud!D84</f>
        <v>Üldiseloomuga ülekanded valitsussektoris</v>
      </c>
      <c r="E72" t="str">
        <f>Koond_kulud!E84</f>
        <v>Üldised valitsussektori teenused</v>
      </c>
      <c r="F72" t="str">
        <f>Koond_kulud!F84</f>
        <v>Teede- ja ühistranspordinõunik</v>
      </c>
      <c r="G72" t="str">
        <f>Koond_kulud!G84</f>
        <v>Liikmemaks Põhja- Eesti Ühistranspordikeskus MTÜ-le</v>
      </c>
      <c r="H72">
        <f>Koond_kulud!H84</f>
        <v>4474</v>
      </c>
      <c r="I72">
        <f>Koond_kulud!I84</f>
        <v>0</v>
      </c>
      <c r="J72">
        <f>Koond_kulud!J84</f>
        <v>4528</v>
      </c>
      <c r="K72" t="str">
        <f>Koond_kulud!K84</f>
        <v>Liikmemaksud</v>
      </c>
      <c r="L72">
        <f>Koond_kulud!L84</f>
        <v>452</v>
      </c>
      <c r="M72" t="str">
        <f>Koond_kulud!M84</f>
        <v>45</v>
      </c>
      <c r="N72" t="str">
        <f>Koond_kulud!N84</f>
        <v>Antavad toetused tegevuskuludeks</v>
      </c>
      <c r="O72" t="str">
        <f>Koond_kulud!O84</f>
        <v>Mittesihtotstarbelised toetused</v>
      </c>
      <c r="P72" t="str">
        <f>Koond_kulud!P84</f>
        <v>Põhitegevuse kulu</v>
      </c>
      <c r="Q72">
        <f>Koond_kulud!Q84</f>
        <v>0</v>
      </c>
    </row>
    <row r="73" spans="1:17" hidden="1" x14ac:dyDescent="0.25">
      <c r="A73" t="str">
        <f>Koond_kulud!A85</f>
        <v>01</v>
      </c>
      <c r="B73" t="str">
        <f>Koond_kulud!B85</f>
        <v xml:space="preserve">01800           </v>
      </c>
      <c r="C73" t="str">
        <f>Koond_kulud!C85</f>
        <v xml:space="preserve"> Üldiseloomuga ülekanded valitsussektoris</v>
      </c>
      <c r="D73" t="str">
        <f>Koond_kulud!D85</f>
        <v>Üldiseloomuga ülekanded valitsussektoris</v>
      </c>
      <c r="E73" t="str">
        <f>Koond_kulud!E85</f>
        <v>Üldised valitsussektori teenused</v>
      </c>
      <c r="F73" t="str">
        <f>Koond_kulud!F85</f>
        <v>Vallavalitsus</v>
      </c>
      <c r="G73" t="str">
        <f>Koond_kulud!G85</f>
        <v>Paik MTÜ liikmemaks</v>
      </c>
      <c r="H73">
        <f>Koond_kulud!H85</f>
        <v>1500</v>
      </c>
      <c r="I73">
        <f>Koond_kulud!I85</f>
        <v>0</v>
      </c>
      <c r="J73">
        <f>Koond_kulud!J85</f>
        <v>4528</v>
      </c>
      <c r="K73" t="str">
        <f>Koond_kulud!K85</f>
        <v>Liikmemaksud</v>
      </c>
      <c r="L73">
        <f>Koond_kulud!L85</f>
        <v>452</v>
      </c>
      <c r="M73" t="str">
        <f>Koond_kulud!M85</f>
        <v>45</v>
      </c>
      <c r="N73" t="str">
        <f>Koond_kulud!N85</f>
        <v>Antavad toetused tegevuskuludeks</v>
      </c>
      <c r="O73" t="str">
        <f>Koond_kulud!O85</f>
        <v>Mittesihtotstarbelised toetused</v>
      </c>
      <c r="P73" t="str">
        <f>Koond_kulud!P85</f>
        <v>Põhitegevuse kulu</v>
      </c>
      <c r="Q73">
        <f>Koond_kulud!Q85</f>
        <v>0</v>
      </c>
    </row>
    <row r="74" spans="1:17" hidden="1" x14ac:dyDescent="0.25">
      <c r="A74" t="str">
        <f>Koond_kulud!A86</f>
        <v>01</v>
      </c>
      <c r="B74" t="str">
        <f>Koond_kulud!B86</f>
        <v xml:space="preserve">01800           </v>
      </c>
      <c r="C74" t="str">
        <f>Koond_kulud!C86</f>
        <v xml:space="preserve"> Üldiseloomuga ülekanded valitsussektoris</v>
      </c>
      <c r="D74" t="str">
        <f>Koond_kulud!D86</f>
        <v>Üldiseloomuga ülekanded valitsussektoris</v>
      </c>
      <c r="E74" t="str">
        <f>Koond_kulud!E86</f>
        <v>Üldised valitsussektori teenused</v>
      </c>
      <c r="F74" t="str">
        <f>Koond_kulud!F86</f>
        <v>Vallavalitsus</v>
      </c>
      <c r="G74" t="str">
        <f>Koond_kulud!G86</f>
        <v>Virumaa Koostöökogu MTÜ liikmemaks</v>
      </c>
      <c r="H74">
        <f>Koond_kulud!H86</f>
        <v>432</v>
      </c>
      <c r="I74" t="str">
        <f>Koond_kulud!I86</f>
        <v>2019.a +2%</v>
      </c>
      <c r="J74">
        <f>Koond_kulud!J86</f>
        <v>4528</v>
      </c>
      <c r="K74" t="str">
        <f>Koond_kulud!K86</f>
        <v>Liikmemaksud</v>
      </c>
      <c r="L74">
        <f>Koond_kulud!L86</f>
        <v>452</v>
      </c>
      <c r="M74" t="str">
        <f>Koond_kulud!M86</f>
        <v>45</v>
      </c>
      <c r="N74" t="str">
        <f>Koond_kulud!N86</f>
        <v>Antavad toetused tegevuskuludeks</v>
      </c>
      <c r="O74" t="str">
        <f>Koond_kulud!O86</f>
        <v>Mittesihtotstarbelised toetused</v>
      </c>
      <c r="P74" t="str">
        <f>Koond_kulud!P86</f>
        <v>Põhitegevuse kulu</v>
      </c>
      <c r="Q74">
        <f>Koond_kulud!Q86</f>
        <v>0</v>
      </c>
    </row>
    <row r="75" spans="1:17" hidden="1" x14ac:dyDescent="0.25">
      <c r="A75" t="str">
        <f>Koond_kulud!A87</f>
        <v>01</v>
      </c>
      <c r="B75" t="str">
        <f>Koond_kulud!B87</f>
        <v xml:space="preserve">01800           </v>
      </c>
      <c r="C75" t="str">
        <f>Koond_kulud!C87</f>
        <v xml:space="preserve"> Üldiseloomuga ülekanded valitsussektoris</v>
      </c>
      <c r="D75" t="str">
        <f>Koond_kulud!D87</f>
        <v>Üldiseloomuga ülekanded valitsussektoris</v>
      </c>
      <c r="E75" t="str">
        <f>Koond_kulud!E87</f>
        <v>Üldised valitsussektori teenused</v>
      </c>
      <c r="F75" t="str">
        <f>Koond_kulud!F87</f>
        <v>Vallavalitsus</v>
      </c>
      <c r="G75" t="str">
        <f>Koond_kulud!G87</f>
        <v>VIROL omaosalus projektis "Piirkondlike algatuste tugiprogramm 2020-2023"</v>
      </c>
      <c r="H75">
        <f>Koond_kulud!H87</f>
        <v>2066</v>
      </c>
      <c r="I75" t="str">
        <f>Koond_kulud!I87</f>
        <v>2020-2023 kogumaksumus 8264€</v>
      </c>
      <c r="J75">
        <f>Koond_kulud!J87</f>
        <v>4528</v>
      </c>
      <c r="K75" t="str">
        <f>Koond_kulud!K87</f>
        <v>Liikmemaksud</v>
      </c>
      <c r="L75">
        <f>Koond_kulud!L87</f>
        <v>452</v>
      </c>
      <c r="M75" t="str">
        <f>Koond_kulud!M87</f>
        <v>45</v>
      </c>
      <c r="N75" t="str">
        <f>Koond_kulud!N87</f>
        <v>Antavad toetused tegevuskuludeks</v>
      </c>
      <c r="O75" t="str">
        <f>Koond_kulud!O87</f>
        <v>Mittesihtotstarbelised toetused</v>
      </c>
      <c r="P75" t="str">
        <f>Koond_kulud!P87</f>
        <v>Põhitegevuse kulu</v>
      </c>
      <c r="Q75">
        <f>Koond_kulud!Q87</f>
        <v>0</v>
      </c>
    </row>
    <row r="76" spans="1:17" hidden="1" x14ac:dyDescent="0.25">
      <c r="A76" t="str">
        <f>Koond_kulud!A88</f>
        <v>01</v>
      </c>
      <c r="B76" t="str">
        <f>Koond_kulud!B88</f>
        <v xml:space="preserve">01800           </v>
      </c>
      <c r="C76" t="str">
        <f>Koond_kulud!C88</f>
        <v xml:space="preserve"> Üldiseloomuga ülekanded valitsussektoris</v>
      </c>
      <c r="D76" t="str">
        <f>Koond_kulud!D88</f>
        <v>Üldiseloomuga ülekanded valitsussektoris</v>
      </c>
      <c r="E76" t="str">
        <f>Koond_kulud!E88</f>
        <v>Üldised valitsussektori teenused</v>
      </c>
      <c r="F76" t="str">
        <f>Koond_kulud!F88</f>
        <v>Vallavalitsus</v>
      </c>
      <c r="G76" t="str">
        <f>Koond_kulud!G88</f>
        <v>VIROL liikmemaks 2020</v>
      </c>
      <c r="H76">
        <f>Koond_kulud!H88</f>
        <v>14248</v>
      </c>
      <c r="I76">
        <f>Koond_kulud!I88</f>
        <v>0</v>
      </c>
      <c r="J76">
        <f>Koond_kulud!J88</f>
        <v>4528</v>
      </c>
      <c r="K76" t="str">
        <f>Koond_kulud!K88</f>
        <v>Liikmemaksud</v>
      </c>
      <c r="L76">
        <f>Koond_kulud!L88</f>
        <v>452</v>
      </c>
      <c r="M76" t="str">
        <f>Koond_kulud!M88</f>
        <v>45</v>
      </c>
      <c r="N76" t="str">
        <f>Koond_kulud!N88</f>
        <v>Antavad toetused tegevuskuludeks</v>
      </c>
      <c r="O76" t="str">
        <f>Koond_kulud!O88</f>
        <v>Mittesihtotstarbelised toetused</v>
      </c>
      <c r="P76" t="str">
        <f>Koond_kulud!P88</f>
        <v>Põhitegevuse kulu</v>
      </c>
      <c r="Q76">
        <f>Koond_kulud!Q88</f>
        <v>0</v>
      </c>
    </row>
    <row r="77" spans="1:17" hidden="1" x14ac:dyDescent="0.25">
      <c r="A77" t="str">
        <f>Koond_kulud!A89</f>
        <v>02</v>
      </c>
      <c r="B77" t="str">
        <f>Koond_kulud!B89</f>
        <v xml:space="preserve">02500           </v>
      </c>
      <c r="C77" t="str">
        <f>Koond_kulud!C89</f>
        <v xml:space="preserve"> Muu riigikaitse</v>
      </c>
      <c r="D77" t="str">
        <f>Koond_kulud!D89</f>
        <v>Muu riigikaitse</v>
      </c>
      <c r="E77" t="str">
        <f>Koond_kulud!E89</f>
        <v>Riigikaitse</v>
      </c>
      <c r="F77" t="str">
        <f>Koond_kulud!F89</f>
        <v>Vallavalitsus</v>
      </c>
      <c r="G77" t="str">
        <f>Koond_kulud!G89</f>
        <v>Noorkotkad</v>
      </c>
      <c r="H77">
        <f>Koond_kulud!H89</f>
        <v>1000</v>
      </c>
      <c r="I77">
        <f>Koond_kulud!I89</f>
        <v>0</v>
      </c>
      <c r="J77">
        <f>Koond_kulud!J89</f>
        <v>5525</v>
      </c>
      <c r="K77" t="str">
        <f>Koond_kulud!K89</f>
        <v>Kommunikatsiooni-, kultuuri- ja vaba aja sisustamise kulud</v>
      </c>
      <c r="L77">
        <f>Koond_kulud!L89</f>
        <v>55</v>
      </c>
      <c r="M77" t="str">
        <f>Koond_kulud!M89</f>
        <v>55</v>
      </c>
      <c r="N77" t="str">
        <f>Koond_kulud!N89</f>
        <v>Muud tegevuskulud</v>
      </c>
      <c r="O77" t="str">
        <f>Koond_kulud!O89</f>
        <v>Majandamiskulud</v>
      </c>
      <c r="P77" t="str">
        <f>Koond_kulud!P89</f>
        <v>Põhitegevuse kulu</v>
      </c>
      <c r="Q77">
        <f>Koond_kulud!Q89</f>
        <v>0</v>
      </c>
    </row>
    <row r="78" spans="1:17" hidden="1" x14ac:dyDescent="0.25">
      <c r="A78" t="str">
        <f>Koond_kulud!A90</f>
        <v>03</v>
      </c>
      <c r="B78" t="str">
        <f>Koond_kulud!B90</f>
        <v xml:space="preserve">03200           </v>
      </c>
      <c r="C78" t="str">
        <f>Koond_kulud!C90</f>
        <v xml:space="preserve"> Päästeteenused</v>
      </c>
      <c r="D78" t="str">
        <f>Koond_kulud!D90</f>
        <v>Päästeteenused</v>
      </c>
      <c r="E78" t="str">
        <f>Koond_kulud!E90</f>
        <v>Avalik kord ja julgeolek</v>
      </c>
      <c r="F78" t="str">
        <f>Koond_kulud!F90</f>
        <v>Vallavanem</v>
      </c>
      <c r="G78" t="str">
        <f>Koond_kulud!G90</f>
        <v>Roela Tuletõrjeselts MTÜ toetus</v>
      </c>
      <c r="H78">
        <f>Koond_kulud!H90</f>
        <v>15250</v>
      </c>
      <c r="I78">
        <f>Koond_kulud!I90</f>
        <v>0</v>
      </c>
      <c r="J78">
        <f>Koond_kulud!J90</f>
        <v>45008</v>
      </c>
      <c r="K78" t="str">
        <f>Koond_kulud!K90</f>
        <v>Sihtotstarbelised eraldised muudele residentidele</v>
      </c>
      <c r="L78">
        <f>Koond_kulud!L90</f>
        <v>4500</v>
      </c>
      <c r="M78" t="str">
        <f>Koond_kulud!M90</f>
        <v>45</v>
      </c>
      <c r="N78" t="str">
        <f>Koond_kulud!N90</f>
        <v>Antavad toetused tegevuskuludeks</v>
      </c>
      <c r="O78" t="str">
        <f>Koond_kulud!O90</f>
        <v>Sihtotstarbelised toetused tegevuskuludeks</v>
      </c>
      <c r="P78" t="str">
        <f>Koond_kulud!P90</f>
        <v>Põhitegevuse kulu</v>
      </c>
      <c r="Q78">
        <f>Koond_kulud!Q90</f>
        <v>0</v>
      </c>
    </row>
    <row r="79" spans="1:17" hidden="1" x14ac:dyDescent="0.25">
      <c r="A79" t="str">
        <f>Koond_kulud!A91</f>
        <v>03</v>
      </c>
      <c r="B79" t="str">
        <f>Koond_kulud!B91</f>
        <v xml:space="preserve">03200           </v>
      </c>
      <c r="C79" t="str">
        <f>Koond_kulud!C91</f>
        <v xml:space="preserve"> Päästeteenused</v>
      </c>
      <c r="D79" t="str">
        <f>Koond_kulud!D91</f>
        <v>Päästeteenused</v>
      </c>
      <c r="E79" t="str">
        <f>Koond_kulud!E91</f>
        <v>Avalik kord ja julgeolek</v>
      </c>
      <c r="F79" t="str">
        <f>Koond_kulud!F91</f>
        <v>Noorsoo- ja spordinõunik</v>
      </c>
      <c r="G79" t="str">
        <f>Koond_kulud!G91</f>
        <v>Elekter</v>
      </c>
      <c r="H79">
        <f>Koond_kulud!H91</f>
        <v>900</v>
      </c>
      <c r="I79">
        <f>Koond_kulud!I91</f>
        <v>0</v>
      </c>
      <c r="J79">
        <f>Koond_kulud!J91</f>
        <v>5511</v>
      </c>
      <c r="K79" t="str">
        <f>Koond_kulud!K91</f>
        <v>Kinnistute, hoonete ja ruumide majandamiskulud</v>
      </c>
      <c r="L79">
        <f>Koond_kulud!L91</f>
        <v>55</v>
      </c>
      <c r="M79" t="str">
        <f>Koond_kulud!M91</f>
        <v>55</v>
      </c>
      <c r="N79" t="str">
        <f>Koond_kulud!N91</f>
        <v>Muud tegevuskulud</v>
      </c>
      <c r="O79" t="str">
        <f>Koond_kulud!O91</f>
        <v>Majandamiskulud</v>
      </c>
      <c r="P79" t="str">
        <f>Koond_kulud!P91</f>
        <v>Põhitegevuse kulu</v>
      </c>
      <c r="Q79">
        <f>Koond_kulud!Q91</f>
        <v>0</v>
      </c>
    </row>
    <row r="80" spans="1:17" hidden="1" x14ac:dyDescent="0.25">
      <c r="A80" t="str">
        <f>Koond_kulud!A92</f>
        <v>03</v>
      </c>
      <c r="B80" t="str">
        <f>Koond_kulud!B92</f>
        <v xml:space="preserve">03200           </v>
      </c>
      <c r="C80" t="str">
        <f>Koond_kulud!C92</f>
        <v xml:space="preserve"> Päästeteenused</v>
      </c>
      <c r="D80" t="str">
        <f>Koond_kulud!D92</f>
        <v>Päästeteenused</v>
      </c>
      <c r="E80" t="str">
        <f>Koond_kulud!E92</f>
        <v>Avalik kord ja julgeolek</v>
      </c>
      <c r="F80" t="str">
        <f>Koond_kulud!F92</f>
        <v>Noorsoo- ja spordinõunik</v>
      </c>
      <c r="G80" t="str">
        <f>Koond_kulud!G92</f>
        <v>Sõidukite remont, hooldus jms</v>
      </c>
      <c r="H80">
        <f>Koond_kulud!H92</f>
        <v>700</v>
      </c>
      <c r="I80">
        <f>Koond_kulud!I92</f>
        <v>0</v>
      </c>
      <c r="J80">
        <f>Koond_kulud!J92</f>
        <v>5513</v>
      </c>
      <c r="K80" t="str">
        <f>Koond_kulud!K92</f>
        <v>Sõidukite ülalpidamise kulud</v>
      </c>
      <c r="L80">
        <f>Koond_kulud!L92</f>
        <v>55</v>
      </c>
      <c r="M80" t="str">
        <f>Koond_kulud!M92</f>
        <v>55</v>
      </c>
      <c r="N80" t="str">
        <f>Koond_kulud!N92</f>
        <v>Muud tegevuskulud</v>
      </c>
      <c r="O80" t="str">
        <f>Koond_kulud!O92</f>
        <v>Majandamiskulud</v>
      </c>
      <c r="P80" t="str">
        <f>Koond_kulud!P92</f>
        <v>Põhitegevuse kulu</v>
      </c>
      <c r="Q80">
        <f>Koond_kulud!Q92</f>
        <v>0</v>
      </c>
    </row>
    <row r="81" spans="1:17" hidden="1" x14ac:dyDescent="0.25">
      <c r="A81" t="str">
        <f>Koond_kulud!A93</f>
        <v>04</v>
      </c>
      <c r="B81" t="str">
        <f>Koond_kulud!B93</f>
        <v xml:space="preserve">04510           </v>
      </c>
      <c r="C81" t="str">
        <f>Koond_kulud!C93</f>
        <v>Maanteetransport</v>
      </c>
      <c r="D81" t="str">
        <f>Koond_kulud!D93</f>
        <v>Maanteetransport</v>
      </c>
      <c r="E81" t="str">
        <f>Koond_kulud!E93</f>
        <v>Majandus</v>
      </c>
      <c r="F81" t="str">
        <f>Koond_kulud!F93</f>
        <v>Teede- ja ühistranspordinõunik</v>
      </c>
      <c r="G81" t="str">
        <f>Koond_kulud!G93</f>
        <v>Teede korrashoiu kulud</v>
      </c>
      <c r="H81">
        <f>Koond_kulud!H93</f>
        <v>486305</v>
      </c>
      <c r="I81" t="str">
        <f>Koond_kulud!I93</f>
        <v>Toetusfond</v>
      </c>
      <c r="J81">
        <f>Koond_kulud!J93</f>
        <v>5512</v>
      </c>
      <c r="K81" t="str">
        <f>Koond_kulud!K93</f>
        <v>Rajatiste majandamiskulud</v>
      </c>
      <c r="L81">
        <f>Koond_kulud!L93</f>
        <v>55</v>
      </c>
      <c r="M81" t="str">
        <f>Koond_kulud!M93</f>
        <v>55</v>
      </c>
      <c r="N81" t="str">
        <f>Koond_kulud!N93</f>
        <v>Muud tegevuskulud</v>
      </c>
      <c r="O81" t="str">
        <f>Koond_kulud!O93</f>
        <v>Majandamiskulud</v>
      </c>
      <c r="P81" t="str">
        <f>Koond_kulud!P93</f>
        <v>Põhitegevuse kulu</v>
      </c>
      <c r="Q81">
        <f>Koond_kulud!Q93</f>
        <v>0</v>
      </c>
    </row>
    <row r="82" spans="1:17" hidden="1" x14ac:dyDescent="0.25">
      <c r="A82" t="str">
        <f>Koond_kulud!A96</f>
        <v>04</v>
      </c>
      <c r="B82" t="str">
        <f>Koond_kulud!B96</f>
        <v xml:space="preserve">04510           </v>
      </c>
      <c r="C82" t="str">
        <f>Koond_kulud!C96</f>
        <v>Maanteetransport</v>
      </c>
      <c r="D82" t="str">
        <f>Koond_kulud!D96</f>
        <v>Maanteetransport</v>
      </c>
      <c r="E82" t="str">
        <f>Koond_kulud!E96</f>
        <v>Majandus</v>
      </c>
      <c r="F82" t="str">
        <f>Koond_kulud!F96</f>
        <v>Teede- ja ühistranspordinõunik</v>
      </c>
      <c r="G82" t="str">
        <f>Koond_kulud!G96</f>
        <v>Uute musta katte lõikude rajamine</v>
      </c>
      <c r="H82">
        <f>Koond_kulud!H96</f>
        <v>0</v>
      </c>
      <c r="I82" t="str">
        <f>Koond_kulud!I96</f>
        <v>Kruusakattaga teedele uute tolmuvabade lõikude rajamine</v>
      </c>
      <c r="J82">
        <f>Koond_kulud!J96</f>
        <v>5512</v>
      </c>
      <c r="K82" t="str">
        <f>Koond_kulud!K96</f>
        <v>Rajatiste majandamiskulud</v>
      </c>
      <c r="L82">
        <f>Koond_kulud!L96</f>
        <v>55</v>
      </c>
      <c r="M82" t="str">
        <f>Koond_kulud!M96</f>
        <v>55</v>
      </c>
      <c r="N82" t="str">
        <f>Koond_kulud!N96</f>
        <v>Muud tegevuskulud</v>
      </c>
      <c r="O82" t="str">
        <f>Koond_kulud!O96</f>
        <v>Majandamiskulud</v>
      </c>
      <c r="P82" t="str">
        <f>Koond_kulud!P96</f>
        <v>Põhitegevuse kulu</v>
      </c>
      <c r="Q82">
        <f>Koond_kulud!Q96</f>
        <v>0</v>
      </c>
    </row>
    <row r="83" spans="1:17" hidden="1" x14ac:dyDescent="0.25">
      <c r="A83" t="str">
        <f>Koond_kulud!A97</f>
        <v>04</v>
      </c>
      <c r="B83" t="str">
        <f>Koond_kulud!B97</f>
        <v xml:space="preserve">04600           </v>
      </c>
      <c r="C83" t="str">
        <f>Koond_kulud!C97</f>
        <v xml:space="preserve"> Side</v>
      </c>
      <c r="D83" t="str">
        <f>Koond_kulud!D97</f>
        <v>Side</v>
      </c>
      <c r="E83" t="str">
        <f>Koond_kulud!E97</f>
        <v>Majandus</v>
      </c>
      <c r="F83" t="str">
        <f>Koond_kulud!F97</f>
        <v>IT spetsialist</v>
      </c>
      <c r="G83" t="str">
        <f>Koond_kulud!G97</f>
        <v xml:space="preserve"> X-tee turvaserveri v6  majutus</v>
      </c>
      <c r="H83">
        <f>Koond_kulud!H97</f>
        <v>835.19999999999993</v>
      </c>
      <c r="I83" t="str">
        <f>Koond_kulud!I97</f>
        <v>AS Andmevara</v>
      </c>
      <c r="J83">
        <f>Koond_kulud!J97</f>
        <v>5514</v>
      </c>
      <c r="K83" t="str">
        <f>Koond_kulud!K97</f>
        <v>Info- ja kommunikatsioonitehnoliigised kulud</v>
      </c>
      <c r="L83">
        <f>Koond_kulud!L97</f>
        <v>55</v>
      </c>
      <c r="M83" t="str">
        <f>Koond_kulud!M97</f>
        <v>55</v>
      </c>
      <c r="N83" t="str">
        <f>Koond_kulud!N97</f>
        <v>Muud tegevuskulud</v>
      </c>
      <c r="O83" t="str">
        <f>Koond_kulud!O97</f>
        <v>Majandamiskulud</v>
      </c>
      <c r="P83" t="str">
        <f>Koond_kulud!P97</f>
        <v>Põhitegevuse kulu</v>
      </c>
      <c r="Q83">
        <f>Koond_kulud!Q97</f>
        <v>0</v>
      </c>
    </row>
    <row r="84" spans="1:17" hidden="1" x14ac:dyDescent="0.25">
      <c r="A84" t="str">
        <f>Koond_kulud!A98</f>
        <v>04</v>
      </c>
      <c r="B84" t="str">
        <f>Koond_kulud!B98</f>
        <v xml:space="preserve">04600           </v>
      </c>
      <c r="C84" t="str">
        <f>Koond_kulud!C98</f>
        <v xml:space="preserve"> Side</v>
      </c>
      <c r="D84" t="str">
        <f>Koond_kulud!D98</f>
        <v>Side</v>
      </c>
      <c r="E84" t="str">
        <f>Koond_kulud!E98</f>
        <v>Majandus</v>
      </c>
      <c r="F84" t="str">
        <f>Koond_kulud!F98</f>
        <v>IT spetsialist</v>
      </c>
      <c r="G84" t="str">
        <f>Koond_kulud!G98</f>
        <v>Kohaliku omavalitsuse teenusportaali kasutamine</v>
      </c>
      <c r="H84">
        <f>Koond_kulud!H98</f>
        <v>1210.8000000000002</v>
      </c>
      <c r="I84" t="str">
        <f>Koond_kulud!I98</f>
        <v>AS Andmevara</v>
      </c>
      <c r="J84">
        <f>Koond_kulud!J98</f>
        <v>5514</v>
      </c>
      <c r="K84" t="str">
        <f>Koond_kulud!K98</f>
        <v>Info- ja kommunikatsioonitehnoliigised kulud</v>
      </c>
      <c r="L84">
        <f>Koond_kulud!L98</f>
        <v>55</v>
      </c>
      <c r="M84" t="str">
        <f>Koond_kulud!M98</f>
        <v>55</v>
      </c>
      <c r="N84" t="str">
        <f>Koond_kulud!N98</f>
        <v>Muud tegevuskulud</v>
      </c>
      <c r="O84" t="str">
        <f>Koond_kulud!O98</f>
        <v>Majandamiskulud</v>
      </c>
      <c r="P84" t="str">
        <f>Koond_kulud!P98</f>
        <v>Põhitegevuse kulu</v>
      </c>
      <c r="Q84">
        <f>Koond_kulud!Q98</f>
        <v>0</v>
      </c>
    </row>
    <row r="85" spans="1:17" hidden="1" x14ac:dyDescent="0.25">
      <c r="A85" t="str">
        <f>Koond_kulud!A99</f>
        <v>04</v>
      </c>
      <c r="B85" t="str">
        <f>Koond_kulud!B99</f>
        <v xml:space="preserve">04600           </v>
      </c>
      <c r="C85" t="str">
        <f>Koond_kulud!C99</f>
        <v xml:space="preserve"> Side</v>
      </c>
      <c r="D85" t="str">
        <f>Koond_kulud!D99</f>
        <v>Side</v>
      </c>
      <c r="E85" t="str">
        <f>Koond_kulud!E99</f>
        <v>Majandus</v>
      </c>
      <c r="F85" t="str">
        <f>Koond_kulud!F99</f>
        <v>IT spetsialist</v>
      </c>
      <c r="G85" t="str">
        <f>Koond_kulud!G99</f>
        <v>Kodulehe majutus ja e-post</v>
      </c>
      <c r="H85">
        <f>Koond_kulud!H99</f>
        <v>4800</v>
      </c>
      <c r="I85" t="str">
        <f>Koond_kulud!I99</f>
        <v>Telia (e-post)</v>
      </c>
      <c r="J85">
        <f>Koond_kulud!J99</f>
        <v>5514</v>
      </c>
      <c r="K85" t="str">
        <f>Koond_kulud!K99</f>
        <v>Info- ja kommunikatsioonitehnoliigised kulud</v>
      </c>
      <c r="L85">
        <f>Koond_kulud!L99</f>
        <v>55</v>
      </c>
      <c r="M85" t="str">
        <f>Koond_kulud!M99</f>
        <v>55</v>
      </c>
      <c r="N85" t="str">
        <f>Koond_kulud!N99</f>
        <v>Muud tegevuskulud</v>
      </c>
      <c r="O85" t="str">
        <f>Koond_kulud!O99</f>
        <v>Majandamiskulud</v>
      </c>
      <c r="P85" t="str">
        <f>Koond_kulud!P99</f>
        <v>Põhitegevuse kulu</v>
      </c>
      <c r="Q85">
        <f>Koond_kulud!Q99</f>
        <v>0</v>
      </c>
    </row>
    <row r="86" spans="1:17" hidden="1" x14ac:dyDescent="0.25">
      <c r="A86" t="str">
        <f>Koond_kulud!A100</f>
        <v>04</v>
      </c>
      <c r="B86" t="str">
        <f>Koond_kulud!B100</f>
        <v xml:space="preserve">04600           </v>
      </c>
      <c r="C86" t="str">
        <f>Koond_kulud!C100</f>
        <v xml:space="preserve"> Side</v>
      </c>
      <c r="D86" t="str">
        <f>Koond_kulud!D100</f>
        <v>Side</v>
      </c>
      <c r="E86" t="str">
        <f>Koond_kulud!E100</f>
        <v>Majandus</v>
      </c>
      <c r="F86" t="str">
        <f>Koond_kulud!F100</f>
        <v>IT spetsialist</v>
      </c>
      <c r="G86" t="str">
        <f>Koond_kulud!G100</f>
        <v>korrashoiuvahendid</v>
      </c>
      <c r="H86">
        <f>Koond_kulud!H100</f>
        <v>100</v>
      </c>
      <c r="I86">
        <f>Koond_kulud!I100</f>
        <v>0</v>
      </c>
      <c r="J86">
        <f>Koond_kulud!J100</f>
        <v>5511</v>
      </c>
      <c r="K86" t="str">
        <f>Koond_kulud!K100</f>
        <v>Kinnistute, hoonete ja ruumide majandamiskulud</v>
      </c>
      <c r="L86">
        <f>Koond_kulud!L100</f>
        <v>55</v>
      </c>
      <c r="M86" t="str">
        <f>Koond_kulud!M100</f>
        <v>55</v>
      </c>
      <c r="N86" t="str">
        <f>Koond_kulud!N100</f>
        <v>Muud tegevuskulud</v>
      </c>
      <c r="O86" t="str">
        <f>Koond_kulud!O100</f>
        <v>Majandamiskulud</v>
      </c>
      <c r="P86" t="str">
        <f>Koond_kulud!P100</f>
        <v>Põhitegevuse kulu</v>
      </c>
      <c r="Q86">
        <f>Koond_kulud!Q100</f>
        <v>0</v>
      </c>
    </row>
    <row r="87" spans="1:17" hidden="1" x14ac:dyDescent="0.25">
      <c r="A87" t="str">
        <f>Koond_kulud!A101</f>
        <v>04</v>
      </c>
      <c r="B87" t="str">
        <f>Koond_kulud!B101</f>
        <v xml:space="preserve">04600           </v>
      </c>
      <c r="C87" t="str">
        <f>Koond_kulud!C101</f>
        <v xml:space="preserve"> Side</v>
      </c>
      <c r="D87" t="str">
        <f>Koond_kulud!D101</f>
        <v>Side</v>
      </c>
      <c r="E87" t="str">
        <f>Koond_kulud!E101</f>
        <v>Majandus</v>
      </c>
      <c r="F87" t="str">
        <f>Koond_kulud!F101</f>
        <v>IT spetsialist</v>
      </c>
      <c r="G87" t="str">
        <f>Koond_kulud!G101</f>
        <v>Sideteenused</v>
      </c>
      <c r="H87">
        <f>Koond_kulud!H101</f>
        <v>240</v>
      </c>
      <c r="I87">
        <f>Koond_kulud!I101</f>
        <v>0</v>
      </c>
      <c r="J87">
        <f>Koond_kulud!J101</f>
        <v>5500</v>
      </c>
      <c r="K87" t="str">
        <f>Koond_kulud!K101</f>
        <v>Administreerimiskulud</v>
      </c>
      <c r="L87">
        <f>Koond_kulud!L101</f>
        <v>55</v>
      </c>
      <c r="M87" t="str">
        <f>Koond_kulud!M101</f>
        <v>55</v>
      </c>
      <c r="N87" t="str">
        <f>Koond_kulud!N101</f>
        <v>Muud tegevuskulud</v>
      </c>
      <c r="O87" t="str">
        <f>Koond_kulud!O101</f>
        <v>Majandamiskulud</v>
      </c>
      <c r="P87" t="str">
        <f>Koond_kulud!P101</f>
        <v>Põhitegevuse kulu</v>
      </c>
      <c r="Q87">
        <f>Koond_kulud!Q101</f>
        <v>0</v>
      </c>
    </row>
    <row r="88" spans="1:17" hidden="1" x14ac:dyDescent="0.25">
      <c r="A88" t="str">
        <f>Koond_kulud!A102</f>
        <v>04</v>
      </c>
      <c r="B88" t="str">
        <f>Koond_kulud!B102</f>
        <v xml:space="preserve">04600           </v>
      </c>
      <c r="C88" t="str">
        <f>Koond_kulud!C102</f>
        <v xml:space="preserve"> Side</v>
      </c>
      <c r="D88" t="str">
        <f>Koond_kulud!D102</f>
        <v>Side</v>
      </c>
      <c r="E88" t="str">
        <f>Koond_kulud!E102</f>
        <v>Majandus</v>
      </c>
      <c r="F88" t="str">
        <f>Koond_kulud!F102</f>
        <v>IT spetsialist</v>
      </c>
      <c r="G88" t="str">
        <f>Koond_kulud!G102</f>
        <v>Koolitused</v>
      </c>
      <c r="H88">
        <f>Koond_kulud!H102</f>
        <v>592.64</v>
      </c>
      <c r="I88">
        <f>Koond_kulud!I102</f>
        <v>0</v>
      </c>
      <c r="J88">
        <f>Koond_kulud!J102</f>
        <v>5504</v>
      </c>
      <c r="K88" t="str">
        <f>Koond_kulud!K102</f>
        <v>Koolituskulud</v>
      </c>
      <c r="L88">
        <f>Koond_kulud!L102</f>
        <v>55</v>
      </c>
      <c r="M88" t="str">
        <f>Koond_kulud!M102</f>
        <v>55</v>
      </c>
      <c r="N88" t="str">
        <f>Koond_kulud!N102</f>
        <v>Muud tegevuskulud</v>
      </c>
      <c r="O88" t="str">
        <f>Koond_kulud!O102</f>
        <v>Majandamiskulud</v>
      </c>
      <c r="P88" t="str">
        <f>Koond_kulud!P102</f>
        <v>Põhitegevuse kulu</v>
      </c>
      <c r="Q88">
        <f>Koond_kulud!Q102</f>
        <v>0</v>
      </c>
    </row>
    <row r="89" spans="1:17" hidden="1" x14ac:dyDescent="0.25">
      <c r="A89" t="str">
        <f>Koond_kulud!A103</f>
        <v>04</v>
      </c>
      <c r="B89" t="str">
        <f>Koond_kulud!B103</f>
        <v xml:space="preserve">04600           </v>
      </c>
      <c r="C89" t="str">
        <f>Koond_kulud!C103</f>
        <v xml:space="preserve"> Side</v>
      </c>
      <c r="D89" t="str">
        <f>Koond_kulud!D103</f>
        <v>Side</v>
      </c>
      <c r="E89" t="str">
        <f>Koond_kulud!E103</f>
        <v>Majandus</v>
      </c>
      <c r="F89" t="str">
        <f>Koond_kulud!F103</f>
        <v>IT spetsialist</v>
      </c>
      <c r="G89" t="str">
        <f>Koond_kulud!G103</f>
        <v>Isikliku sõiduauto komp.</v>
      </c>
      <c r="H89">
        <f>Koond_kulud!H103</f>
        <v>3685</v>
      </c>
      <c r="I89">
        <f>Koond_kulud!I103</f>
        <v>0</v>
      </c>
      <c r="J89">
        <f>Koond_kulud!J103</f>
        <v>5513</v>
      </c>
      <c r="K89" t="str">
        <f>Koond_kulud!K103</f>
        <v>Sõidukite ülalpidamise kulud</v>
      </c>
      <c r="L89">
        <f>Koond_kulud!L103</f>
        <v>55</v>
      </c>
      <c r="M89" t="str">
        <f>Koond_kulud!M103</f>
        <v>55</v>
      </c>
      <c r="N89" t="str">
        <f>Koond_kulud!N103</f>
        <v>Muud tegevuskulud</v>
      </c>
      <c r="O89" t="str">
        <f>Koond_kulud!O103</f>
        <v>Majandamiskulud</v>
      </c>
      <c r="P89" t="str">
        <f>Koond_kulud!P103</f>
        <v>Põhitegevuse kulu</v>
      </c>
      <c r="Q89">
        <f>Koond_kulud!Q103</f>
        <v>0</v>
      </c>
    </row>
    <row r="90" spans="1:17" hidden="1" x14ac:dyDescent="0.25">
      <c r="A90" t="str">
        <f>Koond_kulud!A104</f>
        <v>04</v>
      </c>
      <c r="B90" t="str">
        <f>Koond_kulud!B104</f>
        <v xml:space="preserve">04600           </v>
      </c>
      <c r="C90" t="str">
        <f>Koond_kulud!C104</f>
        <v xml:space="preserve"> Side</v>
      </c>
      <c r="D90" t="str">
        <f>Koond_kulud!D104</f>
        <v>Side</v>
      </c>
      <c r="E90" t="str">
        <f>Koond_kulud!E104</f>
        <v>Majandus</v>
      </c>
      <c r="F90" t="str">
        <f>Koond_kulud!F104</f>
        <v>IT spetsialist</v>
      </c>
      <c r="G90" t="str">
        <f>Koond_kulud!G104</f>
        <v>Valvekaamerate vahetus</v>
      </c>
      <c r="H90">
        <f>Koond_kulud!H104</f>
        <v>5000</v>
      </c>
      <c r="I90">
        <f>Koond_kulud!I104</f>
        <v>0</v>
      </c>
      <c r="J90">
        <f>Koond_kulud!J104</f>
        <v>5515</v>
      </c>
      <c r="K90" t="str">
        <f>Koond_kulud!K104</f>
        <v>Inventari kulud, v.a infotehnoloogia ja kaitseotstarbelised kulud</v>
      </c>
      <c r="L90">
        <f>Koond_kulud!L104</f>
        <v>55</v>
      </c>
      <c r="M90" t="str">
        <f>Koond_kulud!M104</f>
        <v>55</v>
      </c>
      <c r="N90" t="str">
        <f>Koond_kulud!N104</f>
        <v>Muud tegevuskulud</v>
      </c>
      <c r="O90" t="str">
        <f>Koond_kulud!O104</f>
        <v>Majandamiskulud</v>
      </c>
      <c r="P90" t="str">
        <f>Koond_kulud!P104</f>
        <v>Põhitegevuse kulu</v>
      </c>
      <c r="Q90">
        <f>Koond_kulud!Q104</f>
        <v>0</v>
      </c>
    </row>
    <row r="91" spans="1:17" hidden="1" x14ac:dyDescent="0.25">
      <c r="A91" t="str">
        <f>Koond_kulud!A105</f>
        <v>04</v>
      </c>
      <c r="B91" t="str">
        <f>Koond_kulud!B105</f>
        <v xml:space="preserve">04600           </v>
      </c>
      <c r="C91" t="str">
        <f>Koond_kulud!C105</f>
        <v xml:space="preserve"> Side</v>
      </c>
      <c r="D91" t="str">
        <f>Koond_kulud!D105</f>
        <v>Side</v>
      </c>
      <c r="E91" t="str">
        <f>Koond_kulud!E105</f>
        <v>Majandus</v>
      </c>
      <c r="F91" t="str">
        <f>Koond_kulud!F105</f>
        <v>IT spetsialist</v>
      </c>
      <c r="G91" t="str">
        <f>Koond_kulud!G105</f>
        <v>7 arvutit</v>
      </c>
      <c r="H91">
        <f>Koond_kulud!H105</f>
        <v>5000</v>
      </c>
      <c r="I91">
        <f>Koond_kulud!I105</f>
        <v>0</v>
      </c>
      <c r="J91">
        <f>Koond_kulud!J105</f>
        <v>5514</v>
      </c>
      <c r="K91" t="str">
        <f>Koond_kulud!K105</f>
        <v>Info- ja kommunikatsioonitehnoliigised kulud</v>
      </c>
      <c r="L91">
        <f>Koond_kulud!L105</f>
        <v>55</v>
      </c>
      <c r="M91" t="str">
        <f>Koond_kulud!M105</f>
        <v>55</v>
      </c>
      <c r="N91" t="str">
        <f>Koond_kulud!N105</f>
        <v>Muud tegevuskulud</v>
      </c>
      <c r="O91" t="str">
        <f>Koond_kulud!O105</f>
        <v>Majandamiskulud</v>
      </c>
      <c r="P91" t="str">
        <f>Koond_kulud!P105</f>
        <v>Põhitegevuse kulu</v>
      </c>
      <c r="Q91">
        <f>Koond_kulud!Q105</f>
        <v>0</v>
      </c>
    </row>
    <row r="92" spans="1:17" hidden="1" x14ac:dyDescent="0.25">
      <c r="A92" t="str">
        <f>Koond_kulud!A106</f>
        <v>04</v>
      </c>
      <c r="B92" t="str">
        <f>Koond_kulud!B106</f>
        <v xml:space="preserve">04600           </v>
      </c>
      <c r="C92" t="str">
        <f>Koond_kulud!C106</f>
        <v xml:space="preserve"> Side</v>
      </c>
      <c r="D92" t="str">
        <f>Koond_kulud!D106</f>
        <v>Side</v>
      </c>
      <c r="E92" t="str">
        <f>Koond_kulud!E106</f>
        <v>Majandus</v>
      </c>
      <c r="F92" t="str">
        <f>Koond_kulud!F106</f>
        <v>IT spetsialist</v>
      </c>
      <c r="G92" t="str">
        <f>Koond_kulud!G106</f>
        <v>7 monitori</v>
      </c>
      <c r="H92">
        <f>Koond_kulud!H106</f>
        <v>1750</v>
      </c>
      <c r="I92">
        <f>Koond_kulud!I106</f>
        <v>0</v>
      </c>
      <c r="J92">
        <f>Koond_kulud!J106</f>
        <v>5514</v>
      </c>
      <c r="K92" t="str">
        <f>Koond_kulud!K106</f>
        <v>Info- ja kommunikatsioonitehnoliigised kulud</v>
      </c>
      <c r="L92">
        <f>Koond_kulud!L106</f>
        <v>55</v>
      </c>
      <c r="M92" t="str">
        <f>Koond_kulud!M106</f>
        <v>55</v>
      </c>
      <c r="N92" t="str">
        <f>Koond_kulud!N106</f>
        <v>Muud tegevuskulud</v>
      </c>
      <c r="O92" t="str">
        <f>Koond_kulud!O106</f>
        <v>Majandamiskulud</v>
      </c>
      <c r="P92" t="str">
        <f>Koond_kulud!P106</f>
        <v>Põhitegevuse kulu</v>
      </c>
      <c r="Q92">
        <f>Koond_kulud!Q106</f>
        <v>0</v>
      </c>
    </row>
    <row r="93" spans="1:17" hidden="1" x14ac:dyDescent="0.25">
      <c r="A93" t="str">
        <f>Koond_kulud!A107</f>
        <v>04</v>
      </c>
      <c r="B93" t="str">
        <f>Koond_kulud!B107</f>
        <v xml:space="preserve">04600           </v>
      </c>
      <c r="C93" t="str">
        <f>Koond_kulud!C107</f>
        <v xml:space="preserve"> Side</v>
      </c>
      <c r="D93" t="str">
        <f>Koond_kulud!D107</f>
        <v>Side</v>
      </c>
      <c r="E93" t="str">
        <f>Koond_kulud!E107</f>
        <v>Majandus</v>
      </c>
      <c r="F93" t="str">
        <f>Koond_kulud!F107</f>
        <v>IT spetsialist</v>
      </c>
      <c r="G93" t="str">
        <f>Koond_kulud!G107</f>
        <v>Ruuteri ja Syslogi hooldustasu</v>
      </c>
      <c r="H93">
        <f>Koond_kulud!H107</f>
        <v>2124</v>
      </c>
      <c r="I93">
        <f>Koond_kulud!I107</f>
        <v>0</v>
      </c>
      <c r="J93">
        <f>Koond_kulud!J107</f>
        <v>5514</v>
      </c>
      <c r="K93" t="str">
        <f>Koond_kulud!K107</f>
        <v>Info- ja kommunikatsioonitehnoliigised kulud</v>
      </c>
      <c r="L93">
        <f>Koond_kulud!L107</f>
        <v>55</v>
      </c>
      <c r="M93" t="str">
        <f>Koond_kulud!M107</f>
        <v>55</v>
      </c>
      <c r="N93" t="str">
        <f>Koond_kulud!N107</f>
        <v>Muud tegevuskulud</v>
      </c>
      <c r="O93" t="str">
        <f>Koond_kulud!O107</f>
        <v>Majandamiskulud</v>
      </c>
      <c r="P93" t="str">
        <f>Koond_kulud!P107</f>
        <v>Põhitegevuse kulu</v>
      </c>
      <c r="Q93">
        <f>Koond_kulud!Q107</f>
        <v>0</v>
      </c>
    </row>
    <row r="94" spans="1:17" hidden="1" x14ac:dyDescent="0.25">
      <c r="A94" t="str">
        <f>Koond_kulud!A108</f>
        <v>04</v>
      </c>
      <c r="B94" t="str">
        <f>Koond_kulud!B108</f>
        <v xml:space="preserve">04600           </v>
      </c>
      <c r="C94" t="str">
        <f>Koond_kulud!C108</f>
        <v xml:space="preserve"> Side</v>
      </c>
      <c r="D94" t="str">
        <f>Koond_kulud!D108</f>
        <v>Side</v>
      </c>
      <c r="E94" t="str">
        <f>Koond_kulud!E108</f>
        <v>Majandus</v>
      </c>
      <c r="F94" t="str">
        <f>Koond_kulud!F108</f>
        <v>IT spetsialist</v>
      </c>
      <c r="G94" t="str">
        <f>Koond_kulud!G108</f>
        <v>Esri EA aastatasu</v>
      </c>
      <c r="H94">
        <f>Koond_kulud!H108</f>
        <v>5000</v>
      </c>
      <c r="I94">
        <f>Koond_kulud!I108</f>
        <v>0</v>
      </c>
      <c r="J94">
        <f>Koond_kulud!J108</f>
        <v>5514</v>
      </c>
      <c r="K94" t="str">
        <f>Koond_kulud!K108</f>
        <v>Info- ja kommunikatsioonitehnoliigised kulud</v>
      </c>
      <c r="L94">
        <f>Koond_kulud!L108</f>
        <v>55</v>
      </c>
      <c r="M94" t="str">
        <f>Koond_kulud!M108</f>
        <v>55</v>
      </c>
      <c r="N94" t="str">
        <f>Koond_kulud!N108</f>
        <v>Muud tegevuskulud</v>
      </c>
      <c r="O94" t="str">
        <f>Koond_kulud!O108</f>
        <v>Majandamiskulud</v>
      </c>
      <c r="P94" t="str">
        <f>Koond_kulud!P108</f>
        <v>Põhitegevuse kulu</v>
      </c>
      <c r="Q94">
        <f>Koond_kulud!Q108</f>
        <v>0</v>
      </c>
    </row>
    <row r="95" spans="1:17" hidden="1" x14ac:dyDescent="0.25">
      <c r="A95" t="str">
        <f>Koond_kulud!A109</f>
        <v>04</v>
      </c>
      <c r="B95" t="str">
        <f>Koond_kulud!B109</f>
        <v xml:space="preserve">04600           </v>
      </c>
      <c r="C95" t="str">
        <f>Koond_kulud!C109</f>
        <v xml:space="preserve"> Side</v>
      </c>
      <c r="D95" t="str">
        <f>Koond_kulud!D109</f>
        <v>Side</v>
      </c>
      <c r="E95" t="str">
        <f>Koond_kulud!E109</f>
        <v>Majandus</v>
      </c>
      <c r="F95" t="str">
        <f>Koond_kulud!F109</f>
        <v>IT spetsialist</v>
      </c>
      <c r="G95" t="str">
        <f>Koond_kulud!G109</f>
        <v>Virtuaalserver</v>
      </c>
      <c r="H95">
        <f>Koond_kulud!H109</f>
        <v>149.76</v>
      </c>
      <c r="I95">
        <f>Koond_kulud!I109</f>
        <v>0</v>
      </c>
      <c r="J95">
        <f>Koond_kulud!J109</f>
        <v>5514</v>
      </c>
      <c r="K95" t="str">
        <f>Koond_kulud!K109</f>
        <v>Info- ja kommunikatsioonitehnoliigised kulud</v>
      </c>
      <c r="L95">
        <f>Koond_kulud!L109</f>
        <v>55</v>
      </c>
      <c r="M95" t="str">
        <f>Koond_kulud!M109</f>
        <v>55</v>
      </c>
      <c r="N95" t="str">
        <f>Koond_kulud!N109</f>
        <v>Muud tegevuskulud</v>
      </c>
      <c r="O95" t="str">
        <f>Koond_kulud!O109</f>
        <v>Majandamiskulud</v>
      </c>
      <c r="P95" t="str">
        <f>Koond_kulud!P109</f>
        <v>Põhitegevuse kulu</v>
      </c>
      <c r="Q95">
        <f>Koond_kulud!Q109</f>
        <v>0</v>
      </c>
    </row>
    <row r="96" spans="1:17" hidden="1" x14ac:dyDescent="0.25">
      <c r="A96" t="str">
        <f>Koond_kulud!A110</f>
        <v>04</v>
      </c>
      <c r="B96" t="str">
        <f>Koond_kulud!B110</f>
        <v xml:space="preserve">04600           </v>
      </c>
      <c r="C96" t="str">
        <f>Koond_kulud!C110</f>
        <v xml:space="preserve"> Side</v>
      </c>
      <c r="D96" t="str">
        <f>Koond_kulud!D110</f>
        <v>Side</v>
      </c>
      <c r="E96" t="str">
        <f>Koond_kulud!E110</f>
        <v>Majandus</v>
      </c>
      <c r="F96" t="str">
        <f>Koond_kulud!F110</f>
        <v>IT spetsialist</v>
      </c>
      <c r="G96" t="str">
        <f>Koond_kulud!G110</f>
        <v>Viirusetõrje</v>
      </c>
      <c r="H96">
        <f>Koond_kulud!H110</f>
        <v>994.8</v>
      </c>
      <c r="I96">
        <f>Koond_kulud!I110</f>
        <v>0</v>
      </c>
      <c r="J96">
        <f>Koond_kulud!J110</f>
        <v>5514</v>
      </c>
      <c r="K96" t="str">
        <f>Koond_kulud!K110</f>
        <v>Info- ja kommunikatsioonitehnoliigised kulud</v>
      </c>
      <c r="L96">
        <f>Koond_kulud!L110</f>
        <v>55</v>
      </c>
      <c r="M96" t="str">
        <f>Koond_kulud!M110</f>
        <v>55</v>
      </c>
      <c r="N96" t="str">
        <f>Koond_kulud!N110</f>
        <v>Muud tegevuskulud</v>
      </c>
      <c r="O96" t="str">
        <f>Koond_kulud!O110</f>
        <v>Majandamiskulud</v>
      </c>
      <c r="P96" t="str">
        <f>Koond_kulud!P110</f>
        <v>Põhitegevuse kulu</v>
      </c>
      <c r="Q96">
        <f>Koond_kulud!Q110</f>
        <v>0</v>
      </c>
    </row>
    <row r="97" spans="1:17" hidden="1" x14ac:dyDescent="0.25">
      <c r="A97" t="str">
        <f>Koond_kulud!A111</f>
        <v>04</v>
      </c>
      <c r="B97" t="str">
        <f>Koond_kulud!B111</f>
        <v xml:space="preserve">04600           </v>
      </c>
      <c r="C97" t="str">
        <f>Koond_kulud!C111</f>
        <v xml:space="preserve"> Side</v>
      </c>
      <c r="D97" t="str">
        <f>Koond_kulud!D111</f>
        <v>Side</v>
      </c>
      <c r="E97" t="str">
        <f>Koond_kulud!E111</f>
        <v>Majandus</v>
      </c>
      <c r="F97" t="str">
        <f>Koond_kulud!F111</f>
        <v>IT spetsialist</v>
      </c>
      <c r="G97" t="str">
        <f>Koond_kulud!G111</f>
        <v>Muud mitmesugused ennustamatud kulud: 752,6 € kuus</v>
      </c>
      <c r="H97">
        <f>Koond_kulud!H111</f>
        <v>8000</v>
      </c>
      <c r="I97">
        <f>Koond_kulud!I111</f>
        <v>0</v>
      </c>
      <c r="J97">
        <f>Koond_kulud!J111</f>
        <v>5514</v>
      </c>
      <c r="K97" t="str">
        <f>Koond_kulud!K111</f>
        <v>Info- ja kommunikatsioonitehnoliigised kulud</v>
      </c>
      <c r="L97">
        <f>Koond_kulud!L111</f>
        <v>55</v>
      </c>
      <c r="M97" t="str">
        <f>Koond_kulud!M111</f>
        <v>55</v>
      </c>
      <c r="N97" t="str">
        <f>Koond_kulud!N111</f>
        <v>Muud tegevuskulud</v>
      </c>
      <c r="O97" t="str">
        <f>Koond_kulud!O111</f>
        <v>Majandamiskulud</v>
      </c>
      <c r="P97" t="str">
        <f>Koond_kulud!P111</f>
        <v>Põhitegevuse kulu</v>
      </c>
      <c r="Q97">
        <f>Koond_kulud!Q111</f>
        <v>0</v>
      </c>
    </row>
    <row r="98" spans="1:17" hidden="1" x14ac:dyDescent="0.25">
      <c r="A98" t="str">
        <f>Koond_kulud!A112</f>
        <v>04</v>
      </c>
      <c r="B98" t="str">
        <f>Koond_kulud!B112</f>
        <v xml:space="preserve">04900           </v>
      </c>
      <c r="C98" t="str">
        <f>Koond_kulud!C112</f>
        <v xml:space="preserve"> Muu majandus (sh majanduse haldus)</v>
      </c>
      <c r="D98" t="str">
        <f>Koond_kulud!D112</f>
        <v>Muu majandus (sh majanduse haldus)</v>
      </c>
      <c r="E98" t="str">
        <f>Koond_kulud!E112</f>
        <v>Majandus</v>
      </c>
      <c r="F98" t="str">
        <f>Koond_kulud!F112</f>
        <v>Maanõunik</v>
      </c>
      <c r="G98" t="str">
        <f>Koond_kulud!G112</f>
        <v>Maade mõõdistamised</v>
      </c>
      <c r="H98">
        <f>Koond_kulud!H112</f>
        <v>1750</v>
      </c>
      <c r="I98">
        <f>Koond_kulud!I112</f>
        <v>0</v>
      </c>
      <c r="J98">
        <f>Koond_kulud!J112</f>
        <v>5511</v>
      </c>
      <c r="K98" t="str">
        <f>Koond_kulud!K112</f>
        <v>Kinnistute, hoonete ja ruumide majandamiskulud</v>
      </c>
      <c r="L98">
        <f>Koond_kulud!L112</f>
        <v>55</v>
      </c>
      <c r="M98" t="str">
        <f>Koond_kulud!M112</f>
        <v>55</v>
      </c>
      <c r="N98" t="str">
        <f>Koond_kulud!N112</f>
        <v>Muud tegevuskulud</v>
      </c>
      <c r="O98" t="str">
        <f>Koond_kulud!O112</f>
        <v>Majandamiskulud</v>
      </c>
      <c r="P98" t="str">
        <f>Koond_kulud!P112</f>
        <v>Põhitegevuse kulu</v>
      </c>
      <c r="Q98">
        <f>Koond_kulud!Q112</f>
        <v>0</v>
      </c>
    </row>
    <row r="99" spans="1:17" hidden="1" x14ac:dyDescent="0.25">
      <c r="A99" t="str">
        <f>Koond_kulud!A114</f>
        <v>04</v>
      </c>
      <c r="B99" t="str">
        <f>Koond_kulud!B114</f>
        <v xml:space="preserve">04900           </v>
      </c>
      <c r="C99" t="str">
        <f>Koond_kulud!C114</f>
        <v xml:space="preserve"> Muu majandus (sh majanduse haldus)</v>
      </c>
      <c r="D99" t="str">
        <f>Koond_kulud!D114</f>
        <v>Muu majandus (sh majanduse haldus)</v>
      </c>
      <c r="E99" t="str">
        <f>Koond_kulud!E114</f>
        <v>Majandus</v>
      </c>
      <c r="F99" t="str">
        <f>Koond_kulud!F114</f>
        <v>Vallavalitsus</v>
      </c>
      <c r="G99" t="str">
        <f>Koond_kulud!G114</f>
        <v>Sideteenused</v>
      </c>
      <c r="H99">
        <f>Koond_kulud!H114</f>
        <v>550</v>
      </c>
      <c r="I99">
        <f>Koond_kulud!I114</f>
        <v>0</v>
      </c>
      <c r="J99">
        <f>Koond_kulud!J114</f>
        <v>5500</v>
      </c>
      <c r="K99" t="str">
        <f>Koond_kulud!K114</f>
        <v>Administreerimiskulud</v>
      </c>
      <c r="L99">
        <f>Koond_kulud!L114</f>
        <v>55</v>
      </c>
      <c r="M99" t="str">
        <f>Koond_kulud!M114</f>
        <v>55</v>
      </c>
      <c r="N99" t="str">
        <f>Koond_kulud!N114</f>
        <v>Muud tegevuskulud</v>
      </c>
      <c r="O99" t="str">
        <f>Koond_kulud!O114</f>
        <v>Majandamiskulud</v>
      </c>
      <c r="P99" t="str">
        <f>Koond_kulud!P114</f>
        <v>Põhitegevuse kulu</v>
      </c>
      <c r="Q99">
        <f>Koond_kulud!Q114</f>
        <v>0</v>
      </c>
    </row>
    <row r="100" spans="1:17" hidden="1" x14ac:dyDescent="0.25">
      <c r="A100" t="str">
        <f>Koond_kulud!A115</f>
        <v>04</v>
      </c>
      <c r="B100" t="str">
        <f>Koond_kulud!B115</f>
        <v xml:space="preserve">04900           </v>
      </c>
      <c r="C100" t="str">
        <f>Koond_kulud!C115</f>
        <v xml:space="preserve"> Muu majandus (sh majanduse haldus)</v>
      </c>
      <c r="D100" t="str">
        <f>Koond_kulud!D115</f>
        <v>Muu majandus (sh majanduse haldus)</v>
      </c>
      <c r="E100" t="str">
        <f>Koond_kulud!E115</f>
        <v>Majandus</v>
      </c>
      <c r="F100" t="str">
        <f>Koond_kulud!F115</f>
        <v>Vallavalitsus</v>
      </c>
      <c r="G100" t="str">
        <f>Koond_kulud!G115</f>
        <v>Isikliku sõiduauto komp.</v>
      </c>
      <c r="H100">
        <f>Koond_kulud!H115</f>
        <v>9385</v>
      </c>
      <c r="I100" t="str">
        <f>Koond_kulud!I115</f>
        <v>Irina 150€, Aivar 335€, Gustav 150€, Erik 150€; Kätlyn 150€</v>
      </c>
      <c r="J100">
        <f>Koond_kulud!J115</f>
        <v>5513</v>
      </c>
      <c r="K100" t="str">
        <f>Koond_kulud!K115</f>
        <v>Sõidukite ülalpidamise kulud</v>
      </c>
      <c r="L100">
        <f>Koond_kulud!L115</f>
        <v>55</v>
      </c>
      <c r="M100" t="str">
        <f>Koond_kulud!M115</f>
        <v>55</v>
      </c>
      <c r="N100" t="str">
        <f>Koond_kulud!N115</f>
        <v>Muud tegevuskulud</v>
      </c>
      <c r="O100" t="str">
        <f>Koond_kulud!O115</f>
        <v>Majandamiskulud</v>
      </c>
      <c r="P100" t="str">
        <f>Koond_kulud!P115</f>
        <v>Põhitegevuse kulu</v>
      </c>
      <c r="Q100">
        <f>Koond_kulud!Q115</f>
        <v>0</v>
      </c>
    </row>
    <row r="101" spans="1:17" hidden="1" x14ac:dyDescent="0.25">
      <c r="A101" t="str">
        <f>Koond_kulud!A116</f>
        <v>04</v>
      </c>
      <c r="B101" t="str">
        <f>Koond_kulud!B116</f>
        <v xml:space="preserve">04900           </v>
      </c>
      <c r="C101" t="str">
        <f>Koond_kulud!C116</f>
        <v xml:space="preserve"> Muu majandus (sh majanduse haldus)</v>
      </c>
      <c r="D101" t="str">
        <f>Koond_kulud!D116</f>
        <v>Muu majandus (sh majanduse haldus)</v>
      </c>
      <c r="E101" t="str">
        <f>Koond_kulud!E116</f>
        <v>Majandus</v>
      </c>
      <c r="F101" t="str">
        <f>Koond_kulud!F116</f>
        <v>Vallavalitsus</v>
      </c>
      <c r="G101" t="str">
        <f>Koond_kulud!G116</f>
        <v>Koolitused</v>
      </c>
      <c r="H101">
        <f>Koond_kulud!H116</f>
        <v>1600</v>
      </c>
      <c r="I101" t="str">
        <f>Koond_kulud!I116</f>
        <v>Erik 400€; Gustav 400€; Aivar 400€; Irina 400€</v>
      </c>
      <c r="J101">
        <f>Koond_kulud!J116</f>
        <v>5504</v>
      </c>
      <c r="K101" t="str">
        <f>Koond_kulud!K116</f>
        <v>Koolituskulud</v>
      </c>
      <c r="L101">
        <f>Koond_kulud!L116</f>
        <v>55</v>
      </c>
      <c r="M101" t="str">
        <f>Koond_kulud!M116</f>
        <v>55</v>
      </c>
      <c r="N101" t="str">
        <f>Koond_kulud!N116</f>
        <v>Muud tegevuskulud</v>
      </c>
      <c r="O101" t="str">
        <f>Koond_kulud!O116</f>
        <v>Majandamiskulud</v>
      </c>
      <c r="P101" t="str">
        <f>Koond_kulud!P116</f>
        <v>Põhitegevuse kulu</v>
      </c>
      <c r="Q101">
        <f>Koond_kulud!Q116</f>
        <v>0</v>
      </c>
    </row>
    <row r="102" spans="1:17" hidden="1" x14ac:dyDescent="0.25">
      <c r="A102" t="str">
        <f>Koond_kulud!A117</f>
        <v>04</v>
      </c>
      <c r="B102" t="str">
        <f>Koond_kulud!B117</f>
        <v xml:space="preserve">04900           </v>
      </c>
      <c r="C102" t="str">
        <f>Koond_kulud!C117</f>
        <v xml:space="preserve"> Muu majandus (sh majanduse haldus)</v>
      </c>
      <c r="D102" t="str">
        <f>Koond_kulud!D117</f>
        <v>Muu majandus (sh majanduse haldus)</v>
      </c>
      <c r="E102" t="str">
        <f>Koond_kulud!E117</f>
        <v>Majandus</v>
      </c>
      <c r="F102" t="str">
        <f>Koond_kulud!F117</f>
        <v>Vallavalitsus</v>
      </c>
      <c r="G102" t="str">
        <f>Koond_kulud!G117</f>
        <v>Tervise- ja spordiarendamise hüvitis</v>
      </c>
      <c r="H102">
        <f>Koond_kulud!H117</f>
        <v>1600</v>
      </c>
      <c r="I102">
        <f>Koond_kulud!I117</f>
        <v>0</v>
      </c>
      <c r="J102">
        <f>Koond_kulud!J117</f>
        <v>5540</v>
      </c>
      <c r="K102" t="str">
        <f>Koond_kulud!K117</f>
        <v>Mitmesugused majanduskulud</v>
      </c>
      <c r="L102">
        <f>Koond_kulud!L117</f>
        <v>55</v>
      </c>
      <c r="M102" t="str">
        <f>Koond_kulud!M117</f>
        <v>55</v>
      </c>
      <c r="N102" t="str">
        <f>Koond_kulud!N117</f>
        <v>Muud tegevuskulud</v>
      </c>
      <c r="O102" t="str">
        <f>Koond_kulud!O117</f>
        <v>Majandamiskulud</v>
      </c>
      <c r="P102" t="str">
        <f>Koond_kulud!P117</f>
        <v>Põhitegevuse kulu</v>
      </c>
      <c r="Q102">
        <f>Koond_kulud!Q117</f>
        <v>0</v>
      </c>
    </row>
    <row r="103" spans="1:17" hidden="1" x14ac:dyDescent="0.25">
      <c r="A103" t="str">
        <f>Koond_kulud!A119</f>
        <v>04</v>
      </c>
      <c r="B103" t="str">
        <f>Koond_kulud!B119</f>
        <v xml:space="preserve">04900           </v>
      </c>
      <c r="C103" t="str">
        <f>Koond_kulud!C119</f>
        <v xml:space="preserve"> Muu majandus (sh majanduse haldus)</v>
      </c>
      <c r="D103" t="str">
        <f>Koond_kulud!D119</f>
        <v>Muu majandus (sh majanduse haldus)</v>
      </c>
      <c r="E103" t="str">
        <f>Koond_kulud!E119</f>
        <v>Majandus</v>
      </c>
      <c r="F103" t="str">
        <f>Koond_kulud!F119</f>
        <v>Maanõunik</v>
      </c>
      <c r="G103" t="str">
        <f>Koond_kulud!G119</f>
        <v>Maadega soetud notaritasud</v>
      </c>
      <c r="H103">
        <f>Koond_kulud!H119</f>
        <v>1114.5</v>
      </c>
      <c r="I103">
        <f>Koond_kulud!I119</f>
        <v>0</v>
      </c>
      <c r="J103">
        <f>Koond_kulud!J119</f>
        <v>5500</v>
      </c>
      <c r="K103" t="str">
        <f>Koond_kulud!K119</f>
        <v>Administreerimiskulud</v>
      </c>
      <c r="L103">
        <f>Koond_kulud!L119</f>
        <v>55</v>
      </c>
      <c r="M103" t="str">
        <f>Koond_kulud!M119</f>
        <v>55</v>
      </c>
      <c r="N103" t="str">
        <f>Koond_kulud!N119</f>
        <v>Muud tegevuskulud</v>
      </c>
      <c r="O103" t="str">
        <f>Koond_kulud!O119</f>
        <v>Majandamiskulud</v>
      </c>
      <c r="P103" t="str">
        <f>Koond_kulud!P119</f>
        <v>Põhitegevuse kulu</v>
      </c>
      <c r="Q103">
        <f>Koond_kulud!Q119</f>
        <v>0</v>
      </c>
    </row>
    <row r="104" spans="1:17" hidden="1" x14ac:dyDescent="0.25">
      <c r="A104" t="str">
        <f>Koond_kulud!A120</f>
        <v>04</v>
      </c>
      <c r="B104" t="str">
        <f>Koond_kulud!B120</f>
        <v xml:space="preserve">04900           </v>
      </c>
      <c r="C104" t="str">
        <f>Koond_kulud!C120</f>
        <v xml:space="preserve"> Muu majandus (sh majanduse haldus)</v>
      </c>
      <c r="D104" t="str">
        <f>Koond_kulud!D120</f>
        <v>Muu majandus (sh majanduse haldus)</v>
      </c>
      <c r="E104" t="str">
        <f>Koond_kulud!E120</f>
        <v>Majandus</v>
      </c>
      <c r="F104" t="str">
        <f>Koond_kulud!F120</f>
        <v>Keskkonna- ja kommunaalnõunik</v>
      </c>
      <c r="G104" t="str">
        <f>Koond_kulud!G120</f>
        <v>Kaunis kodu auhinnafond</v>
      </c>
      <c r="H104">
        <f>Koond_kulud!H120</f>
        <v>1500</v>
      </c>
      <c r="I104">
        <f>Koond_kulud!I120</f>
        <v>0</v>
      </c>
      <c r="J104">
        <f>Koond_kulud!J120</f>
        <v>45008</v>
      </c>
      <c r="K104" t="str">
        <f>Koond_kulud!K120</f>
        <v>Sihtotstarbelised eraldised muudele residentidele</v>
      </c>
      <c r="L104">
        <f>Koond_kulud!L120</f>
        <v>4500</v>
      </c>
      <c r="M104" t="str">
        <f>Koond_kulud!M120</f>
        <v>45</v>
      </c>
      <c r="N104" t="str">
        <f>Koond_kulud!N120</f>
        <v>Antavad toetused tegevuskuludeks</v>
      </c>
      <c r="O104" t="str">
        <f>Koond_kulud!O120</f>
        <v>Sihtotstarbelised toetused tegevuskuludeks</v>
      </c>
      <c r="P104" t="str">
        <f>Koond_kulud!P120</f>
        <v>Põhitegevuse kulu</v>
      </c>
      <c r="Q104">
        <f>Koond_kulud!Q120</f>
        <v>0</v>
      </c>
    </row>
    <row r="105" spans="1:17" hidden="1" x14ac:dyDescent="0.25">
      <c r="A105" t="str">
        <f>Koond_kulud!A121</f>
        <v>04</v>
      </c>
      <c r="B105" t="str">
        <f>Koond_kulud!B121</f>
        <v xml:space="preserve">04900           </v>
      </c>
      <c r="C105" t="str">
        <f>Koond_kulud!C121</f>
        <v xml:space="preserve"> Muu majandus (sh majanduse haldus)</v>
      </c>
      <c r="D105" t="str">
        <f>Koond_kulud!D121</f>
        <v>Muu majandus (sh majanduse haldus)</v>
      </c>
      <c r="E105" t="str">
        <f>Koond_kulud!E121</f>
        <v>Majandus</v>
      </c>
      <c r="F105" t="str">
        <f>Koond_kulud!F121</f>
        <v>Keskkonna- ja kommunaalnõunik</v>
      </c>
      <c r="G105" t="str">
        <f>Koond_kulud!G121</f>
        <v>Albumid, lilled jms</v>
      </c>
      <c r="H105">
        <f>Koond_kulud!H121</f>
        <v>1500</v>
      </c>
      <c r="I105" t="str">
        <f>Koond_kulud!I121</f>
        <v>Kaunis kodu</v>
      </c>
      <c r="J105">
        <f>Koond_kulud!J121</f>
        <v>45008</v>
      </c>
      <c r="K105" t="str">
        <f>Koond_kulud!K121</f>
        <v>Sihtotstarbelised eraldised muudele residentidele</v>
      </c>
      <c r="L105">
        <f>Koond_kulud!L121</f>
        <v>4500</v>
      </c>
      <c r="M105" t="str">
        <f>Koond_kulud!M121</f>
        <v>45</v>
      </c>
      <c r="N105" t="str">
        <f>Koond_kulud!N121</f>
        <v>Antavad toetused tegevuskuludeks</v>
      </c>
      <c r="O105" t="str">
        <f>Koond_kulud!O121</f>
        <v>Sihtotstarbelised toetused tegevuskuludeks</v>
      </c>
      <c r="P105" t="str">
        <f>Koond_kulud!P121</f>
        <v>Põhitegevuse kulu</v>
      </c>
      <c r="Q105">
        <f>Koond_kulud!Q121</f>
        <v>0</v>
      </c>
    </row>
    <row r="106" spans="1:17" hidden="1" x14ac:dyDescent="0.25">
      <c r="A106" t="str">
        <f>Koond_kulud!A122</f>
        <v>04</v>
      </c>
      <c r="B106" t="str">
        <f>Koond_kulud!B122</f>
        <v xml:space="preserve">04900           </v>
      </c>
      <c r="C106" t="str">
        <f>Koond_kulud!C122</f>
        <v xml:space="preserve"> Muu majandus (sh majanduse haldus)</v>
      </c>
      <c r="D106" t="str">
        <f>Koond_kulud!D122</f>
        <v>Muu majandus (sh majanduse haldus)</v>
      </c>
      <c r="E106" t="str">
        <f>Koond_kulud!E122</f>
        <v>Majandus</v>
      </c>
      <c r="F106" t="str">
        <f>Koond_kulud!F122</f>
        <v>Teede- ja ühistranspordinõunik</v>
      </c>
      <c r="G106" t="str">
        <f>Koond_kulud!G122</f>
        <v>Geoarhiivi moodul</v>
      </c>
      <c r="H106">
        <f>Koond_kulud!H122</f>
        <v>446.40000000000003</v>
      </c>
      <c r="I106" t="str">
        <f>Koond_kulud!I122</f>
        <v>GEODATA</v>
      </c>
      <c r="J106">
        <f>Koond_kulud!J122</f>
        <v>5514</v>
      </c>
      <c r="K106" t="str">
        <f>Koond_kulud!K122</f>
        <v>Info- ja kommunikatsioonitehnoliigised kulud</v>
      </c>
      <c r="L106">
        <f>Koond_kulud!L122</f>
        <v>55</v>
      </c>
      <c r="M106" t="str">
        <f>Koond_kulud!M122</f>
        <v>55</v>
      </c>
      <c r="N106" t="str">
        <f>Koond_kulud!N122</f>
        <v>Muud tegevuskulud</v>
      </c>
      <c r="O106" t="str">
        <f>Koond_kulud!O122</f>
        <v>Majandamiskulud</v>
      </c>
      <c r="P106" t="str">
        <f>Koond_kulud!P122</f>
        <v>Põhitegevuse kulu</v>
      </c>
      <c r="Q106">
        <f>Koond_kulud!Q122</f>
        <v>0</v>
      </c>
    </row>
    <row r="107" spans="1:17" hidden="1" x14ac:dyDescent="0.25">
      <c r="A107" t="str">
        <f>Koond_kulud!A123</f>
        <v>04</v>
      </c>
      <c r="B107" t="str">
        <f>Koond_kulud!B123</f>
        <v xml:space="preserve">04900           </v>
      </c>
      <c r="C107" t="str">
        <f>Koond_kulud!C123</f>
        <v xml:space="preserve"> Muu majandus (sh majanduse haldus)</v>
      </c>
      <c r="D107" t="str">
        <f>Koond_kulud!D123</f>
        <v>Muu majandus (sh majanduse haldus)</v>
      </c>
      <c r="E107" t="str">
        <f>Koond_kulud!E123</f>
        <v>Majandus</v>
      </c>
      <c r="F107" t="str">
        <f>Koond_kulud!F123</f>
        <v>Teede- ja ühistranspordinõunik</v>
      </c>
      <c r="G107" t="str">
        <f>Koond_kulud!G123</f>
        <v>Kohalike teede moodul</v>
      </c>
      <c r="H107">
        <f>Koond_kulud!H123</f>
        <v>288</v>
      </c>
      <c r="I107" t="str">
        <f>Koond_kulud!I123</f>
        <v>GEODATA</v>
      </c>
      <c r="J107">
        <f>Koond_kulud!J123</f>
        <v>5514</v>
      </c>
      <c r="K107" t="str">
        <f>Koond_kulud!K123</f>
        <v>Info- ja kommunikatsioonitehnoliigised kulud</v>
      </c>
      <c r="L107">
        <f>Koond_kulud!L123</f>
        <v>55</v>
      </c>
      <c r="M107" t="str">
        <f>Koond_kulud!M123</f>
        <v>55</v>
      </c>
      <c r="N107" t="str">
        <f>Koond_kulud!N123</f>
        <v>Muud tegevuskulud</v>
      </c>
      <c r="O107" t="str">
        <f>Koond_kulud!O123</f>
        <v>Majandamiskulud</v>
      </c>
      <c r="P107" t="str">
        <f>Koond_kulud!P123</f>
        <v>Põhitegevuse kulu</v>
      </c>
      <c r="Q107">
        <f>Koond_kulud!Q123</f>
        <v>0</v>
      </c>
    </row>
    <row r="108" spans="1:17" hidden="1" x14ac:dyDescent="0.25">
      <c r="A108" t="str">
        <f>Koond_kulud!A124</f>
        <v>04</v>
      </c>
      <c r="B108" t="str">
        <f>Koond_kulud!B124</f>
        <v xml:space="preserve">04900           </v>
      </c>
      <c r="C108" t="str">
        <f>Koond_kulud!C124</f>
        <v xml:space="preserve"> Muu majandus (sh majanduse haldus)</v>
      </c>
      <c r="D108" t="str">
        <f>Koond_kulud!D124</f>
        <v>Muu majandus (sh majanduse haldus)</v>
      </c>
      <c r="E108" t="str">
        <f>Koond_kulud!E124</f>
        <v>Majandus</v>
      </c>
      <c r="F108" t="str">
        <f>Koond_kulud!F124</f>
        <v>Vallavalitsus</v>
      </c>
      <c r="G108" t="str">
        <f>Koond_kulud!G124</f>
        <v xml:space="preserve">Muud ettenägematud kulud  </v>
      </c>
      <c r="H108">
        <f>Koond_kulud!H124</f>
        <v>500</v>
      </c>
      <c r="I108">
        <f>Koond_kulud!I124</f>
        <v>0</v>
      </c>
      <c r="J108">
        <f>Koond_kulud!J124</f>
        <v>5540</v>
      </c>
      <c r="K108" t="str">
        <f>Koond_kulud!K124</f>
        <v>Mitmesugused majanduskulud</v>
      </c>
      <c r="L108">
        <f>Koond_kulud!L124</f>
        <v>55</v>
      </c>
      <c r="M108" t="str">
        <f>Koond_kulud!M124</f>
        <v>55</v>
      </c>
      <c r="N108" t="str">
        <f>Koond_kulud!N124</f>
        <v>Muud tegevuskulud</v>
      </c>
      <c r="O108" t="str">
        <f>Koond_kulud!O124</f>
        <v>Majandamiskulud</v>
      </c>
      <c r="P108" t="str">
        <f>Koond_kulud!P124</f>
        <v>Põhitegevuse kulu</v>
      </c>
      <c r="Q108">
        <f>Koond_kulud!Q124</f>
        <v>0</v>
      </c>
    </row>
    <row r="109" spans="1:17" hidden="1" x14ac:dyDescent="0.25">
      <c r="A109" t="str">
        <f>Koond_kulud!A125</f>
        <v>04</v>
      </c>
      <c r="B109" t="str">
        <f>Koond_kulud!B125</f>
        <v xml:space="preserve">04900           </v>
      </c>
      <c r="C109" t="str">
        <f>Koond_kulud!C125</f>
        <v xml:space="preserve"> Muu majandus (sh majanduse haldus)</v>
      </c>
      <c r="D109" t="str">
        <f>Koond_kulud!D125</f>
        <v>Muu majandus (sh majanduse haldus)</v>
      </c>
      <c r="E109" t="str">
        <f>Koond_kulud!E125</f>
        <v>Majandus</v>
      </c>
      <c r="F109" t="str">
        <f>Koond_kulud!F125</f>
        <v>Vallavalitsus</v>
      </c>
      <c r="G109" t="str">
        <f>Koond_kulud!G125</f>
        <v xml:space="preserve">Riigilõivud </v>
      </c>
      <c r="H109">
        <f>Koond_kulud!H125</f>
        <v>250</v>
      </c>
      <c r="I109">
        <f>Koond_kulud!I125</f>
        <v>0</v>
      </c>
      <c r="J109">
        <f>Koond_kulud!J125</f>
        <v>601</v>
      </c>
      <c r="K109" t="str">
        <f>Koond_kulud!K125</f>
        <v>Maksu-, riigilõivu- ja trahvikulud</v>
      </c>
      <c r="L109">
        <f>Koond_kulud!L125</f>
        <v>60</v>
      </c>
      <c r="M109" t="str">
        <f>Koond_kulud!M125</f>
        <v>60</v>
      </c>
      <c r="N109" t="str">
        <f>Koond_kulud!N125</f>
        <v>Muud tegevuskulud</v>
      </c>
      <c r="O109" t="str">
        <f>Koond_kulud!O125</f>
        <v>Muud kulud</v>
      </c>
      <c r="P109" t="str">
        <f>Koond_kulud!P125</f>
        <v>Põhitegevuse kulu</v>
      </c>
      <c r="Q109">
        <f>Koond_kulud!Q125</f>
        <v>0</v>
      </c>
    </row>
    <row r="110" spans="1:17" hidden="1" x14ac:dyDescent="0.25">
      <c r="A110" t="str">
        <f>Koond_kulud!A126</f>
        <v>05</v>
      </c>
      <c r="B110" t="str">
        <f>Koond_kulud!B126</f>
        <v xml:space="preserve">05100           </v>
      </c>
      <c r="C110" t="str">
        <f>Koond_kulud!C126</f>
        <v xml:space="preserve"> Jäätmekäitlus</v>
      </c>
      <c r="D110" t="str">
        <f>Koond_kulud!D126</f>
        <v>Jäätmekäitlus</v>
      </c>
      <c r="E110" t="str">
        <f>Koond_kulud!E126</f>
        <v>Keskkonnakaitse</v>
      </c>
      <c r="F110" t="str">
        <f>Koond_kulud!F126</f>
        <v>Keskkonna- ja kommunaalnõunik</v>
      </c>
      <c r="G110" t="str">
        <f>Koond_kulud!G126</f>
        <v>Jäätmekava</v>
      </c>
      <c r="H110">
        <f>Koond_kulud!H126</f>
        <v>2000</v>
      </c>
      <c r="I110">
        <f>Koond_kulud!I126</f>
        <v>0</v>
      </c>
      <c r="J110">
        <f>Koond_kulud!J126</f>
        <v>5511</v>
      </c>
      <c r="K110" t="str">
        <f>Koond_kulud!K126</f>
        <v>Kinnistute, hoonete ja ruumide majandamiskulud</v>
      </c>
      <c r="L110">
        <f>Koond_kulud!L126</f>
        <v>55</v>
      </c>
      <c r="M110" t="str">
        <f>Koond_kulud!M126</f>
        <v>55</v>
      </c>
      <c r="N110" t="str">
        <f>Koond_kulud!N126</f>
        <v>Muud tegevuskulud</v>
      </c>
      <c r="O110" t="str">
        <f>Koond_kulud!O126</f>
        <v>Majandamiskulud</v>
      </c>
      <c r="P110" t="str">
        <f>Koond_kulud!P126</f>
        <v>Põhitegevuse kulu</v>
      </c>
      <c r="Q110">
        <f>Koond_kulud!Q126</f>
        <v>0</v>
      </c>
    </row>
    <row r="111" spans="1:17" hidden="1" x14ac:dyDescent="0.25">
      <c r="A111" t="str">
        <f>Koond_kulud!A127</f>
        <v>05</v>
      </c>
      <c r="B111" t="str">
        <f>Koond_kulud!B127</f>
        <v xml:space="preserve">05100           </v>
      </c>
      <c r="C111" t="str">
        <f>Koond_kulud!C127</f>
        <v xml:space="preserve"> Jäätmekäitlus</v>
      </c>
      <c r="D111" t="str">
        <f>Koond_kulud!D127</f>
        <v>Jäätmekäitlus</v>
      </c>
      <c r="E111" t="str">
        <f>Koond_kulud!E127</f>
        <v>Keskkonnakaitse</v>
      </c>
      <c r="F111" t="str">
        <f>Koond_kulud!F127</f>
        <v>Keskkonna- ja kommunaalnõunik</v>
      </c>
      <c r="G111" t="str">
        <f>Koond_kulud!G127</f>
        <v xml:space="preserve">Jäätmevaldajate register EVALD </v>
      </c>
      <c r="H111">
        <f>Koond_kulud!H127</f>
        <v>446.40000000000003</v>
      </c>
      <c r="I111">
        <f>Koond_kulud!I127</f>
        <v>0</v>
      </c>
      <c r="J111">
        <f>Koond_kulud!J127</f>
        <v>5514</v>
      </c>
      <c r="K111" t="str">
        <f>Koond_kulud!K127</f>
        <v>Info- ja kommunikatsioonitehnoliigised kulud</v>
      </c>
      <c r="L111">
        <f>Koond_kulud!L127</f>
        <v>55</v>
      </c>
      <c r="M111" t="str">
        <f>Koond_kulud!M127</f>
        <v>55</v>
      </c>
      <c r="N111" t="str">
        <f>Koond_kulud!N127</f>
        <v>Muud tegevuskulud</v>
      </c>
      <c r="O111" t="str">
        <f>Koond_kulud!O127</f>
        <v>Majandamiskulud</v>
      </c>
      <c r="P111" t="str">
        <f>Koond_kulud!P127</f>
        <v>Põhitegevuse kulu</v>
      </c>
      <c r="Q111">
        <f>Koond_kulud!Q127</f>
        <v>0</v>
      </c>
    </row>
    <row r="112" spans="1:17" hidden="1" x14ac:dyDescent="0.25">
      <c r="A112" t="str">
        <f>Koond_kulud!A128</f>
        <v>05</v>
      </c>
      <c r="B112" t="str">
        <f>Koond_kulud!B128</f>
        <v xml:space="preserve">05600           </v>
      </c>
      <c r="C112" t="str">
        <f>Koond_kulud!C128</f>
        <v>Muu keskkonnakaitse (sh keskkonnakaitse haldus)</v>
      </c>
      <c r="D112" t="str">
        <f>Koond_kulud!D128</f>
        <v>Muu keskkonnakaitse (sh keskkonnakaitse haldus)</v>
      </c>
      <c r="E112" t="str">
        <f>Koond_kulud!E128</f>
        <v>Keskkonnakaitse</v>
      </c>
      <c r="F112" t="str">
        <f>Koond_kulud!F128</f>
        <v>Keskkonna- ja kommunaalnõunik</v>
      </c>
      <c r="G112" t="str">
        <f>Koond_kulud!G128</f>
        <v>a. Jäätmeringid (ohtlikud jäätmed, sh eterniit); 
b. ebaseaduslikult ladestatud jäätmete koristamine KOV maadelt;
c. konteinerite tühjendus ja rent (või väljaostmine); Valdavalt püsikulu</v>
      </c>
      <c r="H112">
        <f>Koond_kulud!H128</f>
        <v>9053.6</v>
      </c>
      <c r="I112">
        <f>Koond_kulud!I128</f>
        <v>0</v>
      </c>
      <c r="J112">
        <f>Koond_kulud!J128</f>
        <v>5511</v>
      </c>
      <c r="K112" t="str">
        <f>Koond_kulud!K128</f>
        <v>Kinnistute, hoonete ja ruumide majandamiskulud</v>
      </c>
      <c r="L112">
        <f>Koond_kulud!L128</f>
        <v>55</v>
      </c>
      <c r="M112" t="str">
        <f>Koond_kulud!M128</f>
        <v>55</v>
      </c>
      <c r="N112" t="str">
        <f>Koond_kulud!N128</f>
        <v>Muud tegevuskulud</v>
      </c>
      <c r="O112" t="str">
        <f>Koond_kulud!O128</f>
        <v>Majandamiskulud</v>
      </c>
      <c r="P112" t="str">
        <f>Koond_kulud!P128</f>
        <v>Põhitegevuse kulu</v>
      </c>
      <c r="Q112">
        <f>Koond_kulud!Q128</f>
        <v>0</v>
      </c>
    </row>
    <row r="113" spans="1:17" hidden="1" x14ac:dyDescent="0.25">
      <c r="A113" t="str">
        <f>Koond_kulud!A129</f>
        <v>05</v>
      </c>
      <c r="B113" t="str">
        <f>Koond_kulud!B129</f>
        <v xml:space="preserve">05600           </v>
      </c>
      <c r="C113" t="str">
        <f>Koond_kulud!C129</f>
        <v>Muu keskkonnakaitse (sh keskkonnakaitse haldus)</v>
      </c>
      <c r="D113" t="str">
        <f>Koond_kulud!D129</f>
        <v>Muu keskkonnakaitse (sh keskkonnakaitse haldus)</v>
      </c>
      <c r="E113" t="str">
        <f>Koond_kulud!E129</f>
        <v>Keskkonnakaitse</v>
      </c>
      <c r="F113" t="str">
        <f>Koond_kulud!F129</f>
        <v>Keskkonna- ja kommunaalnõunik</v>
      </c>
      <c r="G113" t="str">
        <f>Koond_kulud!G129</f>
        <v>GEODATA jäätmehalduse moodul</v>
      </c>
      <c r="H113">
        <f>Koond_kulud!H129</f>
        <v>446.40000000000003</v>
      </c>
      <c r="I113">
        <f>Koond_kulud!I129</f>
        <v>0</v>
      </c>
      <c r="J113">
        <f>Koond_kulud!J129</f>
        <v>5514</v>
      </c>
      <c r="K113" t="str">
        <f>Koond_kulud!K129</f>
        <v>Info- ja kommunikatsioonitehnoliigised kulud</v>
      </c>
      <c r="L113">
        <f>Koond_kulud!L129</f>
        <v>55</v>
      </c>
      <c r="M113" t="str">
        <f>Koond_kulud!M129</f>
        <v>55</v>
      </c>
      <c r="N113" t="str">
        <f>Koond_kulud!N129</f>
        <v>Muud tegevuskulud</v>
      </c>
      <c r="O113" t="str">
        <f>Koond_kulud!O129</f>
        <v>Majandamiskulud</v>
      </c>
      <c r="P113" t="str">
        <f>Koond_kulud!P129</f>
        <v>Põhitegevuse kulu</v>
      </c>
      <c r="Q113">
        <f>Koond_kulud!Q129</f>
        <v>0</v>
      </c>
    </row>
    <row r="114" spans="1:17" hidden="1" x14ac:dyDescent="0.25">
      <c r="A114" t="str">
        <f>Koond_kulud!A132</f>
        <v>06</v>
      </c>
      <c r="B114" t="str">
        <f>Koond_kulud!B132</f>
        <v xml:space="preserve">06400           </v>
      </c>
      <c r="C114" t="str">
        <f>Koond_kulud!C132</f>
        <v>Tänavavalgustus</v>
      </c>
      <c r="D114" t="str">
        <f>Koond_kulud!D132</f>
        <v>Tänavavalgustus</v>
      </c>
      <c r="E114" t="str">
        <f>Koond_kulud!E132</f>
        <v>Elamu- ja kommunaalmajandus</v>
      </c>
      <c r="F114" t="str">
        <f>Koond_kulud!F132</f>
        <v>Ehitusnõunik</v>
      </c>
      <c r="G114" t="str">
        <f>Koond_kulud!G132</f>
        <v>Tänavalguste elektrikulud</v>
      </c>
      <c r="H114">
        <f>Koond_kulud!H132</f>
        <v>53000</v>
      </c>
      <c r="I114">
        <f>Koond_kulud!I132</f>
        <v>0</v>
      </c>
      <c r="J114">
        <f>Koond_kulud!J132</f>
        <v>5512</v>
      </c>
      <c r="K114" t="str">
        <f>Koond_kulud!K132</f>
        <v>Rajatiste majandamiskulud</v>
      </c>
      <c r="L114">
        <f>Koond_kulud!L132</f>
        <v>55</v>
      </c>
      <c r="M114" t="str">
        <f>Koond_kulud!M132</f>
        <v>55</v>
      </c>
      <c r="N114" t="str">
        <f>Koond_kulud!N132</f>
        <v>Muud tegevuskulud</v>
      </c>
      <c r="O114" t="str">
        <f>Koond_kulud!O132</f>
        <v>Majandamiskulud</v>
      </c>
      <c r="P114" t="str">
        <f>Koond_kulud!P132</f>
        <v>Põhitegevuse kulu</v>
      </c>
      <c r="Q114">
        <f>Koond_kulud!Q132</f>
        <v>0</v>
      </c>
    </row>
    <row r="115" spans="1:17" hidden="1" x14ac:dyDescent="0.25">
      <c r="A115" t="str">
        <f>Koond_kulud!A135</f>
        <v>06</v>
      </c>
      <c r="B115" t="str">
        <f>Koond_kulud!B135</f>
        <v xml:space="preserve">0660501         </v>
      </c>
      <c r="C115" t="str">
        <f>Koond_kulud!C135</f>
        <v>Laekvere teeninduspiirkond</v>
      </c>
      <c r="D115" t="str">
        <f>Koond_kulud!D135</f>
        <v>Muu elamu- ja kommunaalmajanduse tegevus</v>
      </c>
      <c r="E115" t="str">
        <f>Koond_kulud!E135</f>
        <v>Elamu- ja kommunaalmajandus</v>
      </c>
      <c r="F115" t="str">
        <f>Koond_kulud!F135</f>
        <v>Laekvere piirkond</v>
      </c>
      <c r="G115" t="str">
        <f>Koond_kulud!G135</f>
        <v>Laekvere piirkonna varade kindlustus</v>
      </c>
      <c r="H115">
        <f>Koond_kulud!H135</f>
        <v>1100</v>
      </c>
      <c r="I115" t="str">
        <f>Koond_kulud!I135</f>
        <v>2019 eelarves ei olnud planeeritud, kuid kulu tehti, 2018 kohta info puudub</v>
      </c>
      <c r="J115">
        <f>Koond_kulud!J135</f>
        <v>5511</v>
      </c>
      <c r="K115" t="str">
        <f>Koond_kulud!K135</f>
        <v>Kinnistute, hoonete ja ruumide majandamiskulud</v>
      </c>
      <c r="L115">
        <f>Koond_kulud!L135</f>
        <v>55</v>
      </c>
      <c r="M115" t="str">
        <f>Koond_kulud!M135</f>
        <v>55</v>
      </c>
      <c r="N115" t="str">
        <f>Koond_kulud!N135</f>
        <v>Muud tegevuskulud</v>
      </c>
      <c r="O115" t="str">
        <f>Koond_kulud!O135</f>
        <v>Majandamiskulud</v>
      </c>
      <c r="P115" t="str">
        <f>Koond_kulud!P135</f>
        <v>Põhitegevuse kulu</v>
      </c>
      <c r="Q115">
        <f>Koond_kulud!Q135</f>
        <v>0</v>
      </c>
    </row>
    <row r="116" spans="1:17" hidden="1" x14ac:dyDescent="0.25">
      <c r="A116" t="str">
        <f>Koond_kulud!A136</f>
        <v>06</v>
      </c>
      <c r="B116" t="str">
        <f>Koond_kulud!B136</f>
        <v xml:space="preserve">0660501         </v>
      </c>
      <c r="C116" t="str">
        <f>Koond_kulud!C136</f>
        <v>Laekvere teeninduspiirkond</v>
      </c>
      <c r="D116" t="str">
        <f>Koond_kulud!D136</f>
        <v>Muu elamu- ja kommunaalmajanduse tegevus</v>
      </c>
      <c r="E116" t="str">
        <f>Koond_kulud!E136</f>
        <v>Elamu- ja kommunaalmajandus</v>
      </c>
      <c r="F116" t="str">
        <f>Koond_kulud!F136</f>
        <v>Laekvere piirkond</v>
      </c>
      <c r="G116" t="str">
        <f>Koond_kulud!G136</f>
        <v>Töökoja kasutus ja ruumide rent</v>
      </c>
      <c r="H116">
        <f>Koond_kulud!H136</f>
        <v>4500</v>
      </c>
      <c r="I116" t="str">
        <f>Koond_kulud!I136</f>
        <v>Rendime Laekvere PM OÜ-l Kioti traktorile ja seadmetele garaazi, võtame Kioti traktorile diiselkütet, muruniidukite ja Fiat Doblo bensiini</v>
      </c>
      <c r="J116">
        <f>Koond_kulud!J136</f>
        <v>5511</v>
      </c>
      <c r="K116" t="str">
        <f>Koond_kulud!K136</f>
        <v>Kinnistute, hoonete ja ruumide majandamiskulud</v>
      </c>
      <c r="L116">
        <f>Koond_kulud!L136</f>
        <v>55</v>
      </c>
      <c r="M116" t="str">
        <f>Koond_kulud!M136</f>
        <v>55</v>
      </c>
      <c r="N116" t="str">
        <f>Koond_kulud!N136</f>
        <v>Muud tegevuskulud</v>
      </c>
      <c r="O116" t="str">
        <f>Koond_kulud!O136</f>
        <v>Majandamiskulud</v>
      </c>
      <c r="P116" t="str">
        <f>Koond_kulud!P136</f>
        <v>Põhitegevuse kulu</v>
      </c>
      <c r="Q116">
        <f>Koond_kulud!Q136</f>
        <v>0</v>
      </c>
    </row>
    <row r="117" spans="1:17" hidden="1" x14ac:dyDescent="0.25">
      <c r="A117" t="str">
        <f>Koond_kulud!A137</f>
        <v>06</v>
      </c>
      <c r="B117" t="str">
        <f>Koond_kulud!B137</f>
        <v xml:space="preserve">0660501         </v>
      </c>
      <c r="C117" t="str">
        <f>Koond_kulud!C137</f>
        <v>Laekvere teeninduspiirkond</v>
      </c>
      <c r="D117" t="str">
        <f>Koond_kulud!D137</f>
        <v>Muu elamu- ja kommunaalmajanduse tegevus</v>
      </c>
      <c r="E117" t="str">
        <f>Koond_kulud!E137</f>
        <v>Elamu- ja kommunaalmajandus</v>
      </c>
      <c r="F117" t="str">
        <f>Koond_kulud!F137</f>
        <v>Laekvere piirkond</v>
      </c>
      <c r="G117" t="str">
        <f>Koond_kulud!G137</f>
        <v>Remondimaterjalid</v>
      </c>
      <c r="H117">
        <f>Koond_kulud!H137</f>
        <v>10000</v>
      </c>
      <c r="I117" t="str">
        <f>Koond_kulud!I137</f>
        <v>Valla korterid, tööliste olmeruumid, avalikud rajatised, bussiootepaviljonid jne</v>
      </c>
      <c r="J117">
        <f>Koond_kulud!J137</f>
        <v>5511</v>
      </c>
      <c r="K117" t="str">
        <f>Koond_kulud!K137</f>
        <v>Kinnistute, hoonete ja ruumide majandamiskulud</v>
      </c>
      <c r="L117">
        <f>Koond_kulud!L137</f>
        <v>55</v>
      </c>
      <c r="M117" t="str">
        <f>Koond_kulud!M137</f>
        <v>55</v>
      </c>
      <c r="N117" t="str">
        <f>Koond_kulud!N137</f>
        <v>Muud tegevuskulud</v>
      </c>
      <c r="O117" t="str">
        <f>Koond_kulud!O137</f>
        <v>Majandamiskulud</v>
      </c>
      <c r="P117" t="str">
        <f>Koond_kulud!P137</f>
        <v>Põhitegevuse kulu</v>
      </c>
      <c r="Q117">
        <f>Koond_kulud!Q137</f>
        <v>0</v>
      </c>
    </row>
    <row r="118" spans="1:17" hidden="1" x14ac:dyDescent="0.25">
      <c r="A118" t="str">
        <f>Koond_kulud!A138</f>
        <v>06</v>
      </c>
      <c r="B118" t="str">
        <f>Koond_kulud!B138</f>
        <v xml:space="preserve">0660501         </v>
      </c>
      <c r="C118" t="str">
        <f>Koond_kulud!C138</f>
        <v>Laekvere teeninduspiirkond</v>
      </c>
      <c r="D118" t="str">
        <f>Koond_kulud!D138</f>
        <v>Muu elamu- ja kommunaalmajanduse tegevus</v>
      </c>
      <c r="E118" t="str">
        <f>Koond_kulud!E138</f>
        <v>Elamu- ja kommunaalmajandus</v>
      </c>
      <c r="F118" t="str">
        <f>Koond_kulud!F138</f>
        <v>Laekvere piirkond</v>
      </c>
      <c r="G118" t="str">
        <f>Koond_kulud!G138</f>
        <v>Vesi-ja kanalisastioon</v>
      </c>
      <c r="H118">
        <f>Koond_kulud!H138</f>
        <v>1700</v>
      </c>
      <c r="I118" t="str">
        <f>Koond_kulud!I138</f>
        <v>Salutaguse tee 2 ja Paasvere külamaja -Emajõe Veevärk</v>
      </c>
      <c r="J118">
        <f>Koond_kulud!J138</f>
        <v>5511</v>
      </c>
      <c r="K118" t="str">
        <f>Koond_kulud!K138</f>
        <v>Kinnistute, hoonete ja ruumide majandamiskulud</v>
      </c>
      <c r="L118">
        <f>Koond_kulud!L138</f>
        <v>55</v>
      </c>
      <c r="M118" t="str">
        <f>Koond_kulud!M138</f>
        <v>55</v>
      </c>
      <c r="N118" t="str">
        <f>Koond_kulud!N138</f>
        <v>Muud tegevuskulud</v>
      </c>
      <c r="O118" t="str">
        <f>Koond_kulud!O138</f>
        <v>Majandamiskulud</v>
      </c>
      <c r="P118" t="str">
        <f>Koond_kulud!P138</f>
        <v>Põhitegevuse kulu</v>
      </c>
      <c r="Q118">
        <f>Koond_kulud!Q138</f>
        <v>0</v>
      </c>
    </row>
    <row r="119" spans="1:17" hidden="1" x14ac:dyDescent="0.25">
      <c r="A119" t="str">
        <f>Koond_kulud!A139</f>
        <v>06</v>
      </c>
      <c r="B119" t="str">
        <f>Koond_kulud!B139</f>
        <v xml:space="preserve">0660501         </v>
      </c>
      <c r="C119" t="str">
        <f>Koond_kulud!C139</f>
        <v>Laekvere teeninduspiirkond</v>
      </c>
      <c r="D119" t="str">
        <f>Koond_kulud!D139</f>
        <v>Muu elamu- ja kommunaalmajanduse tegevus</v>
      </c>
      <c r="E119" t="str">
        <f>Koond_kulud!E139</f>
        <v>Elamu- ja kommunaalmajandus</v>
      </c>
      <c r="F119" t="str">
        <f>Koond_kulud!F139</f>
        <v>Laekvere piirkond</v>
      </c>
      <c r="G119" t="str">
        <f>Koond_kulud!G139</f>
        <v>Veeautomaat Saku Läte</v>
      </c>
      <c r="H119">
        <f>Koond_kulud!H139</f>
        <v>550</v>
      </c>
      <c r="I119" t="str">
        <f>Koond_kulud!I139</f>
        <v>Salutaguse tee 2</v>
      </c>
      <c r="J119">
        <f>Koond_kulud!J139</f>
        <v>5511</v>
      </c>
      <c r="K119" t="str">
        <f>Koond_kulud!K139</f>
        <v>Kinnistute, hoonete ja ruumide majandamiskulud</v>
      </c>
      <c r="L119">
        <f>Koond_kulud!L139</f>
        <v>55</v>
      </c>
      <c r="M119" t="str">
        <f>Koond_kulud!M139</f>
        <v>55</v>
      </c>
      <c r="N119" t="str">
        <f>Koond_kulud!N139</f>
        <v>Muud tegevuskulud</v>
      </c>
      <c r="O119" t="str">
        <f>Koond_kulud!O139</f>
        <v>Majandamiskulud</v>
      </c>
      <c r="P119" t="str">
        <f>Koond_kulud!P139</f>
        <v>Põhitegevuse kulu</v>
      </c>
      <c r="Q119">
        <f>Koond_kulud!Q139</f>
        <v>0</v>
      </c>
    </row>
    <row r="120" spans="1:17" hidden="1" x14ac:dyDescent="0.25">
      <c r="A120" t="str">
        <f>Koond_kulud!A140</f>
        <v>06</v>
      </c>
      <c r="B120" t="str">
        <f>Koond_kulud!B140</f>
        <v xml:space="preserve">0660501         </v>
      </c>
      <c r="C120" t="str">
        <f>Koond_kulud!C140</f>
        <v>Laekvere teeninduspiirkond</v>
      </c>
      <c r="D120" t="str">
        <f>Koond_kulud!D140</f>
        <v>Muu elamu- ja kommunaalmajanduse tegevus</v>
      </c>
      <c r="E120" t="str">
        <f>Koond_kulud!E140</f>
        <v>Elamu- ja kommunaalmajandus</v>
      </c>
      <c r="F120" t="str">
        <f>Koond_kulud!F140</f>
        <v>Laekvere piirkond</v>
      </c>
      <c r="G120" t="str">
        <f>Koond_kulud!G140</f>
        <v>Kohvimasina hooldus</v>
      </c>
      <c r="H120">
        <f>Koond_kulud!H140</f>
        <v>120</v>
      </c>
      <c r="I120" t="str">
        <f>Koond_kulud!I140</f>
        <v>Salutaguse tee 2</v>
      </c>
      <c r="J120">
        <f>Koond_kulud!J140</f>
        <v>5511</v>
      </c>
      <c r="K120" t="str">
        <f>Koond_kulud!K140</f>
        <v>Kinnistute, hoonete ja ruumide majandamiskulud</v>
      </c>
      <c r="L120">
        <f>Koond_kulud!L140</f>
        <v>55</v>
      </c>
      <c r="M120" t="str">
        <f>Koond_kulud!M140</f>
        <v>55</v>
      </c>
      <c r="N120" t="str">
        <f>Koond_kulud!N140</f>
        <v>Muud tegevuskulud</v>
      </c>
      <c r="O120" t="str">
        <f>Koond_kulud!O140</f>
        <v>Majandamiskulud</v>
      </c>
      <c r="P120" t="str">
        <f>Koond_kulud!P140</f>
        <v>Põhitegevuse kulu</v>
      </c>
      <c r="Q120">
        <f>Koond_kulud!Q140</f>
        <v>0</v>
      </c>
    </row>
    <row r="121" spans="1:17" hidden="1" x14ac:dyDescent="0.25">
      <c r="A121" t="str">
        <f>Koond_kulud!A141</f>
        <v>06</v>
      </c>
      <c r="B121" t="str">
        <f>Koond_kulud!B141</f>
        <v xml:space="preserve">0660501         </v>
      </c>
      <c r="C121" t="str">
        <f>Koond_kulud!C141</f>
        <v>Laekvere teeninduspiirkond</v>
      </c>
      <c r="D121" t="str">
        <f>Koond_kulud!D141</f>
        <v>Muu elamu- ja kommunaalmajanduse tegevus</v>
      </c>
      <c r="E121" t="str">
        <f>Koond_kulud!E141</f>
        <v>Elamu- ja kommunaalmajandus</v>
      </c>
      <c r="F121" t="str">
        <f>Koond_kulud!F141</f>
        <v>Laekvere piirkond</v>
      </c>
      <c r="G121" t="str">
        <f>Koond_kulud!G141</f>
        <v>Porivaipade rent (Linström)</v>
      </c>
      <c r="H121">
        <f>Koond_kulud!H141</f>
        <v>650</v>
      </c>
      <c r="I121" t="str">
        <f>Koond_kulud!I141</f>
        <v xml:space="preserve">Salutaguse tee 2 </v>
      </c>
      <c r="J121">
        <f>Koond_kulud!J141</f>
        <v>5511</v>
      </c>
      <c r="K121" t="str">
        <f>Koond_kulud!K141</f>
        <v>Kinnistute, hoonete ja ruumide majandamiskulud</v>
      </c>
      <c r="L121">
        <f>Koond_kulud!L141</f>
        <v>55</v>
      </c>
      <c r="M121" t="str">
        <f>Koond_kulud!M141</f>
        <v>55</v>
      </c>
      <c r="N121" t="str">
        <f>Koond_kulud!N141</f>
        <v>Muud tegevuskulud</v>
      </c>
      <c r="O121" t="str">
        <f>Koond_kulud!O141</f>
        <v>Majandamiskulud</v>
      </c>
      <c r="P121" t="str">
        <f>Koond_kulud!P141</f>
        <v>Põhitegevuse kulu</v>
      </c>
      <c r="Q121">
        <f>Koond_kulud!Q141</f>
        <v>0</v>
      </c>
    </row>
    <row r="122" spans="1:17" hidden="1" x14ac:dyDescent="0.25">
      <c r="A122" t="str">
        <f>Koond_kulud!A142</f>
        <v>06</v>
      </c>
      <c r="B122" t="str">
        <f>Koond_kulud!B142</f>
        <v xml:space="preserve">0660501         </v>
      </c>
      <c r="C122" t="str">
        <f>Koond_kulud!C142</f>
        <v>Laekvere teeninduspiirkond</v>
      </c>
      <c r="D122" t="str">
        <f>Koond_kulud!D142</f>
        <v>Muu elamu- ja kommunaalmajanduse tegevus</v>
      </c>
      <c r="E122" t="str">
        <f>Koond_kulud!E142</f>
        <v>Elamu- ja kommunaalmajandus</v>
      </c>
      <c r="F122" t="str">
        <f>Koond_kulud!F142</f>
        <v>Laekvere piirkond</v>
      </c>
      <c r="G122" t="str">
        <f>Koond_kulud!G142</f>
        <v>Keskküte</v>
      </c>
      <c r="H122">
        <f>Koond_kulud!H142</f>
        <v>7500</v>
      </c>
      <c r="I122" t="str">
        <f>Koond_kulud!I142</f>
        <v xml:space="preserve">Salutaguse tee 2 terve hoone </v>
      </c>
      <c r="J122">
        <f>Koond_kulud!J142</f>
        <v>5511</v>
      </c>
      <c r="K122" t="str">
        <f>Koond_kulud!K142</f>
        <v>Kinnistute, hoonete ja ruumide majandamiskulud</v>
      </c>
      <c r="L122">
        <f>Koond_kulud!L142</f>
        <v>55</v>
      </c>
      <c r="M122" t="str">
        <f>Koond_kulud!M142</f>
        <v>55</v>
      </c>
      <c r="N122" t="str">
        <f>Koond_kulud!N142</f>
        <v>Muud tegevuskulud</v>
      </c>
      <c r="O122" t="str">
        <f>Koond_kulud!O142</f>
        <v>Majandamiskulud</v>
      </c>
      <c r="P122" t="str">
        <f>Koond_kulud!P142</f>
        <v>Põhitegevuse kulu</v>
      </c>
      <c r="Q122">
        <f>Koond_kulud!Q142</f>
        <v>0</v>
      </c>
    </row>
    <row r="123" spans="1:17" hidden="1" x14ac:dyDescent="0.25">
      <c r="A123" t="str">
        <f>Koond_kulud!A143</f>
        <v>06</v>
      </c>
      <c r="B123" t="str">
        <f>Koond_kulud!B143</f>
        <v xml:space="preserve">0660501         </v>
      </c>
      <c r="C123" t="str">
        <f>Koond_kulud!C143</f>
        <v>Laekvere teeninduspiirkond</v>
      </c>
      <c r="D123" t="str">
        <f>Koond_kulud!D143</f>
        <v>Muu elamu- ja kommunaalmajanduse tegevus</v>
      </c>
      <c r="E123" t="str">
        <f>Koond_kulud!E143</f>
        <v>Elamu- ja kommunaalmajandus</v>
      </c>
      <c r="F123" t="str">
        <f>Koond_kulud!F143</f>
        <v>Laekvere piirkond</v>
      </c>
      <c r="G123" t="str">
        <f>Koond_kulud!G143</f>
        <v xml:space="preserve">Elekter </v>
      </c>
      <c r="H123">
        <f>Koond_kulud!H143</f>
        <v>7400</v>
      </c>
      <c r="I123" t="str">
        <f>Koond_kulud!I143</f>
        <v>Salutaguse tee 2 terve hoone ja Paasvere külamaja</v>
      </c>
      <c r="J123">
        <f>Koond_kulud!J143</f>
        <v>5511</v>
      </c>
      <c r="K123" t="str">
        <f>Koond_kulud!K143</f>
        <v>Kinnistute, hoonete ja ruumide majandamiskulud</v>
      </c>
      <c r="L123">
        <f>Koond_kulud!L143</f>
        <v>55</v>
      </c>
      <c r="M123" t="str">
        <f>Koond_kulud!M143</f>
        <v>55</v>
      </c>
      <c r="N123" t="str">
        <f>Koond_kulud!N143</f>
        <v>Muud tegevuskulud</v>
      </c>
      <c r="O123" t="str">
        <f>Koond_kulud!O143</f>
        <v>Majandamiskulud</v>
      </c>
      <c r="P123" t="str">
        <f>Koond_kulud!P143</f>
        <v>Põhitegevuse kulu</v>
      </c>
      <c r="Q123">
        <f>Koond_kulud!Q143</f>
        <v>0</v>
      </c>
    </row>
    <row r="124" spans="1:17" hidden="1" x14ac:dyDescent="0.25">
      <c r="A124" t="str">
        <f>Koond_kulud!A144</f>
        <v>06</v>
      </c>
      <c r="B124" t="str">
        <f>Koond_kulud!B144</f>
        <v xml:space="preserve">0660501         </v>
      </c>
      <c r="C124" t="str">
        <f>Koond_kulud!C144</f>
        <v>Laekvere teeninduspiirkond</v>
      </c>
      <c r="D124" t="str">
        <f>Koond_kulud!D144</f>
        <v>Muu elamu- ja kommunaalmajanduse tegevus</v>
      </c>
      <c r="E124" t="str">
        <f>Koond_kulud!E144</f>
        <v>Elamu- ja kommunaalmajandus</v>
      </c>
      <c r="F124" t="str">
        <f>Koond_kulud!F144</f>
        <v>Laekvere piirkond</v>
      </c>
      <c r="G124" t="str">
        <f>Koond_kulud!G144</f>
        <v>Elektri käidukorraldus</v>
      </c>
      <c r="H124">
        <f>Koond_kulud!H144</f>
        <v>9360</v>
      </c>
      <c r="I124" t="str">
        <f>Koond_kulud!I144</f>
        <v>Enno Mandel Elektritööd teostabLaekvere piirkonna eletripaigaldiste käidukorraldust</v>
      </c>
      <c r="J124">
        <f>Koond_kulud!J144</f>
        <v>5511</v>
      </c>
      <c r="K124" t="str">
        <f>Koond_kulud!K144</f>
        <v>Kinnistute, hoonete ja ruumide majandamiskulud</v>
      </c>
      <c r="L124">
        <f>Koond_kulud!L144</f>
        <v>55</v>
      </c>
      <c r="M124" t="str">
        <f>Koond_kulud!M144</f>
        <v>55</v>
      </c>
      <c r="N124" t="str">
        <f>Koond_kulud!N144</f>
        <v>Muud tegevuskulud</v>
      </c>
      <c r="O124" t="str">
        <f>Koond_kulud!O144</f>
        <v>Majandamiskulud</v>
      </c>
      <c r="P124" t="str">
        <f>Koond_kulud!P144</f>
        <v>Põhitegevuse kulu</v>
      </c>
      <c r="Q124">
        <f>Koond_kulud!Q144</f>
        <v>0</v>
      </c>
    </row>
    <row r="125" spans="1:17" hidden="1" x14ac:dyDescent="0.25">
      <c r="A125" t="str">
        <f>Koond_kulud!A145</f>
        <v>06</v>
      </c>
      <c r="B125" t="str">
        <f>Koond_kulud!B145</f>
        <v xml:space="preserve">0660501         </v>
      </c>
      <c r="C125" t="str">
        <f>Koond_kulud!C145</f>
        <v>Laekvere teeninduspiirkond</v>
      </c>
      <c r="D125" t="str">
        <f>Koond_kulud!D145</f>
        <v>Muu elamu- ja kommunaalmajanduse tegevus</v>
      </c>
      <c r="E125" t="str">
        <f>Koond_kulud!E145</f>
        <v>Elamu- ja kommunaalmajandus</v>
      </c>
      <c r="F125" t="str">
        <f>Koond_kulud!F145</f>
        <v>Laekvere piirkond</v>
      </c>
      <c r="G125" t="str">
        <f>Koond_kulud!G145</f>
        <v>Signalisatsiooni hooldus</v>
      </c>
      <c r="H125">
        <f>Koond_kulud!H145</f>
        <v>210</v>
      </c>
      <c r="I125" t="str">
        <f>Koond_kulud!I145</f>
        <v>Salutaguse tee 2 hoone Ennak SEL</v>
      </c>
      <c r="J125">
        <f>Koond_kulud!J145</f>
        <v>5511</v>
      </c>
      <c r="K125" t="str">
        <f>Koond_kulud!K145</f>
        <v>Kinnistute, hoonete ja ruumide majandamiskulud</v>
      </c>
      <c r="L125">
        <f>Koond_kulud!L145</f>
        <v>55</v>
      </c>
      <c r="M125" t="str">
        <f>Koond_kulud!M145</f>
        <v>55</v>
      </c>
      <c r="N125" t="str">
        <f>Koond_kulud!N145</f>
        <v>Muud tegevuskulud</v>
      </c>
      <c r="O125" t="str">
        <f>Koond_kulud!O145</f>
        <v>Majandamiskulud</v>
      </c>
      <c r="P125" t="str">
        <f>Koond_kulud!P145</f>
        <v>Põhitegevuse kulu</v>
      </c>
      <c r="Q125">
        <f>Koond_kulud!Q145</f>
        <v>0</v>
      </c>
    </row>
    <row r="126" spans="1:17" hidden="1" x14ac:dyDescent="0.25">
      <c r="A126" t="str">
        <f>Koond_kulud!A146</f>
        <v>06</v>
      </c>
      <c r="B126" t="str">
        <f>Koond_kulud!B146</f>
        <v xml:space="preserve">0660501         </v>
      </c>
      <c r="C126" t="str">
        <f>Koond_kulud!C146</f>
        <v>Laekvere teeninduspiirkond</v>
      </c>
      <c r="D126" t="str">
        <f>Koond_kulud!D146</f>
        <v>Muu elamu- ja kommunaalmajanduse tegevus</v>
      </c>
      <c r="E126" t="str">
        <f>Koond_kulud!E146</f>
        <v>Elamu- ja kommunaalmajandus</v>
      </c>
      <c r="F126" t="str">
        <f>Koond_kulud!F146</f>
        <v>Laekvere piirkond</v>
      </c>
      <c r="G126" t="str">
        <f>Koond_kulud!G146</f>
        <v>Korrashoiu vahendid</v>
      </c>
      <c r="H126">
        <f>Koond_kulud!H146</f>
        <v>3500</v>
      </c>
      <c r="I126" t="str">
        <f>Koond_kulud!I146</f>
        <v>Koristustarbed,luuad, harjad wc paber ,kätepaber jne-olen arvestanud ka Laekvere sauna puhastusvahendite  kulu</v>
      </c>
      <c r="J126">
        <f>Koond_kulud!J146</f>
        <v>5511</v>
      </c>
      <c r="K126" t="str">
        <f>Koond_kulud!K146</f>
        <v>Kinnistute, hoonete ja ruumide majandamiskulud</v>
      </c>
      <c r="L126">
        <f>Koond_kulud!L146</f>
        <v>55</v>
      </c>
      <c r="M126" t="str">
        <f>Koond_kulud!M146</f>
        <v>55</v>
      </c>
      <c r="N126" t="str">
        <f>Koond_kulud!N146</f>
        <v>Muud tegevuskulud</v>
      </c>
      <c r="O126" t="str">
        <f>Koond_kulud!O146</f>
        <v>Majandamiskulud</v>
      </c>
      <c r="P126" t="str">
        <f>Koond_kulud!P146</f>
        <v>Põhitegevuse kulu</v>
      </c>
      <c r="Q126">
        <f>Koond_kulud!Q146</f>
        <v>0</v>
      </c>
    </row>
    <row r="127" spans="1:17" hidden="1" x14ac:dyDescent="0.25">
      <c r="A127" t="str">
        <f>Koond_kulud!A147</f>
        <v>06</v>
      </c>
      <c r="B127" t="str">
        <f>Koond_kulud!B147</f>
        <v xml:space="preserve">0660501         </v>
      </c>
      <c r="C127" t="str">
        <f>Koond_kulud!C147</f>
        <v>Laekvere teeninduspiirkond</v>
      </c>
      <c r="D127" t="str">
        <f>Koond_kulud!D147</f>
        <v>Muu elamu- ja kommunaalmajanduse tegevus</v>
      </c>
      <c r="E127" t="str">
        <f>Koond_kulud!E147</f>
        <v>Elamu- ja kommunaalmajandus</v>
      </c>
      <c r="F127" t="str">
        <f>Koond_kulud!F147</f>
        <v>Laekvere piirkond</v>
      </c>
      <c r="G127" t="str">
        <f>Koond_kulud!G147</f>
        <v>Ohtlike puude raie</v>
      </c>
      <c r="H127">
        <f>Koond_kulud!H147</f>
        <v>2100</v>
      </c>
      <c r="I127" t="str">
        <f>Koond_kulud!I147</f>
        <v>Kokku vaja maha võtta ca 14 ohtlikku puud, arboristi teenus  vähemalt 150€ puu, lõhkuda Laekveres hakkide pesasid</v>
      </c>
      <c r="J127">
        <f>Koond_kulud!J147</f>
        <v>5511</v>
      </c>
      <c r="K127" t="str">
        <f>Koond_kulud!K147</f>
        <v>Kinnistute, hoonete ja ruumide majandamiskulud</v>
      </c>
      <c r="L127">
        <f>Koond_kulud!L147</f>
        <v>55</v>
      </c>
      <c r="M127" t="str">
        <f>Koond_kulud!M147</f>
        <v>55</v>
      </c>
      <c r="N127" t="str">
        <f>Koond_kulud!N147</f>
        <v>Muud tegevuskulud</v>
      </c>
      <c r="O127" t="str">
        <f>Koond_kulud!O147</f>
        <v>Majandamiskulud</v>
      </c>
      <c r="P127" t="str">
        <f>Koond_kulud!P147</f>
        <v>Põhitegevuse kulu</v>
      </c>
      <c r="Q127">
        <f>Koond_kulud!Q147</f>
        <v>0</v>
      </c>
    </row>
    <row r="128" spans="1:17" hidden="1" x14ac:dyDescent="0.25">
      <c r="A128" t="str">
        <f>Koond_kulud!A148</f>
        <v>06</v>
      </c>
      <c r="B128" t="str">
        <f>Koond_kulud!B148</f>
        <v xml:space="preserve">0660501         </v>
      </c>
      <c r="C128" t="str">
        <f>Koond_kulud!C148</f>
        <v>Laekvere teeninduspiirkond</v>
      </c>
      <c r="D128" t="str">
        <f>Koond_kulud!D148</f>
        <v>Muu elamu- ja kommunaalmajanduse tegevus</v>
      </c>
      <c r="E128" t="str">
        <f>Koond_kulud!E148</f>
        <v>Elamu- ja kommunaalmajandus</v>
      </c>
      <c r="F128" t="str">
        <f>Koond_kulud!F148</f>
        <v>Laekvere piirkond</v>
      </c>
      <c r="G128" t="str">
        <f>Koond_kulud!G148</f>
        <v xml:space="preserve">Prügivedu </v>
      </c>
      <c r="H128">
        <f>Koond_kulud!H148</f>
        <v>600</v>
      </c>
      <c r="I128" t="str">
        <f>Koond_kulud!I148</f>
        <v>Ragn Sells</v>
      </c>
      <c r="J128">
        <f>Koond_kulud!J148</f>
        <v>5511</v>
      </c>
      <c r="K128" t="str">
        <f>Koond_kulud!K148</f>
        <v>Kinnistute, hoonete ja ruumide majandamiskulud</v>
      </c>
      <c r="L128">
        <f>Koond_kulud!L148</f>
        <v>55</v>
      </c>
      <c r="M128" t="str">
        <f>Koond_kulud!M148</f>
        <v>55</v>
      </c>
      <c r="N128" t="str">
        <f>Koond_kulud!N148</f>
        <v>Muud tegevuskulud</v>
      </c>
      <c r="O128" t="str">
        <f>Koond_kulud!O148</f>
        <v>Majandamiskulud</v>
      </c>
      <c r="P128" t="str">
        <f>Koond_kulud!P148</f>
        <v>Põhitegevuse kulu</v>
      </c>
      <c r="Q128">
        <f>Koond_kulud!Q148</f>
        <v>0</v>
      </c>
    </row>
    <row r="129" spans="1:17" hidden="1" x14ac:dyDescent="0.25">
      <c r="A129" t="str">
        <f>Koond_kulud!A149</f>
        <v>06</v>
      </c>
      <c r="B129" t="str">
        <f>Koond_kulud!B149</f>
        <v xml:space="preserve">0660501         </v>
      </c>
      <c r="C129" t="str">
        <f>Koond_kulud!C149</f>
        <v>Laekvere teeninduspiirkond</v>
      </c>
      <c r="D129" t="str">
        <f>Koond_kulud!D149</f>
        <v>Muu elamu- ja kommunaalmajanduse tegevus</v>
      </c>
      <c r="E129" t="str">
        <f>Koond_kulud!E149</f>
        <v>Elamu- ja kommunaalmajandus</v>
      </c>
      <c r="F129" t="str">
        <f>Koond_kulud!F149</f>
        <v>Laekvere piirkond</v>
      </c>
      <c r="G129" t="str">
        <f>Koond_kulud!G149</f>
        <v>Paberikonteinerite tühjendus</v>
      </c>
      <c r="H129">
        <f>Koond_kulud!H149</f>
        <v>670</v>
      </c>
      <c r="I129" t="str">
        <f>Koond_kulud!I149</f>
        <v>Väätsa Prügila</v>
      </c>
      <c r="J129">
        <f>Koond_kulud!J149</f>
        <v>5511</v>
      </c>
      <c r="K129" t="str">
        <f>Koond_kulud!K149</f>
        <v>Kinnistute, hoonete ja ruumide majandamiskulud</v>
      </c>
      <c r="L129">
        <f>Koond_kulud!L149</f>
        <v>55</v>
      </c>
      <c r="M129" t="str">
        <f>Koond_kulud!M149</f>
        <v>55</v>
      </c>
      <c r="N129" t="str">
        <f>Koond_kulud!N149</f>
        <v>Muud tegevuskulud</v>
      </c>
      <c r="O129" t="str">
        <f>Koond_kulud!O149</f>
        <v>Majandamiskulud</v>
      </c>
      <c r="P129" t="str">
        <f>Koond_kulud!P149</f>
        <v>Põhitegevuse kulu</v>
      </c>
      <c r="Q129">
        <f>Koond_kulud!Q149</f>
        <v>0</v>
      </c>
    </row>
    <row r="130" spans="1:17" hidden="1" x14ac:dyDescent="0.25">
      <c r="A130" t="str">
        <f>Koond_kulud!A150</f>
        <v>06</v>
      </c>
      <c r="B130" t="str">
        <f>Koond_kulud!B150</f>
        <v xml:space="preserve">0660501         </v>
      </c>
      <c r="C130" t="str">
        <f>Koond_kulud!C150</f>
        <v>Laekvere teeninduspiirkond</v>
      </c>
      <c r="D130" t="str">
        <f>Koond_kulud!D150</f>
        <v>Muu elamu- ja kommunaalmajanduse tegevus</v>
      </c>
      <c r="E130" t="str">
        <f>Koond_kulud!E150</f>
        <v>Elamu- ja kommunaalmajandus</v>
      </c>
      <c r="F130" t="str">
        <f>Koond_kulud!F150</f>
        <v>Laekvere piirkond</v>
      </c>
      <c r="G130" t="str">
        <f>Koond_kulud!G150</f>
        <v>Korteriühistute tasud</v>
      </c>
      <c r="H130">
        <f>Koond_kulud!H150</f>
        <v>12000</v>
      </c>
      <c r="I130" t="str">
        <f>Koond_kulud!I150</f>
        <v>Remondifond, tühjade valla korterite küte, kommunaalid(peab vaatama 2019 tegelikke kulusid) Kelle eelarvest lähevad sotsiaalkorterite Vassivere põik 4-5;4-18;1-1 ja 1-13 kulud?</v>
      </c>
      <c r="J130">
        <f>Koond_kulud!J150</f>
        <v>5511</v>
      </c>
      <c r="K130" t="str">
        <f>Koond_kulud!K150</f>
        <v>Kinnistute, hoonete ja ruumide majandamiskulud</v>
      </c>
      <c r="L130">
        <f>Koond_kulud!L150</f>
        <v>55</v>
      </c>
      <c r="M130" t="str">
        <f>Koond_kulud!M150</f>
        <v>55</v>
      </c>
      <c r="N130" t="str">
        <f>Koond_kulud!N150</f>
        <v>Muud tegevuskulud</v>
      </c>
      <c r="O130" t="str">
        <f>Koond_kulud!O150</f>
        <v>Majandamiskulud</v>
      </c>
      <c r="P130" t="str">
        <f>Koond_kulud!P150</f>
        <v>Põhitegevuse kulu</v>
      </c>
      <c r="Q130">
        <f>Koond_kulud!Q150</f>
        <v>0</v>
      </c>
    </row>
    <row r="131" spans="1:17" hidden="1" x14ac:dyDescent="0.25">
      <c r="A131" t="str">
        <f>Koond_kulud!A151</f>
        <v>06</v>
      </c>
      <c r="B131" t="str">
        <f>Koond_kulud!B151</f>
        <v xml:space="preserve">0660501         </v>
      </c>
      <c r="C131" t="str">
        <f>Koond_kulud!C151</f>
        <v>Laekvere teeninduspiirkond</v>
      </c>
      <c r="D131" t="str">
        <f>Koond_kulud!D151</f>
        <v>Muu elamu- ja kommunaalmajanduse tegevus</v>
      </c>
      <c r="E131" t="str">
        <f>Koond_kulud!E151</f>
        <v>Elamu- ja kommunaalmajandus</v>
      </c>
      <c r="F131" t="str">
        <f>Koond_kulud!F151</f>
        <v>Laekvere piirkond</v>
      </c>
      <c r="G131" t="str">
        <f>Koond_kulud!G151</f>
        <v xml:space="preserve">Amplid, lilled,istikud </v>
      </c>
      <c r="H131">
        <f>Koond_kulud!H151</f>
        <v>1300</v>
      </c>
      <c r="I131" t="str">
        <f>Koond_kulud!I151</f>
        <v>Laekvere parki on vaja istutada uusi puid ca 10 tk 80€ suur potis istik</v>
      </c>
      <c r="J131">
        <f>Koond_kulud!J151</f>
        <v>5511</v>
      </c>
      <c r="K131" t="str">
        <f>Koond_kulud!K151</f>
        <v>Kinnistute, hoonete ja ruumide majandamiskulud</v>
      </c>
      <c r="L131">
        <f>Koond_kulud!L151</f>
        <v>55</v>
      </c>
      <c r="M131" t="str">
        <f>Koond_kulud!M151</f>
        <v>55</v>
      </c>
      <c r="N131" t="str">
        <f>Koond_kulud!N151</f>
        <v>Muud tegevuskulud</v>
      </c>
      <c r="O131" t="str">
        <f>Koond_kulud!O151</f>
        <v>Majandamiskulud</v>
      </c>
      <c r="P131" t="str">
        <f>Koond_kulud!P151</f>
        <v>Põhitegevuse kulu</v>
      </c>
      <c r="Q131">
        <f>Koond_kulud!Q151</f>
        <v>0</v>
      </c>
    </row>
    <row r="132" spans="1:17" hidden="1" x14ac:dyDescent="0.25">
      <c r="A132" t="str">
        <f>Koond_kulud!A152</f>
        <v>06</v>
      </c>
      <c r="B132" t="str">
        <f>Koond_kulud!B152</f>
        <v xml:space="preserve">0660501         </v>
      </c>
      <c r="C132" t="str">
        <f>Koond_kulud!C152</f>
        <v>Laekvere teeninduspiirkond</v>
      </c>
      <c r="D132" t="str">
        <f>Koond_kulud!D152</f>
        <v>Muu elamu- ja kommunaalmajanduse tegevus</v>
      </c>
      <c r="E132" t="str">
        <f>Koond_kulud!E152</f>
        <v>Elamu- ja kommunaalmajandus</v>
      </c>
      <c r="F132" t="str">
        <f>Koond_kulud!F152</f>
        <v>Laekvere piirkond</v>
      </c>
      <c r="G132" t="str">
        <f>Koond_kulud!G152</f>
        <v>ELISA TV</v>
      </c>
      <c r="H132">
        <f>Koond_kulud!H152</f>
        <v>360</v>
      </c>
      <c r="I132" t="str">
        <f>Koond_kulud!I152</f>
        <v>Vassivere põik 1-1 ja 1-13  sotsiaalkorterite  elanike TV, mille nad vallale kinni maksavad</v>
      </c>
      <c r="J132">
        <f>Koond_kulud!J152</f>
        <v>5511</v>
      </c>
      <c r="K132" t="str">
        <f>Koond_kulud!K152</f>
        <v>Kinnistute, hoonete ja ruumide majandamiskulud</v>
      </c>
      <c r="L132">
        <f>Koond_kulud!L152</f>
        <v>55</v>
      </c>
      <c r="M132" t="str">
        <f>Koond_kulud!M152</f>
        <v>55</v>
      </c>
      <c r="N132" t="str">
        <f>Koond_kulud!N152</f>
        <v>Muud tegevuskulud</v>
      </c>
      <c r="O132" t="str">
        <f>Koond_kulud!O152</f>
        <v>Majandamiskulud</v>
      </c>
      <c r="P132" t="str">
        <f>Koond_kulud!P152</f>
        <v>Põhitegevuse kulu</v>
      </c>
      <c r="Q132">
        <f>Koond_kulud!Q152</f>
        <v>0</v>
      </c>
    </row>
    <row r="133" spans="1:17" hidden="1" x14ac:dyDescent="0.25">
      <c r="A133" t="str">
        <f>Koond_kulud!A153</f>
        <v>06</v>
      </c>
      <c r="B133" t="str">
        <f>Koond_kulud!B153</f>
        <v xml:space="preserve">0660501         </v>
      </c>
      <c r="C133" t="str">
        <f>Koond_kulud!C153</f>
        <v>Laekvere teeninduspiirkond</v>
      </c>
      <c r="D133" t="str">
        <f>Koond_kulud!D153</f>
        <v>Muu elamu- ja kommunaalmajanduse tegevus</v>
      </c>
      <c r="E133" t="str">
        <f>Koond_kulud!E153</f>
        <v>Elamu- ja kommunaalmajandus</v>
      </c>
      <c r="F133" t="str">
        <f>Koond_kulud!F153</f>
        <v>Laekvere piirkond</v>
      </c>
      <c r="G133" t="str">
        <f>Koond_kulud!G153</f>
        <v>Kontoritarbed</v>
      </c>
      <c r="H133">
        <f>Koond_kulud!H153</f>
        <v>400</v>
      </c>
      <c r="I133" t="str">
        <f>Koond_kulud!I153</f>
        <v>Tahmad, paber, pliiatsid jne.</v>
      </c>
      <c r="J133">
        <f>Koond_kulud!J153</f>
        <v>5500</v>
      </c>
      <c r="K133" t="str">
        <f>Koond_kulud!K153</f>
        <v>Administreerimiskulud</v>
      </c>
      <c r="L133">
        <f>Koond_kulud!L153</f>
        <v>55</v>
      </c>
      <c r="M133" t="str">
        <f>Koond_kulud!M153</f>
        <v>55</v>
      </c>
      <c r="N133" t="str">
        <f>Koond_kulud!N153</f>
        <v>Muud tegevuskulud</v>
      </c>
      <c r="O133" t="str">
        <f>Koond_kulud!O153</f>
        <v>Majandamiskulud</v>
      </c>
      <c r="P133" t="str">
        <f>Koond_kulud!P153</f>
        <v>Põhitegevuse kulu</v>
      </c>
      <c r="Q133">
        <f>Koond_kulud!Q153</f>
        <v>0</v>
      </c>
    </row>
    <row r="134" spans="1:17" hidden="1" x14ac:dyDescent="0.25">
      <c r="A134" t="str">
        <f>Koond_kulud!A154</f>
        <v>06</v>
      </c>
      <c r="B134" t="str">
        <f>Koond_kulud!B154</f>
        <v xml:space="preserve">0660501         </v>
      </c>
      <c r="C134" t="str">
        <f>Koond_kulud!C154</f>
        <v>Laekvere teeninduspiirkond</v>
      </c>
      <c r="D134" t="str">
        <f>Koond_kulud!D154</f>
        <v>Muu elamu- ja kommunaalmajanduse tegevus</v>
      </c>
      <c r="E134" t="str">
        <f>Koond_kulud!E154</f>
        <v>Elamu- ja kommunaalmajandus</v>
      </c>
      <c r="F134" t="str">
        <f>Koond_kulud!F154</f>
        <v>Laekvere piirkond</v>
      </c>
      <c r="G134" t="str">
        <f>Koond_kulud!G154</f>
        <v>Telefon</v>
      </c>
      <c r="H134">
        <f>Koond_kulud!H154</f>
        <v>1020</v>
      </c>
      <c r="I134">
        <f>Koond_kulud!I154</f>
        <v>0</v>
      </c>
      <c r="J134">
        <f>Koond_kulud!J154</f>
        <v>5500</v>
      </c>
      <c r="K134" t="str">
        <f>Koond_kulud!K154</f>
        <v>Administreerimiskulud</v>
      </c>
      <c r="L134">
        <f>Koond_kulud!L154</f>
        <v>55</v>
      </c>
      <c r="M134" t="str">
        <f>Koond_kulud!M154</f>
        <v>55</v>
      </c>
      <c r="N134" t="str">
        <f>Koond_kulud!N154</f>
        <v>Muud tegevuskulud</v>
      </c>
      <c r="O134" t="str">
        <f>Koond_kulud!O154</f>
        <v>Majandamiskulud</v>
      </c>
      <c r="P134" t="str">
        <f>Koond_kulud!P154</f>
        <v>Põhitegevuse kulu</v>
      </c>
      <c r="Q134">
        <f>Koond_kulud!Q154</f>
        <v>0</v>
      </c>
    </row>
    <row r="135" spans="1:17" hidden="1" x14ac:dyDescent="0.25">
      <c r="A135" t="str">
        <f>Koond_kulud!A155</f>
        <v>06</v>
      </c>
      <c r="B135" t="str">
        <f>Koond_kulud!B155</f>
        <v xml:space="preserve">0660501         </v>
      </c>
      <c r="C135" t="str">
        <f>Koond_kulud!C155</f>
        <v>Laekvere teeninduspiirkond</v>
      </c>
      <c r="D135" t="str">
        <f>Koond_kulud!D155</f>
        <v>Muu elamu- ja kommunaalmajanduse tegevus</v>
      </c>
      <c r="E135" t="str">
        <f>Koond_kulud!E155</f>
        <v>Elamu- ja kommunaalmajandus</v>
      </c>
      <c r="F135" t="str">
        <f>Koond_kulud!F155</f>
        <v>Laekvere piirkond</v>
      </c>
      <c r="G135" t="str">
        <f>Koond_kulud!G155</f>
        <v>Koolitused</v>
      </c>
      <c r="H135">
        <f>Koond_kulud!H155</f>
        <v>350</v>
      </c>
      <c r="I135">
        <f>Koond_kulud!I155</f>
        <v>0</v>
      </c>
      <c r="J135">
        <f>Koond_kulud!J155</f>
        <v>5504</v>
      </c>
      <c r="K135" t="str">
        <f>Koond_kulud!K155</f>
        <v>Koolituskulud</v>
      </c>
      <c r="L135">
        <f>Koond_kulud!L155</f>
        <v>55</v>
      </c>
      <c r="M135" t="str">
        <f>Koond_kulud!M155</f>
        <v>55</v>
      </c>
      <c r="N135" t="str">
        <f>Koond_kulud!N155</f>
        <v>Muud tegevuskulud</v>
      </c>
      <c r="O135" t="str">
        <f>Koond_kulud!O155</f>
        <v>Majandamiskulud</v>
      </c>
      <c r="P135" t="str">
        <f>Koond_kulud!P155</f>
        <v>Põhitegevuse kulu</v>
      </c>
      <c r="Q135">
        <f>Koond_kulud!Q155</f>
        <v>0</v>
      </c>
    </row>
    <row r="136" spans="1:17" hidden="1" x14ac:dyDescent="0.25">
      <c r="A136" t="str">
        <f>Koond_kulud!A156</f>
        <v>06</v>
      </c>
      <c r="B136" t="str">
        <f>Koond_kulud!B156</f>
        <v xml:space="preserve">0660501         </v>
      </c>
      <c r="C136" t="str">
        <f>Koond_kulud!C156</f>
        <v>Laekvere teeninduspiirkond</v>
      </c>
      <c r="D136" t="str">
        <f>Koond_kulud!D156</f>
        <v>Muu elamu- ja kommunaalmajanduse tegevus</v>
      </c>
      <c r="E136" t="str">
        <f>Koond_kulud!E156</f>
        <v>Elamu- ja kommunaalmajandus</v>
      </c>
      <c r="F136" t="str">
        <f>Koond_kulud!F156</f>
        <v>Laekvere piirkond</v>
      </c>
      <c r="G136" t="str">
        <f>Koond_kulud!G156</f>
        <v>Peugeo Partner</v>
      </c>
      <c r="H136">
        <f>Koond_kulud!H156</f>
        <v>2200</v>
      </c>
      <c r="I136" t="str">
        <f>Koond_kulud!I156</f>
        <v>kütus</v>
      </c>
      <c r="J136">
        <f>Koond_kulud!J156</f>
        <v>5513</v>
      </c>
      <c r="K136" t="str">
        <f>Koond_kulud!K156</f>
        <v>Sõidukite ülalpidamise kulud</v>
      </c>
      <c r="L136">
        <f>Koond_kulud!L156</f>
        <v>55</v>
      </c>
      <c r="M136" t="str">
        <f>Koond_kulud!M156</f>
        <v>55</v>
      </c>
      <c r="N136" t="str">
        <f>Koond_kulud!N156</f>
        <v>Muud tegevuskulud</v>
      </c>
      <c r="O136" t="str">
        <f>Koond_kulud!O156</f>
        <v>Majandamiskulud</v>
      </c>
      <c r="P136" t="str">
        <f>Koond_kulud!P156</f>
        <v>Põhitegevuse kulu</v>
      </c>
      <c r="Q136">
        <f>Koond_kulud!Q156</f>
        <v>0</v>
      </c>
    </row>
    <row r="137" spans="1:17" hidden="1" x14ac:dyDescent="0.25">
      <c r="A137" t="str">
        <f>Koond_kulud!A157</f>
        <v>06</v>
      </c>
      <c r="B137" t="str">
        <f>Koond_kulud!B157</f>
        <v xml:space="preserve">0660501         </v>
      </c>
      <c r="C137" t="str">
        <f>Koond_kulud!C157</f>
        <v>Laekvere teeninduspiirkond</v>
      </c>
      <c r="D137" t="str">
        <f>Koond_kulud!D157</f>
        <v>Muu elamu- ja kommunaalmajanduse tegevus</v>
      </c>
      <c r="E137" t="str">
        <f>Koond_kulud!E157</f>
        <v>Elamu- ja kommunaalmajandus</v>
      </c>
      <c r="F137" t="str">
        <f>Koond_kulud!F157</f>
        <v>Laekvere piirkond</v>
      </c>
      <c r="G137" t="str">
        <f>Koond_kulud!G157</f>
        <v>Peugeo Partner</v>
      </c>
      <c r="H137">
        <f>Koond_kulud!H157</f>
        <v>700</v>
      </c>
      <c r="I137" t="str">
        <f>Koond_kulud!I157</f>
        <v>hooldus, rehvid</v>
      </c>
      <c r="J137">
        <f>Koond_kulud!J157</f>
        <v>5513</v>
      </c>
      <c r="K137" t="str">
        <f>Koond_kulud!K157</f>
        <v>Sõidukite ülalpidamise kulud</v>
      </c>
      <c r="L137">
        <f>Koond_kulud!L157</f>
        <v>55</v>
      </c>
      <c r="M137" t="str">
        <f>Koond_kulud!M157</f>
        <v>55</v>
      </c>
      <c r="N137" t="str">
        <f>Koond_kulud!N157</f>
        <v>Muud tegevuskulud</v>
      </c>
      <c r="O137" t="str">
        <f>Koond_kulud!O157</f>
        <v>Majandamiskulud</v>
      </c>
      <c r="P137" t="str">
        <f>Koond_kulud!P157</f>
        <v>Põhitegevuse kulu</v>
      </c>
      <c r="Q137">
        <f>Koond_kulud!Q157</f>
        <v>0</v>
      </c>
    </row>
    <row r="138" spans="1:17" hidden="1" x14ac:dyDescent="0.25">
      <c r="A138" t="str">
        <f>Koond_kulud!A158</f>
        <v>06</v>
      </c>
      <c r="B138" t="str">
        <f>Koond_kulud!B158</f>
        <v xml:space="preserve">0660501         </v>
      </c>
      <c r="C138" t="str">
        <f>Koond_kulud!C158</f>
        <v>Laekvere teeninduspiirkond</v>
      </c>
      <c r="D138" t="str">
        <f>Koond_kulud!D158</f>
        <v>Muu elamu- ja kommunaalmajanduse tegevus</v>
      </c>
      <c r="E138" t="str">
        <f>Koond_kulud!E158</f>
        <v>Elamu- ja kommunaalmajandus</v>
      </c>
      <c r="F138" t="str">
        <f>Koond_kulud!F158</f>
        <v>Laekvere piirkond</v>
      </c>
      <c r="G138" t="str">
        <f>Koond_kulud!G158</f>
        <v>Peugeo Partner</v>
      </c>
      <c r="H138">
        <f>Koond_kulud!H158</f>
        <v>400</v>
      </c>
      <c r="I138" t="str">
        <f>Koond_kulud!I158</f>
        <v>kindlustus(kasko+liiklus)</v>
      </c>
      <c r="J138">
        <f>Koond_kulud!J158</f>
        <v>5513</v>
      </c>
      <c r="K138" t="str">
        <f>Koond_kulud!K158</f>
        <v>Sõidukite ülalpidamise kulud</v>
      </c>
      <c r="L138">
        <f>Koond_kulud!L158</f>
        <v>55</v>
      </c>
      <c r="M138" t="str">
        <f>Koond_kulud!M158</f>
        <v>55</v>
      </c>
      <c r="N138" t="str">
        <f>Koond_kulud!N158</f>
        <v>Muud tegevuskulud</v>
      </c>
      <c r="O138" t="str">
        <f>Koond_kulud!O158</f>
        <v>Majandamiskulud</v>
      </c>
      <c r="P138" t="str">
        <f>Koond_kulud!P158</f>
        <v>Põhitegevuse kulu</v>
      </c>
      <c r="Q138">
        <f>Koond_kulud!Q158</f>
        <v>0</v>
      </c>
    </row>
    <row r="139" spans="1:17" hidden="1" x14ac:dyDescent="0.25">
      <c r="A139" t="str">
        <f>Koond_kulud!A159</f>
        <v>06</v>
      </c>
      <c r="B139" t="str">
        <f>Koond_kulud!B159</f>
        <v xml:space="preserve">0660501         </v>
      </c>
      <c r="C139" t="str">
        <f>Koond_kulud!C159</f>
        <v>Laekvere teeninduspiirkond</v>
      </c>
      <c r="D139" t="str">
        <f>Koond_kulud!D159</f>
        <v>Muu elamu- ja kommunaalmajanduse tegevus</v>
      </c>
      <c r="E139" t="str">
        <f>Koond_kulud!E159</f>
        <v>Elamu- ja kommunaalmajandus</v>
      </c>
      <c r="F139" t="str">
        <f>Koond_kulud!F159</f>
        <v>Laekvere piirkond</v>
      </c>
      <c r="G139" t="str">
        <f>Koond_kulud!G159</f>
        <v>Peugeo Partner</v>
      </c>
      <c r="H139">
        <f>Koond_kulud!H159</f>
        <v>3024</v>
      </c>
      <c r="I139" t="str">
        <f>Koond_kulud!I159</f>
        <v>liising</v>
      </c>
      <c r="J139">
        <f>Koond_kulud!J159</f>
        <v>5513</v>
      </c>
      <c r="K139" t="str">
        <f>Koond_kulud!K159</f>
        <v>Sõidukite ülalpidamise kulud</v>
      </c>
      <c r="L139">
        <f>Koond_kulud!L159</f>
        <v>55</v>
      </c>
      <c r="M139" t="str">
        <f>Koond_kulud!M159</f>
        <v>55</v>
      </c>
      <c r="N139" t="str">
        <f>Koond_kulud!N159</f>
        <v>Muud tegevuskulud</v>
      </c>
      <c r="O139" t="str">
        <f>Koond_kulud!O159</f>
        <v>Majandamiskulud</v>
      </c>
      <c r="P139" t="str">
        <f>Koond_kulud!P159</f>
        <v>Põhitegevuse kulu</v>
      </c>
      <c r="Q139">
        <f>Koond_kulud!Q159</f>
        <v>0</v>
      </c>
    </row>
    <row r="140" spans="1:17" hidden="1" x14ac:dyDescent="0.25">
      <c r="A140" t="str">
        <f>Koond_kulud!A160</f>
        <v>06</v>
      </c>
      <c r="B140" t="str">
        <f>Koond_kulud!B160</f>
        <v xml:space="preserve">0660501         </v>
      </c>
      <c r="C140" t="str">
        <f>Koond_kulud!C160</f>
        <v>Laekvere teeninduspiirkond</v>
      </c>
      <c r="D140" t="str">
        <f>Koond_kulud!D160</f>
        <v>Muu elamu- ja kommunaalmajanduse tegevus</v>
      </c>
      <c r="E140" t="str">
        <f>Koond_kulud!E160</f>
        <v>Elamu- ja kommunaalmajandus</v>
      </c>
      <c r="F140" t="str">
        <f>Koond_kulud!F160</f>
        <v>Laekvere piirkond</v>
      </c>
      <c r="G140" t="str">
        <f>Koond_kulud!G160</f>
        <v>VW Transporter</v>
      </c>
      <c r="H140">
        <f>Koond_kulud!H160</f>
        <v>500</v>
      </c>
      <c r="I140" t="str">
        <f>Koond_kulud!I160</f>
        <v>hooldus, rehvid , tehnoülevaatus</v>
      </c>
      <c r="J140">
        <f>Koond_kulud!J160</f>
        <v>5513</v>
      </c>
      <c r="K140" t="str">
        <f>Koond_kulud!K160</f>
        <v>Sõidukite ülalpidamise kulud</v>
      </c>
      <c r="L140">
        <f>Koond_kulud!L160</f>
        <v>55</v>
      </c>
      <c r="M140" t="str">
        <f>Koond_kulud!M160</f>
        <v>55</v>
      </c>
      <c r="N140" t="str">
        <f>Koond_kulud!N160</f>
        <v>Muud tegevuskulud</v>
      </c>
      <c r="O140" t="str">
        <f>Koond_kulud!O160</f>
        <v>Majandamiskulud</v>
      </c>
      <c r="P140" t="str">
        <f>Koond_kulud!P160</f>
        <v>Põhitegevuse kulu</v>
      </c>
      <c r="Q140">
        <f>Koond_kulud!Q160</f>
        <v>0</v>
      </c>
    </row>
    <row r="141" spans="1:17" hidden="1" x14ac:dyDescent="0.25">
      <c r="A141" t="str">
        <f>Koond_kulud!A161</f>
        <v>06</v>
      </c>
      <c r="B141" t="str">
        <f>Koond_kulud!B161</f>
        <v xml:space="preserve">0660501         </v>
      </c>
      <c r="C141" t="str">
        <f>Koond_kulud!C161</f>
        <v>Laekvere teeninduspiirkond</v>
      </c>
      <c r="D141" t="str">
        <f>Koond_kulud!D161</f>
        <v>Muu elamu- ja kommunaalmajanduse tegevus</v>
      </c>
      <c r="E141" t="str">
        <f>Koond_kulud!E161</f>
        <v>Elamu- ja kommunaalmajandus</v>
      </c>
      <c r="F141" t="str">
        <f>Koond_kulud!F161</f>
        <v>Laekvere piirkond</v>
      </c>
      <c r="G141" t="str">
        <f>Koond_kulud!G161</f>
        <v>VW Transporter</v>
      </c>
      <c r="H141">
        <f>Koond_kulud!H161</f>
        <v>2100</v>
      </c>
      <c r="I141" t="str">
        <f>Koond_kulud!I161</f>
        <v>kütus</v>
      </c>
      <c r="J141">
        <f>Koond_kulud!J161</f>
        <v>5513</v>
      </c>
      <c r="K141" t="str">
        <f>Koond_kulud!K161</f>
        <v>Sõidukite ülalpidamise kulud</v>
      </c>
      <c r="L141">
        <f>Koond_kulud!L161</f>
        <v>55</v>
      </c>
      <c r="M141" t="str">
        <f>Koond_kulud!M161</f>
        <v>55</v>
      </c>
      <c r="N141" t="str">
        <f>Koond_kulud!N161</f>
        <v>Muud tegevuskulud</v>
      </c>
      <c r="O141" t="str">
        <f>Koond_kulud!O161</f>
        <v>Majandamiskulud</v>
      </c>
      <c r="P141" t="str">
        <f>Koond_kulud!P161</f>
        <v>Põhitegevuse kulu</v>
      </c>
      <c r="Q141">
        <f>Koond_kulud!Q161</f>
        <v>0</v>
      </c>
    </row>
    <row r="142" spans="1:17" hidden="1" x14ac:dyDescent="0.25">
      <c r="A142" t="str">
        <f>Koond_kulud!A162</f>
        <v>06</v>
      </c>
      <c r="B142" t="str">
        <f>Koond_kulud!B162</f>
        <v xml:space="preserve">0660501         </v>
      </c>
      <c r="C142" t="str">
        <f>Koond_kulud!C162</f>
        <v>Laekvere teeninduspiirkond</v>
      </c>
      <c r="D142" t="str">
        <f>Koond_kulud!D162</f>
        <v>Muu elamu- ja kommunaalmajanduse tegevus</v>
      </c>
      <c r="E142" t="str">
        <f>Koond_kulud!E162</f>
        <v>Elamu- ja kommunaalmajandus</v>
      </c>
      <c r="F142" t="str">
        <f>Koond_kulud!F162</f>
        <v>Laekvere piirkond</v>
      </c>
      <c r="G142" t="str">
        <f>Koond_kulud!G162</f>
        <v>VW Transporter</v>
      </c>
      <c r="H142">
        <f>Koond_kulud!H162</f>
        <v>400</v>
      </c>
      <c r="I142" t="str">
        <f>Koond_kulud!I162</f>
        <v>kindlustus(kasko+liiklus)</v>
      </c>
      <c r="J142">
        <f>Koond_kulud!J162</f>
        <v>5513</v>
      </c>
      <c r="K142" t="str">
        <f>Koond_kulud!K162</f>
        <v>Sõidukite ülalpidamise kulud</v>
      </c>
      <c r="L142">
        <f>Koond_kulud!L162</f>
        <v>55</v>
      </c>
      <c r="M142" t="str">
        <f>Koond_kulud!M162</f>
        <v>55</v>
      </c>
      <c r="N142" t="str">
        <f>Koond_kulud!N162</f>
        <v>Muud tegevuskulud</v>
      </c>
      <c r="O142" t="str">
        <f>Koond_kulud!O162</f>
        <v>Majandamiskulud</v>
      </c>
      <c r="P142" t="str">
        <f>Koond_kulud!P162</f>
        <v>Põhitegevuse kulu</v>
      </c>
      <c r="Q142">
        <f>Koond_kulud!Q162</f>
        <v>0</v>
      </c>
    </row>
    <row r="143" spans="1:17" hidden="1" x14ac:dyDescent="0.25">
      <c r="A143" t="str">
        <f>Koond_kulud!A163</f>
        <v>06</v>
      </c>
      <c r="B143" t="str">
        <f>Koond_kulud!B163</f>
        <v xml:space="preserve">0660501         </v>
      </c>
      <c r="C143" t="str">
        <f>Koond_kulud!C163</f>
        <v>Laekvere teeninduspiirkond</v>
      </c>
      <c r="D143" t="str">
        <f>Koond_kulud!D163</f>
        <v>Muu elamu- ja kommunaalmajanduse tegevus</v>
      </c>
      <c r="E143" t="str">
        <f>Koond_kulud!E163</f>
        <v>Elamu- ja kommunaalmajandus</v>
      </c>
      <c r="F143" t="str">
        <f>Koond_kulud!F163</f>
        <v>Laekvere piirkond</v>
      </c>
      <c r="G143" t="str">
        <f>Koond_kulud!G163</f>
        <v>Fiat Doblo</v>
      </c>
      <c r="H143">
        <f>Koond_kulud!H163</f>
        <v>100</v>
      </c>
      <c r="I143" t="str">
        <f>Koond_kulud!I163</f>
        <v>liikluskindlustus</v>
      </c>
      <c r="J143">
        <f>Koond_kulud!J163</f>
        <v>5513</v>
      </c>
      <c r="K143" t="str">
        <f>Koond_kulud!K163</f>
        <v>Sõidukite ülalpidamise kulud</v>
      </c>
      <c r="L143">
        <f>Koond_kulud!L163</f>
        <v>55</v>
      </c>
      <c r="M143" t="str">
        <f>Koond_kulud!M163</f>
        <v>55</v>
      </c>
      <c r="N143" t="str">
        <f>Koond_kulud!N163</f>
        <v>Muud tegevuskulud</v>
      </c>
      <c r="O143" t="str">
        <f>Koond_kulud!O163</f>
        <v>Majandamiskulud</v>
      </c>
      <c r="P143" t="str">
        <f>Koond_kulud!P163</f>
        <v>Põhitegevuse kulu</v>
      </c>
      <c r="Q143">
        <f>Koond_kulud!Q163</f>
        <v>0</v>
      </c>
    </row>
    <row r="144" spans="1:17" hidden="1" x14ac:dyDescent="0.25">
      <c r="A144" t="str">
        <f>Koond_kulud!A164</f>
        <v>06</v>
      </c>
      <c r="B144" t="str">
        <f>Koond_kulud!B164</f>
        <v xml:space="preserve">0660501         </v>
      </c>
      <c r="C144" t="str">
        <f>Koond_kulud!C164</f>
        <v>Laekvere teeninduspiirkond</v>
      </c>
      <c r="D144" t="str">
        <f>Koond_kulud!D164</f>
        <v>Muu elamu- ja kommunaalmajanduse tegevus</v>
      </c>
      <c r="E144" t="str">
        <f>Koond_kulud!E164</f>
        <v>Elamu- ja kommunaalmajandus</v>
      </c>
      <c r="F144" t="str">
        <f>Koond_kulud!F164</f>
        <v>Laekvere piirkond</v>
      </c>
      <c r="G144" t="str">
        <f>Koond_kulud!G164</f>
        <v>Fiat Doblo</v>
      </c>
      <c r="H144">
        <f>Koond_kulud!H164</f>
        <v>500</v>
      </c>
      <c r="I144" t="str">
        <f>Koond_kulud!I164</f>
        <v>hooldus, rehvid ,tehnoülevaatud</v>
      </c>
      <c r="J144">
        <f>Koond_kulud!J164</f>
        <v>5513</v>
      </c>
      <c r="K144" t="str">
        <f>Koond_kulud!K164</f>
        <v>Sõidukite ülalpidamise kulud</v>
      </c>
      <c r="L144">
        <f>Koond_kulud!L164</f>
        <v>55</v>
      </c>
      <c r="M144" t="str">
        <f>Koond_kulud!M164</f>
        <v>55</v>
      </c>
      <c r="N144" t="str">
        <f>Koond_kulud!N164</f>
        <v>Muud tegevuskulud</v>
      </c>
      <c r="O144" t="str">
        <f>Koond_kulud!O164</f>
        <v>Majandamiskulud</v>
      </c>
      <c r="P144" t="str">
        <f>Koond_kulud!P164</f>
        <v>Põhitegevuse kulu</v>
      </c>
      <c r="Q144">
        <f>Koond_kulud!Q164</f>
        <v>0</v>
      </c>
    </row>
    <row r="145" spans="1:17" hidden="1" x14ac:dyDescent="0.25">
      <c r="A145" t="str">
        <f>Koond_kulud!A165</f>
        <v>06</v>
      </c>
      <c r="B145" t="str">
        <f>Koond_kulud!B165</f>
        <v xml:space="preserve">0660501         </v>
      </c>
      <c r="C145" t="str">
        <f>Koond_kulud!C165</f>
        <v>Laekvere teeninduspiirkond</v>
      </c>
      <c r="D145" t="str">
        <f>Koond_kulud!D165</f>
        <v>Muu elamu- ja kommunaalmajanduse tegevus</v>
      </c>
      <c r="E145" t="str">
        <f>Koond_kulud!E165</f>
        <v>Elamu- ja kommunaalmajandus</v>
      </c>
      <c r="F145" t="str">
        <f>Koond_kulud!F165</f>
        <v>Laekvere piirkond</v>
      </c>
      <c r="G145" t="str">
        <f>Koond_kulud!G165</f>
        <v>Nissan NV300 väikebuss</v>
      </c>
      <c r="H145">
        <f>Koond_kulud!H165</f>
        <v>600</v>
      </c>
      <c r="I145" t="str">
        <f>Koond_kulud!I165</f>
        <v>kindlustus(kasko+liiklus)</v>
      </c>
      <c r="J145">
        <f>Koond_kulud!J165</f>
        <v>5513</v>
      </c>
      <c r="K145" t="str">
        <f>Koond_kulud!K165</f>
        <v>Sõidukite ülalpidamise kulud</v>
      </c>
      <c r="L145">
        <f>Koond_kulud!L165</f>
        <v>55</v>
      </c>
      <c r="M145" t="str">
        <f>Koond_kulud!M165</f>
        <v>55</v>
      </c>
      <c r="N145" t="str">
        <f>Koond_kulud!N165</f>
        <v>Muud tegevuskulud</v>
      </c>
      <c r="O145" t="str">
        <f>Koond_kulud!O165</f>
        <v>Majandamiskulud</v>
      </c>
      <c r="P145" t="str">
        <f>Koond_kulud!P165</f>
        <v>Põhitegevuse kulu</v>
      </c>
      <c r="Q145">
        <f>Koond_kulud!Q165</f>
        <v>0</v>
      </c>
    </row>
    <row r="146" spans="1:17" hidden="1" x14ac:dyDescent="0.25">
      <c r="A146" t="str">
        <f>Koond_kulud!A166</f>
        <v>06</v>
      </c>
      <c r="B146" t="str">
        <f>Koond_kulud!B166</f>
        <v xml:space="preserve">0660501         </v>
      </c>
      <c r="C146" t="str">
        <f>Koond_kulud!C166</f>
        <v>Laekvere teeninduspiirkond</v>
      </c>
      <c r="D146" t="str">
        <f>Koond_kulud!D166</f>
        <v>Muu elamu- ja kommunaalmajanduse tegevus</v>
      </c>
      <c r="E146" t="str">
        <f>Koond_kulud!E166</f>
        <v>Elamu- ja kommunaalmajandus</v>
      </c>
      <c r="F146" t="str">
        <f>Koond_kulud!F166</f>
        <v>Laekvere piirkond</v>
      </c>
      <c r="G146" t="str">
        <f>Koond_kulud!G166</f>
        <v>Nisssan NV300 väikebuss</v>
      </c>
      <c r="H146">
        <f>Koond_kulud!H166</f>
        <v>1500</v>
      </c>
      <c r="I146" t="str">
        <f>Koond_kulud!I166</f>
        <v>kütus ( viimasel ajal on läinud Muuga-Laekvere kooli eelarvest?</v>
      </c>
      <c r="J146">
        <f>Koond_kulud!J166</f>
        <v>5513</v>
      </c>
      <c r="K146" t="str">
        <f>Koond_kulud!K166</f>
        <v>Sõidukite ülalpidamise kulud</v>
      </c>
      <c r="L146">
        <f>Koond_kulud!L166</f>
        <v>55</v>
      </c>
      <c r="M146" t="str">
        <f>Koond_kulud!M166</f>
        <v>55</v>
      </c>
      <c r="N146" t="str">
        <f>Koond_kulud!N166</f>
        <v>Muud tegevuskulud</v>
      </c>
      <c r="O146" t="str">
        <f>Koond_kulud!O166</f>
        <v>Majandamiskulud</v>
      </c>
      <c r="P146" t="str">
        <f>Koond_kulud!P166</f>
        <v>Põhitegevuse kulu</v>
      </c>
      <c r="Q146">
        <f>Koond_kulud!Q166</f>
        <v>0</v>
      </c>
    </row>
    <row r="147" spans="1:17" hidden="1" x14ac:dyDescent="0.25">
      <c r="A147" t="str">
        <f>Koond_kulud!A167</f>
        <v>06</v>
      </c>
      <c r="B147" t="str">
        <f>Koond_kulud!B167</f>
        <v xml:space="preserve">0660501         </v>
      </c>
      <c r="C147" t="str">
        <f>Koond_kulud!C167</f>
        <v>Laekvere teeninduspiirkond</v>
      </c>
      <c r="D147" t="str">
        <f>Koond_kulud!D167</f>
        <v>Muu elamu- ja kommunaalmajanduse tegevus</v>
      </c>
      <c r="E147" t="str">
        <f>Koond_kulud!E167</f>
        <v>Elamu- ja kommunaalmajandus</v>
      </c>
      <c r="F147" t="str">
        <f>Koond_kulud!F167</f>
        <v>Laekvere piirkond</v>
      </c>
      <c r="G147" t="str">
        <f>Koond_kulud!G167</f>
        <v>Nissan NV300  väikebuss</v>
      </c>
      <c r="H147">
        <f>Koond_kulud!H167</f>
        <v>500</v>
      </c>
      <c r="I147" t="str">
        <f>Koond_kulud!I167</f>
        <v>hooldus, pesu, klaasipesuvedelik jne</v>
      </c>
      <c r="J147">
        <f>Koond_kulud!J167</f>
        <v>5513</v>
      </c>
      <c r="K147" t="str">
        <f>Koond_kulud!K167</f>
        <v>Sõidukite ülalpidamise kulud</v>
      </c>
      <c r="L147">
        <f>Koond_kulud!L167</f>
        <v>55</v>
      </c>
      <c r="M147" t="str">
        <f>Koond_kulud!M167</f>
        <v>55</v>
      </c>
      <c r="N147" t="str">
        <f>Koond_kulud!N167</f>
        <v>Muud tegevuskulud</v>
      </c>
      <c r="O147" t="str">
        <f>Koond_kulud!O167</f>
        <v>Majandamiskulud</v>
      </c>
      <c r="P147" t="str">
        <f>Koond_kulud!P167</f>
        <v>Põhitegevuse kulu</v>
      </c>
      <c r="Q147">
        <f>Koond_kulud!Q167</f>
        <v>0</v>
      </c>
    </row>
    <row r="148" spans="1:17" hidden="1" x14ac:dyDescent="0.25">
      <c r="A148" t="str">
        <f>Koond_kulud!A168</f>
        <v>06</v>
      </c>
      <c r="B148" t="str">
        <f>Koond_kulud!B168</f>
        <v xml:space="preserve">0660501         </v>
      </c>
      <c r="C148" t="str">
        <f>Koond_kulud!C168</f>
        <v>Laekvere teeninduspiirkond</v>
      </c>
      <c r="D148" t="str">
        <f>Koond_kulud!D168</f>
        <v>Muu elamu- ja kommunaalmajanduse tegevus</v>
      </c>
      <c r="E148" t="str">
        <f>Koond_kulud!E168</f>
        <v>Elamu- ja kommunaalmajandus</v>
      </c>
      <c r="F148" t="str">
        <f>Koond_kulud!F168</f>
        <v>Laekvere piirkond</v>
      </c>
      <c r="G148" t="str">
        <f>Koond_kulud!G168</f>
        <v>Seadmete ja masinate tarvikud</v>
      </c>
      <c r="H148">
        <f>Koond_kulud!H168</f>
        <v>1700</v>
      </c>
      <c r="I148" t="str">
        <f>Koond_kulud!I168</f>
        <v>Murutraktori rihmad,saagide osad ,ketid,niidukite terad ,kiilrihmad,õlid, filtrid.</v>
      </c>
      <c r="J148">
        <f>Koond_kulud!J168</f>
        <v>5515</v>
      </c>
      <c r="K148" t="str">
        <f>Koond_kulud!K168</f>
        <v>Inventari kulud, v.a infotehnoloogia ja kaitseotstarbelised kulud</v>
      </c>
      <c r="L148">
        <f>Koond_kulud!L168</f>
        <v>55</v>
      </c>
      <c r="M148" t="str">
        <f>Koond_kulud!M168</f>
        <v>55</v>
      </c>
      <c r="N148" t="str">
        <f>Koond_kulud!N168</f>
        <v>Muud tegevuskulud</v>
      </c>
      <c r="O148" t="str">
        <f>Koond_kulud!O168</f>
        <v>Majandamiskulud</v>
      </c>
      <c r="P148" t="str">
        <f>Koond_kulud!P168</f>
        <v>Põhitegevuse kulu</v>
      </c>
      <c r="Q148">
        <f>Koond_kulud!Q168</f>
        <v>0</v>
      </c>
    </row>
    <row r="149" spans="1:17" hidden="1" x14ac:dyDescent="0.25">
      <c r="A149" t="str">
        <f>Koond_kulud!A169</f>
        <v>06</v>
      </c>
      <c r="B149" t="str">
        <f>Koond_kulud!B169</f>
        <v xml:space="preserve">0660501         </v>
      </c>
      <c r="C149" t="str">
        <f>Koond_kulud!C169</f>
        <v>Laekvere teeninduspiirkond</v>
      </c>
      <c r="D149" t="str">
        <f>Koond_kulud!D169</f>
        <v>Muu elamu- ja kommunaalmajanduse tegevus</v>
      </c>
      <c r="E149" t="str">
        <f>Koond_kulud!E169</f>
        <v>Elamu- ja kommunaalmajandus</v>
      </c>
      <c r="F149" t="str">
        <f>Koond_kulud!F169</f>
        <v>Laekvere piirkond</v>
      </c>
      <c r="G149" t="str">
        <f>Koond_kulud!G169</f>
        <v>Hooldus</v>
      </c>
      <c r="H149">
        <f>Koond_kulud!H169</f>
        <v>2800</v>
      </c>
      <c r="I149" t="str">
        <f>Koond_kulud!I169</f>
        <v>Kioti traktor, murutraktor, haagised, niidukid, nende kindlustus, ülevaatused</v>
      </c>
      <c r="J149">
        <f>Koond_kulud!J169</f>
        <v>5515</v>
      </c>
      <c r="K149" t="str">
        <f>Koond_kulud!K169</f>
        <v>Inventari kulud, v.a infotehnoloogia ja kaitseotstarbelised kulud</v>
      </c>
      <c r="L149">
        <f>Koond_kulud!L169</f>
        <v>55</v>
      </c>
      <c r="M149" t="str">
        <f>Koond_kulud!M169</f>
        <v>55</v>
      </c>
      <c r="N149" t="str">
        <f>Koond_kulud!N169</f>
        <v>Muud tegevuskulud</v>
      </c>
      <c r="O149" t="str">
        <f>Koond_kulud!O169</f>
        <v>Majandamiskulud</v>
      </c>
      <c r="P149" t="str">
        <f>Koond_kulud!P169</f>
        <v>Põhitegevuse kulu</v>
      </c>
      <c r="Q149">
        <f>Koond_kulud!Q169</f>
        <v>0</v>
      </c>
    </row>
    <row r="150" spans="1:17" hidden="1" x14ac:dyDescent="0.25">
      <c r="A150" t="str">
        <f>Koond_kulud!A170</f>
        <v>06</v>
      </c>
      <c r="B150" t="str">
        <f>Koond_kulud!B170</f>
        <v xml:space="preserve">0660501         </v>
      </c>
      <c r="C150" t="str">
        <f>Koond_kulud!C170</f>
        <v>Laekvere teeninduspiirkond</v>
      </c>
      <c r="D150" t="str">
        <f>Koond_kulud!D170</f>
        <v>Muu elamu- ja kommunaalmajanduse tegevus</v>
      </c>
      <c r="E150" t="str">
        <f>Koond_kulud!E170</f>
        <v>Elamu- ja kommunaalmajandus</v>
      </c>
      <c r="F150" t="str">
        <f>Koond_kulud!F170</f>
        <v>Laekvere piirkond</v>
      </c>
      <c r="G150" t="str">
        <f>Koond_kulud!G170</f>
        <v>Traktorile KIOTi niiduki OPTIMAL BP-185  soetamine</v>
      </c>
      <c r="H150">
        <f>Koond_kulud!H170</f>
        <v>4000</v>
      </c>
      <c r="I150" t="str">
        <f>Koond_kulud!I170</f>
        <v>Praegune niiduk amortiseerunud, töötab viimase piiri peal</v>
      </c>
      <c r="J150">
        <f>Koond_kulud!J170</f>
        <v>5515</v>
      </c>
      <c r="K150" t="str">
        <f>Koond_kulud!K170</f>
        <v>Inventari kulud, v.a infotehnoloogia ja kaitseotstarbelised kulud</v>
      </c>
      <c r="L150">
        <f>Koond_kulud!L170</f>
        <v>55</v>
      </c>
      <c r="M150" t="str">
        <f>Koond_kulud!M170</f>
        <v>55</v>
      </c>
      <c r="N150" t="str">
        <f>Koond_kulud!N170</f>
        <v>Muud tegevuskulud</v>
      </c>
      <c r="O150" t="str">
        <f>Koond_kulud!O170</f>
        <v>Majandamiskulud</v>
      </c>
      <c r="P150" t="str">
        <f>Koond_kulud!P170</f>
        <v>Põhitegevuse kulu</v>
      </c>
      <c r="Q150">
        <f>Koond_kulud!Q170</f>
        <v>0</v>
      </c>
    </row>
    <row r="151" spans="1:17" hidden="1" x14ac:dyDescent="0.25">
      <c r="A151" t="str">
        <f>Koond_kulud!A171</f>
        <v>06</v>
      </c>
      <c r="B151" t="str">
        <f>Koond_kulud!B171</f>
        <v xml:space="preserve">0660501         </v>
      </c>
      <c r="C151" t="str">
        <f>Koond_kulud!C171</f>
        <v>Laekvere teeninduspiirkond</v>
      </c>
      <c r="D151" t="str">
        <f>Koond_kulud!D171</f>
        <v>Muu elamu- ja kommunaalmajanduse tegevus</v>
      </c>
      <c r="E151" t="str">
        <f>Koond_kulud!E171</f>
        <v>Elamu- ja kommunaalmajandus</v>
      </c>
      <c r="F151" t="str">
        <f>Koond_kulud!F171</f>
        <v>Laekvere piirkond</v>
      </c>
      <c r="G151" t="str">
        <f>Koond_kulud!G171</f>
        <v>Talguliste toitlustamine</v>
      </c>
      <c r="H151">
        <f>Koond_kulud!H171</f>
        <v>100</v>
      </c>
      <c r="I151">
        <f>Koond_kulud!I171</f>
        <v>0</v>
      </c>
      <c r="J151">
        <f>Koond_kulud!J171</f>
        <v>5525</v>
      </c>
      <c r="K151" t="str">
        <f>Koond_kulud!K171</f>
        <v>Kommunikatsiooni-, kultuuri- ja vaba aja sisustamise kulud</v>
      </c>
      <c r="L151">
        <f>Koond_kulud!L171</f>
        <v>55</v>
      </c>
      <c r="M151" t="str">
        <f>Koond_kulud!M171</f>
        <v>55</v>
      </c>
      <c r="N151" t="str">
        <f>Koond_kulud!N171</f>
        <v>Muud tegevuskulud</v>
      </c>
      <c r="O151" t="str">
        <f>Koond_kulud!O171</f>
        <v>Majandamiskulud</v>
      </c>
      <c r="P151" t="str">
        <f>Koond_kulud!P171</f>
        <v>Põhitegevuse kulu</v>
      </c>
      <c r="Q151">
        <f>Koond_kulud!Q171</f>
        <v>0</v>
      </c>
    </row>
    <row r="152" spans="1:17" hidden="1" x14ac:dyDescent="0.25">
      <c r="A152" t="str">
        <f>Koond_kulud!A172</f>
        <v>06</v>
      </c>
      <c r="B152" t="str">
        <f>Koond_kulud!B172</f>
        <v xml:space="preserve">0660501         </v>
      </c>
      <c r="C152" t="str">
        <f>Koond_kulud!C172</f>
        <v>Laekvere teeninduspiirkond</v>
      </c>
      <c r="D152" t="str">
        <f>Koond_kulud!D172</f>
        <v>Muu elamu- ja kommunaalmajanduse tegevus</v>
      </c>
      <c r="E152" t="str">
        <f>Koond_kulud!E172</f>
        <v>Elamu- ja kommunaalmajandus</v>
      </c>
      <c r="F152" t="str">
        <f>Koond_kulud!F172</f>
        <v>Laekvere piirkond</v>
      </c>
      <c r="G152" t="str">
        <f>Koond_kulud!G172</f>
        <v>Tervisekulud</v>
      </c>
      <c r="H152">
        <f>Koond_kulud!H172</f>
        <v>2000</v>
      </c>
      <c r="I152" t="str">
        <f>Koond_kulud!I172</f>
        <v>5 töötajat x 400 eurot aastas</v>
      </c>
      <c r="J152">
        <f>Koond_kulud!J172</f>
        <v>5540</v>
      </c>
      <c r="K152" t="str">
        <f>Koond_kulud!K172</f>
        <v>Mitmesugused majanduskulud</v>
      </c>
      <c r="L152">
        <f>Koond_kulud!L172</f>
        <v>55</v>
      </c>
      <c r="M152" t="str">
        <f>Koond_kulud!M172</f>
        <v>55</v>
      </c>
      <c r="N152" t="str">
        <f>Koond_kulud!N172</f>
        <v>Muud tegevuskulud</v>
      </c>
      <c r="O152" t="str">
        <f>Koond_kulud!O172</f>
        <v>Majandamiskulud</v>
      </c>
      <c r="P152" t="str">
        <f>Koond_kulud!P172</f>
        <v>Põhitegevuse kulu</v>
      </c>
      <c r="Q152">
        <f>Koond_kulud!Q172</f>
        <v>0</v>
      </c>
    </row>
    <row r="153" spans="1:17" hidden="1" x14ac:dyDescent="0.25">
      <c r="A153" t="str">
        <f>Koond_kulud!A173</f>
        <v>06</v>
      </c>
      <c r="B153" t="str">
        <f>Koond_kulud!B173</f>
        <v xml:space="preserve">0660501         </v>
      </c>
      <c r="C153" t="str">
        <f>Koond_kulud!C173</f>
        <v>Laekvere teeninduspiirkond</v>
      </c>
      <c r="D153" t="str">
        <f>Koond_kulud!D173</f>
        <v>Muu elamu- ja kommunaalmajanduse tegevus</v>
      </c>
      <c r="E153" t="str">
        <f>Koond_kulud!E173</f>
        <v>Elamu- ja kommunaalmajandus</v>
      </c>
      <c r="F153" t="str">
        <f>Koond_kulud!F173</f>
        <v>Laekvere piirkond</v>
      </c>
      <c r="G153" t="str">
        <f>Koond_kulud!G173</f>
        <v>Töötervishoiu kulud</v>
      </c>
      <c r="H153">
        <f>Koond_kulud!H173</f>
        <v>500</v>
      </c>
      <c r="I153" t="str">
        <f>Koond_kulud!I173</f>
        <v>5 töötajat</v>
      </c>
      <c r="J153">
        <f>Koond_kulud!J173</f>
        <v>5522</v>
      </c>
      <c r="K153" t="str">
        <f>Koond_kulud!K173</f>
        <v>Meditsiinikulud ja hügieenitarbed</v>
      </c>
      <c r="L153">
        <f>Koond_kulud!L173</f>
        <v>55</v>
      </c>
      <c r="M153" t="str">
        <f>Koond_kulud!M173</f>
        <v>55</v>
      </c>
      <c r="N153" t="str">
        <f>Koond_kulud!N173</f>
        <v>Muud tegevuskulud</v>
      </c>
      <c r="O153" t="str">
        <f>Koond_kulud!O173</f>
        <v>Majandamiskulud</v>
      </c>
      <c r="P153" t="str">
        <f>Koond_kulud!P173</f>
        <v>Põhitegevuse kulu</v>
      </c>
      <c r="Q153">
        <f>Koond_kulud!Q173</f>
        <v>0</v>
      </c>
    </row>
    <row r="154" spans="1:17" hidden="1" x14ac:dyDescent="0.25">
      <c r="A154" t="str">
        <f>Koond_kulud!A174</f>
        <v>06</v>
      </c>
      <c r="B154" t="str">
        <f>Koond_kulud!B174</f>
        <v xml:space="preserve">0660501         </v>
      </c>
      <c r="C154" t="str">
        <f>Koond_kulud!C174</f>
        <v>Laekvere teeninduspiirkond</v>
      </c>
      <c r="D154" t="str">
        <f>Koond_kulud!D174</f>
        <v>Muu elamu- ja kommunaalmajanduse tegevus</v>
      </c>
      <c r="E154" t="str">
        <f>Koond_kulud!E174</f>
        <v>Elamu- ja kommunaalmajandus</v>
      </c>
      <c r="F154" t="str">
        <f>Koond_kulud!F174</f>
        <v>Laekvere piirkond</v>
      </c>
      <c r="G154" t="str">
        <f>Koond_kulud!G174</f>
        <v>Tööriided ja töökindad</v>
      </c>
      <c r="H154">
        <f>Koond_kulud!H174</f>
        <v>500</v>
      </c>
      <c r="I154" t="str">
        <f>Koond_kulud!I174</f>
        <v>5 töötajat</v>
      </c>
      <c r="J154">
        <f>Koond_kulud!J174</f>
        <v>5515</v>
      </c>
      <c r="K154" t="str">
        <f>Koond_kulud!K174</f>
        <v>Inventari kulud, v.a infotehnoloogia ja kaitseotstarbelised kulud</v>
      </c>
      <c r="L154">
        <f>Koond_kulud!L174</f>
        <v>55</v>
      </c>
      <c r="M154" t="str">
        <f>Koond_kulud!M174</f>
        <v>55</v>
      </c>
      <c r="N154" t="str">
        <f>Koond_kulud!N174</f>
        <v>Muud tegevuskulud</v>
      </c>
      <c r="O154" t="str">
        <f>Koond_kulud!O174</f>
        <v>Majandamiskulud</v>
      </c>
      <c r="P154" t="str">
        <f>Koond_kulud!P174</f>
        <v>Põhitegevuse kulu</v>
      </c>
      <c r="Q154">
        <f>Koond_kulud!Q174</f>
        <v>0</v>
      </c>
    </row>
    <row r="155" spans="1:17" hidden="1" x14ac:dyDescent="0.25">
      <c r="A155" t="str">
        <f>Koond_kulud!A175</f>
        <v>06</v>
      </c>
      <c r="B155" t="str">
        <f>Koond_kulud!B175</f>
        <v xml:space="preserve">0660501         </v>
      </c>
      <c r="C155" t="str">
        <f>Koond_kulud!C175</f>
        <v>Laekvere teeninduspiirkond</v>
      </c>
      <c r="D155" t="str">
        <f>Koond_kulud!D175</f>
        <v>Muu elamu- ja kommunaalmajanduse tegevus</v>
      </c>
      <c r="E155" t="str">
        <f>Koond_kulud!E175</f>
        <v>Elamu- ja kommunaalmajandus</v>
      </c>
      <c r="F155" t="str">
        <f>Koond_kulud!F175</f>
        <v>Laekvere piirkond</v>
      </c>
      <c r="G155" t="str">
        <f>Koond_kulud!G175</f>
        <v>Prillid</v>
      </c>
      <c r="H155">
        <f>Koond_kulud!H175</f>
        <v>200</v>
      </c>
      <c r="I155" t="str">
        <f>Koond_kulud!I175</f>
        <v>2 töötajat</v>
      </c>
      <c r="J155">
        <f>Koond_kulud!J175</f>
        <v>5522</v>
      </c>
      <c r="K155" t="str">
        <f>Koond_kulud!K175</f>
        <v>Meditsiinikulud ja hügieenitarbed</v>
      </c>
      <c r="L155">
        <f>Koond_kulud!L175</f>
        <v>55</v>
      </c>
      <c r="M155" t="str">
        <f>Koond_kulud!M175</f>
        <v>55</v>
      </c>
      <c r="N155" t="str">
        <f>Koond_kulud!N175</f>
        <v>Muud tegevuskulud</v>
      </c>
      <c r="O155" t="str">
        <f>Koond_kulud!O175</f>
        <v>Majandamiskulud</v>
      </c>
      <c r="P155" t="str">
        <f>Koond_kulud!P175</f>
        <v>Põhitegevuse kulu</v>
      </c>
      <c r="Q155">
        <f>Koond_kulud!Q175</f>
        <v>0</v>
      </c>
    </row>
    <row r="156" spans="1:17" hidden="1" x14ac:dyDescent="0.25">
      <c r="A156" t="str">
        <f>Koond_kulud!A176</f>
        <v>06</v>
      </c>
      <c r="B156" t="str">
        <f>Koond_kulud!B176</f>
        <v xml:space="preserve">0660501         </v>
      </c>
      <c r="C156" t="str">
        <f>Koond_kulud!C176</f>
        <v>Laekvere teeninduspiirkond</v>
      </c>
      <c r="D156" t="str">
        <f>Koond_kulud!D176</f>
        <v>Muu elamu- ja kommunaalmajanduse tegevus</v>
      </c>
      <c r="E156" t="str">
        <f>Koond_kulud!E176</f>
        <v>Elamu- ja kommunaalmajandus</v>
      </c>
      <c r="F156" t="str">
        <f>Koond_kulud!F176</f>
        <v>Laekvere piirkond</v>
      </c>
      <c r="G156" t="str">
        <f>Koond_kulud!G176</f>
        <v xml:space="preserve">Teeme ära talgud </v>
      </c>
      <c r="H156">
        <f>Koond_kulud!H176</f>
        <v>400</v>
      </c>
      <c r="I156">
        <f>Koond_kulud!I176</f>
        <v>0</v>
      </c>
      <c r="J156">
        <f>Koond_kulud!J176</f>
        <v>5525</v>
      </c>
      <c r="K156" t="str">
        <f>Koond_kulud!K176</f>
        <v>Kommunikatsiooni-, kultuuri- ja vaba aja sisustamise kulud</v>
      </c>
      <c r="L156">
        <f>Koond_kulud!L176</f>
        <v>55</v>
      </c>
      <c r="M156" t="str">
        <f>Koond_kulud!M176</f>
        <v>55</v>
      </c>
      <c r="N156" t="str">
        <f>Koond_kulud!N176</f>
        <v>Muud tegevuskulud</v>
      </c>
      <c r="O156" t="str">
        <f>Koond_kulud!O176</f>
        <v>Majandamiskulud</v>
      </c>
      <c r="P156" t="str">
        <f>Koond_kulud!P176</f>
        <v>Põhitegevuse kulu</v>
      </c>
      <c r="Q156">
        <f>Koond_kulud!Q176</f>
        <v>0</v>
      </c>
    </row>
    <row r="157" spans="1:17" hidden="1" x14ac:dyDescent="0.25">
      <c r="A157" t="str">
        <f>Koond_kulud!A177</f>
        <v>06</v>
      </c>
      <c r="B157" t="str">
        <f>Koond_kulud!B177</f>
        <v xml:space="preserve">0660501         </v>
      </c>
      <c r="C157" t="str">
        <f>Koond_kulud!C177</f>
        <v>Laekvere teeninduspiirkond</v>
      </c>
      <c r="D157" t="str">
        <f>Koond_kulud!D177</f>
        <v>Muu elamu- ja kommunaalmajanduse tegevus</v>
      </c>
      <c r="E157" t="str">
        <f>Koond_kulud!E177</f>
        <v>Elamu- ja kommunaalmajandus</v>
      </c>
      <c r="F157" t="str">
        <f>Koond_kulud!F177</f>
        <v>Laekvere piirkond</v>
      </c>
      <c r="G157" t="str">
        <f>Koond_kulud!G177</f>
        <v>Transport</v>
      </c>
      <c r="H157">
        <f>Koond_kulud!H177</f>
        <v>6000</v>
      </c>
      <c r="I157" t="str">
        <f>Koond_kulud!I177</f>
        <v>M.K.Reis-x teenindatav reedene Venevere-Paasvere-Vassivere poe liin,surnuaaipühal ja jõululaupäeval buss Simuna surnuaiale(FIE Teet Põldoja)</v>
      </c>
      <c r="J157">
        <f>Koond_kulud!J177</f>
        <v>5540</v>
      </c>
      <c r="K157" t="str">
        <f>Koond_kulud!K177</f>
        <v>Mitmesugused majanduskulud</v>
      </c>
      <c r="L157">
        <f>Koond_kulud!L177</f>
        <v>55</v>
      </c>
      <c r="M157" t="str">
        <f>Koond_kulud!M177</f>
        <v>55</v>
      </c>
      <c r="N157" t="str">
        <f>Koond_kulud!N177</f>
        <v>Muud tegevuskulud</v>
      </c>
      <c r="O157" t="str">
        <f>Koond_kulud!O177</f>
        <v>Majandamiskulud</v>
      </c>
      <c r="P157" t="str">
        <f>Koond_kulud!P177</f>
        <v>Põhitegevuse kulu</v>
      </c>
      <c r="Q157">
        <f>Koond_kulud!Q177</f>
        <v>0</v>
      </c>
    </row>
    <row r="158" spans="1:17" hidden="1" x14ac:dyDescent="0.25">
      <c r="A158" t="str">
        <f>Koond_kulud!A178</f>
        <v>06</v>
      </c>
      <c r="B158" t="str">
        <f>Koond_kulud!B178</f>
        <v xml:space="preserve">0660501         </v>
      </c>
      <c r="C158" t="str">
        <f>Koond_kulud!C178</f>
        <v>Laekvere teeninduspiirkond</v>
      </c>
      <c r="D158" t="str">
        <f>Koond_kulud!D178</f>
        <v>Muu elamu- ja kommunaalmajanduse tegevus</v>
      </c>
      <c r="E158" t="str">
        <f>Koond_kulud!E178</f>
        <v>Elamu- ja kommunaalmajandus</v>
      </c>
      <c r="F158" t="str">
        <f>Koond_kulud!F178</f>
        <v>Laekvere piirkond</v>
      </c>
      <c r="G158" t="str">
        <f>Koond_kulud!G178</f>
        <v>Internetiühendus</v>
      </c>
      <c r="H158">
        <f>Koond_kulud!H178</f>
        <v>3050</v>
      </c>
      <c r="I158" t="str">
        <f>Koond_kulud!I178</f>
        <v>Kõigi Laekvere alevikus valla kuuluvate  hoonete internetiühendus jookseb läbi Salutaguse tee 2 teeninduskeskuse, kust toimub hargnemine</v>
      </c>
      <c r="J158">
        <f>Koond_kulud!J178</f>
        <v>5514</v>
      </c>
      <c r="K158" t="str">
        <f>Koond_kulud!K178</f>
        <v>Info- ja kommunikatsioonitehnoliigised kulud</v>
      </c>
      <c r="L158">
        <f>Koond_kulud!L178</f>
        <v>55</v>
      </c>
      <c r="M158" t="str">
        <f>Koond_kulud!M178</f>
        <v>55</v>
      </c>
      <c r="N158" t="str">
        <f>Koond_kulud!N178</f>
        <v>Muud tegevuskulud</v>
      </c>
      <c r="O158" t="str">
        <f>Koond_kulud!O178</f>
        <v>Majandamiskulud</v>
      </c>
      <c r="P158" t="str">
        <f>Koond_kulud!P178</f>
        <v>Põhitegevuse kulu</v>
      </c>
      <c r="Q158">
        <f>Koond_kulud!Q178</f>
        <v>0</v>
      </c>
    </row>
    <row r="159" spans="1:17" hidden="1" x14ac:dyDescent="0.25">
      <c r="A159" t="str">
        <f>Koond_kulud!A179</f>
        <v>06</v>
      </c>
      <c r="B159" t="str">
        <f>Koond_kulud!B179</f>
        <v xml:space="preserve">0660501         </v>
      </c>
      <c r="C159" t="str">
        <f>Koond_kulud!C179</f>
        <v>Laekvere teeninduspiirkond</v>
      </c>
      <c r="D159" t="str">
        <f>Koond_kulud!D179</f>
        <v>Muu elamu- ja kommunaalmajanduse tegevus</v>
      </c>
      <c r="E159" t="str">
        <f>Koond_kulud!E179</f>
        <v>Elamu- ja kommunaalmajandus</v>
      </c>
      <c r="F159" t="str">
        <f>Koond_kulud!F179</f>
        <v>Laekvere piirkond</v>
      </c>
      <c r="G159" t="str">
        <f>Koond_kulud!G179</f>
        <v>Riistvara soetamine</v>
      </c>
      <c r="H159">
        <f>Koond_kulud!H179</f>
        <v>300</v>
      </c>
      <c r="I159" t="str">
        <f>Koond_kulud!I179</f>
        <v>Ruuter jne.</v>
      </c>
      <c r="J159">
        <f>Koond_kulud!J179</f>
        <v>5514</v>
      </c>
      <c r="K159" t="str">
        <f>Koond_kulud!K179</f>
        <v>Info- ja kommunikatsioonitehnoliigised kulud</v>
      </c>
      <c r="L159">
        <f>Koond_kulud!L179</f>
        <v>55</v>
      </c>
      <c r="M159" t="str">
        <f>Koond_kulud!M179</f>
        <v>55</v>
      </c>
      <c r="N159" t="str">
        <f>Koond_kulud!N179</f>
        <v>Muud tegevuskulud</v>
      </c>
      <c r="O159" t="str">
        <f>Koond_kulud!O179</f>
        <v>Majandamiskulud</v>
      </c>
      <c r="P159" t="str">
        <f>Koond_kulud!P179</f>
        <v>Põhitegevuse kulu</v>
      </c>
      <c r="Q159">
        <f>Koond_kulud!Q179</f>
        <v>0</v>
      </c>
    </row>
    <row r="160" spans="1:17" hidden="1" x14ac:dyDescent="0.25">
      <c r="A160" t="str">
        <f>Koond_kulud!A181</f>
        <v>06</v>
      </c>
      <c r="B160" t="str">
        <f>Koond_kulud!B181</f>
        <v>0660511</v>
      </c>
      <c r="C160" t="str">
        <f>Koond_kulud!C181</f>
        <v>Ulvi, Vinni-Pajusti teeninduspiirkond</v>
      </c>
      <c r="D160" t="str">
        <f>Koond_kulud!D181</f>
        <v>Muu elamu- ja kommunaalmajanduse tegevus</v>
      </c>
      <c r="E160" t="str">
        <f>Koond_kulud!E181</f>
        <v>Elamu- ja kommunaalmajandus</v>
      </c>
      <c r="F160" t="str">
        <f>Koond_kulud!F181</f>
        <v>Rägavere piirkond</v>
      </c>
      <c r="G160" t="str">
        <f>Koond_kulud!G181</f>
        <v>Rägavere piirkonna varade kindlustus</v>
      </c>
      <c r="H160">
        <f>Koond_kulud!H181</f>
        <v>814</v>
      </c>
      <c r="I160">
        <f>Koond_kulud!I181</f>
        <v>0</v>
      </c>
      <c r="J160">
        <f>Koond_kulud!J181</f>
        <v>5511</v>
      </c>
      <c r="K160" t="str">
        <f>Koond_kulud!K181</f>
        <v>Kinnistute, hoonete ja ruumide majandamiskulud</v>
      </c>
      <c r="L160">
        <f>Koond_kulud!L181</f>
        <v>55</v>
      </c>
      <c r="M160" t="str">
        <f>Koond_kulud!M181</f>
        <v>55</v>
      </c>
      <c r="N160" t="str">
        <f>Koond_kulud!N181</f>
        <v>Muud tegevuskulud</v>
      </c>
      <c r="O160" t="str">
        <f>Koond_kulud!O181</f>
        <v>Majandamiskulud</v>
      </c>
      <c r="P160" t="str">
        <f>Koond_kulud!P181</f>
        <v>Põhitegevuse kulu</v>
      </c>
      <c r="Q160">
        <f>Koond_kulud!Q181</f>
        <v>0</v>
      </c>
    </row>
    <row r="161" spans="1:17" hidden="1" x14ac:dyDescent="0.25">
      <c r="A161" t="str">
        <f>Koond_kulud!A182</f>
        <v>06</v>
      </c>
      <c r="B161" t="str">
        <f>Koond_kulud!B182</f>
        <v>0660511</v>
      </c>
      <c r="C161" t="str">
        <f>Koond_kulud!C182</f>
        <v>Ulvi, Vinni-Pajusti teeninduspiirkond</v>
      </c>
      <c r="D161" t="str">
        <f>Koond_kulud!D182</f>
        <v>Muu elamu- ja kommunaalmajanduse tegevus</v>
      </c>
      <c r="E161" t="str">
        <f>Koond_kulud!E182</f>
        <v>Elamu- ja kommunaalmajandus</v>
      </c>
      <c r="F161" t="str">
        <f>Koond_kulud!F182</f>
        <v>Rägavere piirkond</v>
      </c>
      <c r="G161" t="str">
        <f>Koond_kulud!G182</f>
        <v>Remondimaterjalid</v>
      </c>
      <c r="H161">
        <f>Koond_kulud!H182</f>
        <v>10600</v>
      </c>
      <c r="I161">
        <f>Koond_kulud!I182</f>
        <v>0</v>
      </c>
      <c r="J161">
        <f>Koond_kulud!J182</f>
        <v>5511</v>
      </c>
      <c r="K161" t="str">
        <f>Koond_kulud!K182</f>
        <v>Kinnistute, hoonete ja ruumide majandamiskulud</v>
      </c>
      <c r="L161">
        <f>Koond_kulud!L182</f>
        <v>55</v>
      </c>
      <c r="M161" t="str">
        <f>Koond_kulud!M182</f>
        <v>55</v>
      </c>
      <c r="N161" t="str">
        <f>Koond_kulud!N182</f>
        <v>Muud tegevuskulud</v>
      </c>
      <c r="O161" t="str">
        <f>Koond_kulud!O182</f>
        <v>Majandamiskulud</v>
      </c>
      <c r="P161" t="str">
        <f>Koond_kulud!P182</f>
        <v>Põhitegevuse kulu</v>
      </c>
      <c r="Q161">
        <f>Koond_kulud!Q182</f>
        <v>0</v>
      </c>
    </row>
    <row r="162" spans="1:17" hidden="1" x14ac:dyDescent="0.25">
      <c r="A162" t="str">
        <f>Koond_kulud!A183</f>
        <v>06</v>
      </c>
      <c r="B162" t="str">
        <f>Koond_kulud!B183</f>
        <v>0660511</v>
      </c>
      <c r="C162" t="str">
        <f>Koond_kulud!C183</f>
        <v>Ulvi, Vinni-Pajusti teeninduspiirkond</v>
      </c>
      <c r="D162" t="str">
        <f>Koond_kulud!D183</f>
        <v>Muu elamu- ja kommunaalmajanduse tegevus</v>
      </c>
      <c r="E162" t="str">
        <f>Koond_kulud!E183</f>
        <v>Elamu- ja kommunaalmajandus</v>
      </c>
      <c r="F162" t="str">
        <f>Koond_kulud!F183</f>
        <v>Rägavere piirkond</v>
      </c>
      <c r="G162" t="str">
        <f>Koond_kulud!G183</f>
        <v>Vesi-ja kanalisastioon</v>
      </c>
      <c r="H162">
        <f>Koond_kulud!H183</f>
        <v>350</v>
      </c>
      <c r="I162">
        <f>Koond_kulud!I183</f>
        <v>0</v>
      </c>
      <c r="J162">
        <f>Koond_kulud!J183</f>
        <v>5511</v>
      </c>
      <c r="K162" t="str">
        <f>Koond_kulud!K183</f>
        <v>Kinnistute, hoonete ja ruumide majandamiskulud</v>
      </c>
      <c r="L162">
        <f>Koond_kulud!L183</f>
        <v>55</v>
      </c>
      <c r="M162" t="str">
        <f>Koond_kulud!M183</f>
        <v>55</v>
      </c>
      <c r="N162" t="str">
        <f>Koond_kulud!N183</f>
        <v>Muud tegevuskulud</v>
      </c>
      <c r="O162" t="str">
        <f>Koond_kulud!O183</f>
        <v>Majandamiskulud</v>
      </c>
      <c r="P162" t="str">
        <f>Koond_kulud!P183</f>
        <v>Põhitegevuse kulu</v>
      </c>
      <c r="Q162">
        <f>Koond_kulud!Q183</f>
        <v>0</v>
      </c>
    </row>
    <row r="163" spans="1:17" hidden="1" x14ac:dyDescent="0.25">
      <c r="A163" t="str">
        <f>Koond_kulud!A184</f>
        <v>06</v>
      </c>
      <c r="B163" t="str">
        <f>Koond_kulud!B184</f>
        <v>0660511</v>
      </c>
      <c r="C163" t="str">
        <f>Koond_kulud!C184</f>
        <v>Ulvi, Vinni-Pajusti teeninduspiirkond</v>
      </c>
      <c r="D163" t="str">
        <f>Koond_kulud!D184</f>
        <v>Muu elamu- ja kommunaalmajanduse tegevus</v>
      </c>
      <c r="E163" t="str">
        <f>Koond_kulud!E184</f>
        <v>Elamu- ja kommunaalmajandus</v>
      </c>
      <c r="F163" t="str">
        <f>Koond_kulud!F184</f>
        <v>Rägavere piirkond</v>
      </c>
      <c r="G163" t="str">
        <f>Koond_kulud!G184</f>
        <v>Veeautomaat Saku Läte</v>
      </c>
      <c r="H163">
        <f>Koond_kulud!H184</f>
        <v>110</v>
      </c>
      <c r="I163">
        <f>Koond_kulud!I184</f>
        <v>0</v>
      </c>
      <c r="J163">
        <f>Koond_kulud!J184</f>
        <v>5511</v>
      </c>
      <c r="K163" t="str">
        <f>Koond_kulud!K184</f>
        <v>Kinnistute, hoonete ja ruumide majandamiskulud</v>
      </c>
      <c r="L163">
        <f>Koond_kulud!L184</f>
        <v>55</v>
      </c>
      <c r="M163" t="str">
        <f>Koond_kulud!M184</f>
        <v>55</v>
      </c>
      <c r="N163" t="str">
        <f>Koond_kulud!N184</f>
        <v>Muud tegevuskulud</v>
      </c>
      <c r="O163" t="str">
        <f>Koond_kulud!O184</f>
        <v>Majandamiskulud</v>
      </c>
      <c r="P163" t="str">
        <f>Koond_kulud!P184</f>
        <v>Põhitegevuse kulu</v>
      </c>
      <c r="Q163">
        <f>Koond_kulud!Q184</f>
        <v>0</v>
      </c>
    </row>
    <row r="164" spans="1:17" hidden="1" x14ac:dyDescent="0.25">
      <c r="A164" t="str">
        <f>Koond_kulud!A185</f>
        <v>06</v>
      </c>
      <c r="B164" t="str">
        <f>Koond_kulud!B185</f>
        <v>0660511</v>
      </c>
      <c r="C164" t="str">
        <f>Koond_kulud!C185</f>
        <v>Ulvi, Vinni-Pajusti teeninduspiirkond</v>
      </c>
      <c r="D164" t="str">
        <f>Koond_kulud!D185</f>
        <v>Muu elamu- ja kommunaalmajanduse tegevus</v>
      </c>
      <c r="E164" t="str">
        <f>Koond_kulud!E185</f>
        <v>Elamu- ja kommunaalmajandus</v>
      </c>
      <c r="F164" t="str">
        <f>Koond_kulud!F185</f>
        <v>Rägavere piirkond</v>
      </c>
      <c r="G164" t="str">
        <f>Koond_kulud!G185</f>
        <v>Korrashoiu vahendid</v>
      </c>
      <c r="H164">
        <f>Koond_kulud!H185</f>
        <v>200</v>
      </c>
      <c r="I164">
        <f>Koond_kulud!I185</f>
        <v>0</v>
      </c>
      <c r="J164">
        <f>Koond_kulud!J185</f>
        <v>5511</v>
      </c>
      <c r="K164" t="str">
        <f>Koond_kulud!K185</f>
        <v>Kinnistute, hoonete ja ruumide majandamiskulud</v>
      </c>
      <c r="L164">
        <f>Koond_kulud!L185</f>
        <v>55</v>
      </c>
      <c r="M164" t="str">
        <f>Koond_kulud!M185</f>
        <v>55</v>
      </c>
      <c r="N164" t="str">
        <f>Koond_kulud!N185</f>
        <v>Muud tegevuskulud</v>
      </c>
      <c r="O164" t="str">
        <f>Koond_kulud!O185</f>
        <v>Majandamiskulud</v>
      </c>
      <c r="P164" t="str">
        <f>Koond_kulud!P185</f>
        <v>Põhitegevuse kulu</v>
      </c>
      <c r="Q164">
        <f>Koond_kulud!Q185</f>
        <v>0</v>
      </c>
    </row>
    <row r="165" spans="1:17" hidden="1" x14ac:dyDescent="0.25">
      <c r="A165" t="str">
        <f>Koond_kulud!A186</f>
        <v>06</v>
      </c>
      <c r="B165" t="str">
        <f>Koond_kulud!B186</f>
        <v>0660511</v>
      </c>
      <c r="C165" t="str">
        <f>Koond_kulud!C186</f>
        <v>Ulvi, Vinni-Pajusti teeninduspiirkond</v>
      </c>
      <c r="D165" t="str">
        <f>Koond_kulud!D186</f>
        <v>Muu elamu- ja kommunaalmajanduse tegevus</v>
      </c>
      <c r="E165" t="str">
        <f>Koond_kulud!E186</f>
        <v>Elamu- ja kommunaalmajandus</v>
      </c>
      <c r="F165" t="str">
        <f>Koond_kulud!F186</f>
        <v>Rägavere piirkond</v>
      </c>
      <c r="G165" t="str">
        <f>Koond_kulud!G186</f>
        <v>Ohtlike puude raie, niitmis teenus jm</v>
      </c>
      <c r="H165">
        <f>Koond_kulud!H186</f>
        <v>500</v>
      </c>
      <c r="I165">
        <f>Koond_kulud!I186</f>
        <v>0</v>
      </c>
      <c r="J165">
        <f>Koond_kulud!J186</f>
        <v>5511</v>
      </c>
      <c r="K165" t="str">
        <f>Koond_kulud!K186</f>
        <v>Kinnistute, hoonete ja ruumide majandamiskulud</v>
      </c>
      <c r="L165">
        <f>Koond_kulud!L186</f>
        <v>55</v>
      </c>
      <c r="M165" t="str">
        <f>Koond_kulud!M186</f>
        <v>55</v>
      </c>
      <c r="N165" t="str">
        <f>Koond_kulud!N186</f>
        <v>Muud tegevuskulud</v>
      </c>
      <c r="O165" t="str">
        <f>Koond_kulud!O186</f>
        <v>Majandamiskulud</v>
      </c>
      <c r="P165" t="str">
        <f>Koond_kulud!P186</f>
        <v>Põhitegevuse kulu</v>
      </c>
      <c r="Q165">
        <f>Koond_kulud!Q186</f>
        <v>0</v>
      </c>
    </row>
    <row r="166" spans="1:17" hidden="1" x14ac:dyDescent="0.25">
      <c r="A166" t="str">
        <f>Koond_kulud!A187</f>
        <v>06</v>
      </c>
      <c r="B166" t="str">
        <f>Koond_kulud!B187</f>
        <v>0660511</v>
      </c>
      <c r="C166" t="str">
        <f>Koond_kulud!C187</f>
        <v>Ulvi, Vinni-Pajusti teeninduspiirkond</v>
      </c>
      <c r="D166" t="str">
        <f>Koond_kulud!D187</f>
        <v>Muu elamu- ja kommunaalmajanduse tegevus</v>
      </c>
      <c r="E166" t="str">
        <f>Koond_kulud!E187</f>
        <v>Elamu- ja kommunaalmajandus</v>
      </c>
      <c r="F166" t="str">
        <f>Koond_kulud!F187</f>
        <v>Rägavere piirkond</v>
      </c>
      <c r="G166" t="str">
        <f>Koond_kulud!G187</f>
        <v xml:space="preserve">Prügivedu </v>
      </c>
      <c r="H166">
        <f>Koond_kulud!H187</f>
        <v>150</v>
      </c>
      <c r="I166" t="str">
        <f>Koond_kulud!I187</f>
        <v xml:space="preserve"> Lääne-Viru Jäätmekeskus</v>
      </c>
      <c r="J166">
        <f>Koond_kulud!J187</f>
        <v>5511</v>
      </c>
      <c r="K166" t="str">
        <f>Koond_kulud!K187</f>
        <v>Kinnistute, hoonete ja ruumide majandamiskulud</v>
      </c>
      <c r="L166">
        <f>Koond_kulud!L187</f>
        <v>55</v>
      </c>
      <c r="M166" t="str">
        <f>Koond_kulud!M187</f>
        <v>55</v>
      </c>
      <c r="N166" t="str">
        <f>Koond_kulud!N187</f>
        <v>Muud tegevuskulud</v>
      </c>
      <c r="O166" t="str">
        <f>Koond_kulud!O187</f>
        <v>Majandamiskulud</v>
      </c>
      <c r="P166" t="str">
        <f>Koond_kulud!P187</f>
        <v>Põhitegevuse kulu</v>
      </c>
      <c r="Q166">
        <f>Koond_kulud!Q187</f>
        <v>0</v>
      </c>
    </row>
    <row r="167" spans="1:17" hidden="1" x14ac:dyDescent="0.25">
      <c r="A167" t="str">
        <f>Koond_kulud!A188</f>
        <v>06</v>
      </c>
      <c r="B167" t="str">
        <f>Koond_kulud!B188</f>
        <v>0660511</v>
      </c>
      <c r="C167" t="str">
        <f>Koond_kulud!C188</f>
        <v>Ulvi, Vinni-Pajusti teeninduspiirkond</v>
      </c>
      <c r="D167" t="str">
        <f>Koond_kulud!D188</f>
        <v>Muu elamu- ja kommunaalmajanduse tegevus</v>
      </c>
      <c r="E167" t="str">
        <f>Koond_kulud!E188</f>
        <v>Elamu- ja kommunaalmajandus</v>
      </c>
      <c r="F167" t="str">
        <f>Koond_kulud!F188</f>
        <v>Rägavere piirkond</v>
      </c>
      <c r="G167" t="str">
        <f>Koond_kulud!G188</f>
        <v>Korteriühistute tasud</v>
      </c>
      <c r="H167">
        <f>Koond_kulud!H188</f>
        <v>540</v>
      </c>
      <c r="I167">
        <f>Koond_kulud!I188</f>
        <v>0</v>
      </c>
      <c r="J167">
        <f>Koond_kulud!J188</f>
        <v>5511</v>
      </c>
      <c r="K167" t="str">
        <f>Koond_kulud!K188</f>
        <v>Kinnistute, hoonete ja ruumide majandamiskulud</v>
      </c>
      <c r="L167">
        <f>Koond_kulud!L188</f>
        <v>55</v>
      </c>
      <c r="M167" t="str">
        <f>Koond_kulud!M188</f>
        <v>55</v>
      </c>
      <c r="N167" t="str">
        <f>Koond_kulud!N188</f>
        <v>Muud tegevuskulud</v>
      </c>
      <c r="O167" t="str">
        <f>Koond_kulud!O188</f>
        <v>Majandamiskulud</v>
      </c>
      <c r="P167" t="str">
        <f>Koond_kulud!P188</f>
        <v>Põhitegevuse kulu</v>
      </c>
      <c r="Q167">
        <f>Koond_kulud!Q188</f>
        <v>0</v>
      </c>
    </row>
    <row r="168" spans="1:17" hidden="1" x14ac:dyDescent="0.25">
      <c r="A168" t="str">
        <f>Koond_kulud!A189</f>
        <v>06</v>
      </c>
      <c r="B168" t="str">
        <f>Koond_kulud!B189</f>
        <v>0660511</v>
      </c>
      <c r="C168" t="str">
        <f>Koond_kulud!C189</f>
        <v>Ulvi, Vinni-Pajusti teeninduspiirkond</v>
      </c>
      <c r="D168" t="str">
        <f>Koond_kulud!D189</f>
        <v>Muu elamu- ja kommunaalmajanduse tegevus</v>
      </c>
      <c r="E168" t="str">
        <f>Koond_kulud!E189</f>
        <v>Elamu- ja kommunaalmajandus</v>
      </c>
      <c r="F168" t="str">
        <f>Koond_kulud!F189</f>
        <v>Rägavere piirkond</v>
      </c>
      <c r="G168" t="str">
        <f>Koond_kulud!G189</f>
        <v xml:space="preserve">Amplid, lilled,istikud </v>
      </c>
      <c r="H168">
        <f>Koond_kulud!H189</f>
        <v>200</v>
      </c>
      <c r="I168">
        <f>Koond_kulud!I189</f>
        <v>0</v>
      </c>
      <c r="J168">
        <f>Koond_kulud!J189</f>
        <v>5511</v>
      </c>
      <c r="K168" t="str">
        <f>Koond_kulud!K189</f>
        <v>Kinnistute, hoonete ja ruumide majandamiskulud</v>
      </c>
      <c r="L168">
        <f>Koond_kulud!L189</f>
        <v>55</v>
      </c>
      <c r="M168" t="str">
        <f>Koond_kulud!M189</f>
        <v>55</v>
      </c>
      <c r="N168" t="str">
        <f>Koond_kulud!N189</f>
        <v>Muud tegevuskulud</v>
      </c>
      <c r="O168" t="str">
        <f>Koond_kulud!O189</f>
        <v>Majandamiskulud</v>
      </c>
      <c r="P168" t="str">
        <f>Koond_kulud!P189</f>
        <v>Põhitegevuse kulu</v>
      </c>
      <c r="Q168">
        <f>Koond_kulud!Q189</f>
        <v>0</v>
      </c>
    </row>
    <row r="169" spans="1:17" hidden="1" x14ac:dyDescent="0.25">
      <c r="A169" t="str">
        <f>Koond_kulud!A190</f>
        <v>06</v>
      </c>
      <c r="B169" t="str">
        <f>Koond_kulud!B190</f>
        <v>0660511</v>
      </c>
      <c r="C169" t="str">
        <f>Koond_kulud!C190</f>
        <v>Ulvi, Vinni-Pajusti teeninduspiirkond</v>
      </c>
      <c r="D169" t="str">
        <f>Koond_kulud!D190</f>
        <v>Muu elamu- ja kommunaalmajanduse tegevus</v>
      </c>
      <c r="E169" t="str">
        <f>Koond_kulud!E190</f>
        <v>Elamu- ja kommunaalmajandus</v>
      </c>
      <c r="F169" t="str">
        <f>Koond_kulud!F190</f>
        <v>Rägavere piirkond</v>
      </c>
      <c r="G169" t="str">
        <f>Koond_kulud!G190</f>
        <v>Valveteenus</v>
      </c>
      <c r="H169">
        <f>Koond_kulud!H190</f>
        <v>116</v>
      </c>
      <c r="I169">
        <f>Koond_kulud!I190</f>
        <v>0</v>
      </c>
      <c r="J169">
        <f>Koond_kulud!J190</f>
        <v>5511</v>
      </c>
      <c r="K169" t="str">
        <f>Koond_kulud!K190</f>
        <v>Kinnistute, hoonete ja ruumide majandamiskulud</v>
      </c>
      <c r="L169">
        <f>Koond_kulud!L190</f>
        <v>55</v>
      </c>
      <c r="M169" t="str">
        <f>Koond_kulud!M190</f>
        <v>55</v>
      </c>
      <c r="N169" t="str">
        <f>Koond_kulud!N190</f>
        <v>Muud tegevuskulud</v>
      </c>
      <c r="O169" t="str">
        <f>Koond_kulud!O190</f>
        <v>Majandamiskulud</v>
      </c>
      <c r="P169" t="str">
        <f>Koond_kulud!P190</f>
        <v>Põhitegevuse kulu</v>
      </c>
      <c r="Q169">
        <f>Koond_kulud!Q190</f>
        <v>0</v>
      </c>
    </row>
    <row r="170" spans="1:17" hidden="1" x14ac:dyDescent="0.25">
      <c r="A170" t="str">
        <f>Koond_kulud!A191</f>
        <v>06</v>
      </c>
      <c r="B170" t="str">
        <f>Koond_kulud!B191</f>
        <v>0660511</v>
      </c>
      <c r="C170" t="str">
        <f>Koond_kulud!C191</f>
        <v>Ulvi, Vinni-Pajusti teeninduspiirkond</v>
      </c>
      <c r="D170" t="str">
        <f>Koond_kulud!D191</f>
        <v>Muu elamu- ja kommunaalmajanduse tegevus</v>
      </c>
      <c r="E170" t="str">
        <f>Koond_kulud!E191</f>
        <v>Elamu- ja kommunaalmajandus</v>
      </c>
      <c r="F170" t="str">
        <f>Koond_kulud!F191</f>
        <v>Rägavere piirkond</v>
      </c>
      <c r="G170" t="str">
        <f>Koond_kulud!G191</f>
        <v>Katla hooldus, korstnapühkija</v>
      </c>
      <c r="H170">
        <f>Koond_kulud!H191</f>
        <v>300</v>
      </c>
      <c r="I170">
        <f>Koond_kulud!I191</f>
        <v>0</v>
      </c>
      <c r="J170">
        <f>Koond_kulud!J191</f>
        <v>5511</v>
      </c>
      <c r="K170" t="str">
        <f>Koond_kulud!K191</f>
        <v>Kinnistute, hoonete ja ruumide majandamiskulud</v>
      </c>
      <c r="L170">
        <f>Koond_kulud!L191</f>
        <v>55</v>
      </c>
      <c r="M170" t="str">
        <f>Koond_kulud!M191</f>
        <v>55</v>
      </c>
      <c r="N170" t="str">
        <f>Koond_kulud!N191</f>
        <v>Muud tegevuskulud</v>
      </c>
      <c r="O170" t="str">
        <f>Koond_kulud!O191</f>
        <v>Majandamiskulud</v>
      </c>
      <c r="P170" t="str">
        <f>Koond_kulud!P191</f>
        <v>Põhitegevuse kulu</v>
      </c>
      <c r="Q170">
        <f>Koond_kulud!Q191</f>
        <v>0</v>
      </c>
    </row>
    <row r="171" spans="1:17" hidden="1" x14ac:dyDescent="0.25">
      <c r="A171" t="str">
        <f>Koond_kulud!A192</f>
        <v>06</v>
      </c>
      <c r="B171" t="str">
        <f>Koond_kulud!B192</f>
        <v>0660511</v>
      </c>
      <c r="C171" t="str">
        <f>Koond_kulud!C192</f>
        <v>Ulvi, Vinni-Pajusti teeninduspiirkond</v>
      </c>
      <c r="D171" t="str">
        <f>Koond_kulud!D192</f>
        <v>Muu elamu- ja kommunaalmajanduse tegevus</v>
      </c>
      <c r="E171" t="str">
        <f>Koond_kulud!E192</f>
        <v>Elamu- ja kommunaalmajandus</v>
      </c>
      <c r="F171" t="str">
        <f>Koond_kulud!F192</f>
        <v>Rägavere piirkond</v>
      </c>
      <c r="G171" t="str">
        <f>Koond_kulud!G192</f>
        <v>Pelleti ost</v>
      </c>
      <c r="H171">
        <f>Koond_kulud!H192</f>
        <v>4000</v>
      </c>
      <c r="I171">
        <f>Koond_kulud!I192</f>
        <v>0</v>
      </c>
      <c r="J171">
        <f>Koond_kulud!J192</f>
        <v>5511</v>
      </c>
      <c r="K171" t="str">
        <f>Koond_kulud!K192</f>
        <v>Kinnistute, hoonete ja ruumide majandamiskulud</v>
      </c>
      <c r="L171">
        <f>Koond_kulud!L192</f>
        <v>55</v>
      </c>
      <c r="M171" t="str">
        <f>Koond_kulud!M192</f>
        <v>55</v>
      </c>
      <c r="N171" t="str">
        <f>Koond_kulud!N192</f>
        <v>Muud tegevuskulud</v>
      </c>
      <c r="O171" t="str">
        <f>Koond_kulud!O192</f>
        <v>Majandamiskulud</v>
      </c>
      <c r="P171" t="str">
        <f>Koond_kulud!P192</f>
        <v>Põhitegevuse kulu</v>
      </c>
      <c r="Q171">
        <f>Koond_kulud!Q192</f>
        <v>0</v>
      </c>
    </row>
    <row r="172" spans="1:17" hidden="1" x14ac:dyDescent="0.25">
      <c r="A172" t="str">
        <f>Koond_kulud!A193</f>
        <v>06</v>
      </c>
      <c r="B172" t="str">
        <f>Koond_kulud!B193</f>
        <v>0660511</v>
      </c>
      <c r="C172" t="str">
        <f>Koond_kulud!C193</f>
        <v>Ulvi, Vinni-Pajusti teeninduspiirkond</v>
      </c>
      <c r="D172" t="str">
        <f>Koond_kulud!D193</f>
        <v>Muu elamu- ja kommunaalmajanduse tegevus</v>
      </c>
      <c r="E172" t="str">
        <f>Koond_kulud!E193</f>
        <v>Elamu- ja kommunaalmajandus</v>
      </c>
      <c r="F172" t="str">
        <f>Koond_kulud!F193</f>
        <v>Rägavere piirkond</v>
      </c>
      <c r="G172" t="str">
        <f>Koond_kulud!G193</f>
        <v>Valve- ja tuletõrje signalisatsiooni hooldus</v>
      </c>
      <c r="H172">
        <f>Koond_kulud!H193</f>
        <v>570</v>
      </c>
      <c r="I172">
        <f>Koond_kulud!I193</f>
        <v>0</v>
      </c>
      <c r="J172">
        <f>Koond_kulud!J193</f>
        <v>5511</v>
      </c>
      <c r="K172" t="str">
        <f>Koond_kulud!K193</f>
        <v>Kinnistute, hoonete ja ruumide majandamiskulud</v>
      </c>
      <c r="L172">
        <f>Koond_kulud!L193</f>
        <v>55</v>
      </c>
      <c r="M172" t="str">
        <f>Koond_kulud!M193</f>
        <v>55</v>
      </c>
      <c r="N172" t="str">
        <f>Koond_kulud!N193</f>
        <v>Muud tegevuskulud</v>
      </c>
      <c r="O172" t="str">
        <f>Koond_kulud!O193</f>
        <v>Majandamiskulud</v>
      </c>
      <c r="P172" t="str">
        <f>Koond_kulud!P193</f>
        <v>Põhitegevuse kulu</v>
      </c>
      <c r="Q172">
        <f>Koond_kulud!Q193</f>
        <v>0</v>
      </c>
    </row>
    <row r="173" spans="1:17" hidden="1" x14ac:dyDescent="0.25">
      <c r="A173" t="str">
        <f>Koond_kulud!A194</f>
        <v>06</v>
      </c>
      <c r="B173" t="str">
        <f>Koond_kulud!B194</f>
        <v>0660511</v>
      </c>
      <c r="C173" t="str">
        <f>Koond_kulud!C194</f>
        <v>Ulvi, Vinni-Pajusti teeninduspiirkond</v>
      </c>
      <c r="D173" t="str">
        <f>Koond_kulud!D194</f>
        <v>Muu elamu- ja kommunaalmajanduse tegevus</v>
      </c>
      <c r="E173" t="str">
        <f>Koond_kulud!E194</f>
        <v>Elamu- ja kommunaalmajandus</v>
      </c>
      <c r="F173" t="str">
        <f>Koond_kulud!F194</f>
        <v>Rägavere piirkond</v>
      </c>
      <c r="G173" t="str">
        <f>Koond_kulud!G194</f>
        <v>Elekter</v>
      </c>
      <c r="H173">
        <f>Koond_kulud!H194</f>
        <v>3000</v>
      </c>
      <c r="I173">
        <f>Koond_kulud!I194</f>
        <v>0</v>
      </c>
      <c r="J173">
        <f>Koond_kulud!J194</f>
        <v>5511</v>
      </c>
      <c r="K173" t="str">
        <f>Koond_kulud!K194</f>
        <v>Kinnistute, hoonete ja ruumide majandamiskulud</v>
      </c>
      <c r="L173">
        <f>Koond_kulud!L194</f>
        <v>55</v>
      </c>
      <c r="M173" t="str">
        <f>Koond_kulud!M194</f>
        <v>55</v>
      </c>
      <c r="N173" t="str">
        <f>Koond_kulud!N194</f>
        <v>Muud tegevuskulud</v>
      </c>
      <c r="O173" t="str">
        <f>Koond_kulud!O194</f>
        <v>Majandamiskulud</v>
      </c>
      <c r="P173" t="str">
        <f>Koond_kulud!P194</f>
        <v>Põhitegevuse kulu</v>
      </c>
      <c r="Q173">
        <f>Koond_kulud!Q194</f>
        <v>0</v>
      </c>
    </row>
    <row r="174" spans="1:17" hidden="1" x14ac:dyDescent="0.25">
      <c r="A174" t="str">
        <f>Koond_kulud!A195</f>
        <v>06</v>
      </c>
      <c r="B174" t="str">
        <f>Koond_kulud!B195</f>
        <v>0660511</v>
      </c>
      <c r="C174" t="str">
        <f>Koond_kulud!C195</f>
        <v>Ulvi, Vinni-Pajusti teeninduspiirkond</v>
      </c>
      <c r="D174" t="str">
        <f>Koond_kulud!D195</f>
        <v>Muu elamu- ja kommunaalmajanduse tegevus</v>
      </c>
      <c r="E174" t="str">
        <f>Koond_kulud!E195</f>
        <v>Elamu- ja kommunaalmajandus</v>
      </c>
      <c r="F174" t="str">
        <f>Koond_kulud!F195</f>
        <v>Rägavere piirkond</v>
      </c>
      <c r="G174" t="str">
        <f>Koond_kulud!G195</f>
        <v>Kontoritarbed</v>
      </c>
      <c r="H174">
        <f>Koond_kulud!H195</f>
        <v>300</v>
      </c>
      <c r="I174" t="str">
        <f>Koond_kulud!I195</f>
        <v>Tahmad, paber, pliiatsid jne.</v>
      </c>
      <c r="J174">
        <f>Koond_kulud!J195</f>
        <v>5500</v>
      </c>
      <c r="K174" t="str">
        <f>Koond_kulud!K195</f>
        <v>Administreerimiskulud</v>
      </c>
      <c r="L174">
        <f>Koond_kulud!L195</f>
        <v>55</v>
      </c>
      <c r="M174" t="str">
        <f>Koond_kulud!M195</f>
        <v>55</v>
      </c>
      <c r="N174" t="str">
        <f>Koond_kulud!N195</f>
        <v>Muud tegevuskulud</v>
      </c>
      <c r="O174" t="str">
        <f>Koond_kulud!O195</f>
        <v>Majandamiskulud</v>
      </c>
      <c r="P174" t="str">
        <f>Koond_kulud!P195</f>
        <v>Põhitegevuse kulu</v>
      </c>
      <c r="Q174">
        <f>Koond_kulud!Q195</f>
        <v>0</v>
      </c>
    </row>
    <row r="175" spans="1:17" hidden="1" x14ac:dyDescent="0.25">
      <c r="A175" t="str">
        <f>Koond_kulud!A196</f>
        <v>06</v>
      </c>
      <c r="B175" t="str">
        <f>Koond_kulud!B196</f>
        <v>0660511</v>
      </c>
      <c r="C175" t="str">
        <f>Koond_kulud!C196</f>
        <v>Ulvi, Vinni-Pajusti teeninduspiirkond</v>
      </c>
      <c r="D175" t="str">
        <f>Koond_kulud!D196</f>
        <v>Muu elamu- ja kommunaalmajanduse tegevus</v>
      </c>
      <c r="E175" t="str">
        <f>Koond_kulud!E196</f>
        <v>Elamu- ja kommunaalmajandus</v>
      </c>
      <c r="F175" t="str">
        <f>Koond_kulud!F196</f>
        <v>Rägavere piirkond</v>
      </c>
      <c r="G175" t="str">
        <f>Koond_kulud!G196</f>
        <v>Telefon</v>
      </c>
      <c r="H175">
        <f>Koond_kulud!H196</f>
        <v>26.4</v>
      </c>
      <c r="I175" t="str">
        <f>Koond_kulud!I196</f>
        <v>mobiiltelefon 5783 3232</v>
      </c>
      <c r="J175">
        <f>Koond_kulud!J196</f>
        <v>5500</v>
      </c>
      <c r="K175" t="str">
        <f>Koond_kulud!K196</f>
        <v>Administreerimiskulud</v>
      </c>
      <c r="L175">
        <f>Koond_kulud!L196</f>
        <v>55</v>
      </c>
      <c r="M175" t="str">
        <f>Koond_kulud!M196</f>
        <v>55</v>
      </c>
      <c r="N175" t="str">
        <f>Koond_kulud!N196</f>
        <v>Muud tegevuskulud</v>
      </c>
      <c r="O175" t="str">
        <f>Koond_kulud!O196</f>
        <v>Majandamiskulud</v>
      </c>
      <c r="P175" t="str">
        <f>Koond_kulud!P196</f>
        <v>Põhitegevuse kulu</v>
      </c>
      <c r="Q175">
        <f>Koond_kulud!Q196</f>
        <v>0</v>
      </c>
    </row>
    <row r="176" spans="1:17" hidden="1" x14ac:dyDescent="0.25">
      <c r="A176" t="str">
        <f>Koond_kulud!A197</f>
        <v>06</v>
      </c>
      <c r="B176" t="str">
        <f>Koond_kulud!B197</f>
        <v>0660511</v>
      </c>
      <c r="C176" t="str">
        <f>Koond_kulud!C197</f>
        <v>Ulvi, Vinni-Pajusti teeninduspiirkond</v>
      </c>
      <c r="D176" t="str">
        <f>Koond_kulud!D197</f>
        <v>Muu elamu- ja kommunaalmajanduse tegevus</v>
      </c>
      <c r="E176" t="str">
        <f>Koond_kulud!E197</f>
        <v>Elamu- ja kommunaalmajandus</v>
      </c>
      <c r="F176" t="str">
        <f>Koond_kulud!F197</f>
        <v>Rägavere piirkond</v>
      </c>
      <c r="G176" t="str">
        <f>Koond_kulud!G197</f>
        <v>Koolitused</v>
      </c>
      <c r="H176">
        <f>Koond_kulud!H197</f>
        <v>200</v>
      </c>
      <c r="I176">
        <f>Koond_kulud!I197</f>
        <v>0</v>
      </c>
      <c r="J176">
        <f>Koond_kulud!J197</f>
        <v>5504</v>
      </c>
      <c r="K176" t="str">
        <f>Koond_kulud!K197</f>
        <v>Koolituskulud</v>
      </c>
      <c r="L176">
        <f>Koond_kulud!L197</f>
        <v>55</v>
      </c>
      <c r="M176" t="str">
        <f>Koond_kulud!M197</f>
        <v>55</v>
      </c>
      <c r="N176" t="str">
        <f>Koond_kulud!N197</f>
        <v>Muud tegevuskulud</v>
      </c>
      <c r="O176" t="str">
        <f>Koond_kulud!O197</f>
        <v>Majandamiskulud</v>
      </c>
      <c r="P176" t="str">
        <f>Koond_kulud!P197</f>
        <v>Põhitegevuse kulu</v>
      </c>
      <c r="Q176">
        <f>Koond_kulud!Q197</f>
        <v>0</v>
      </c>
    </row>
    <row r="177" spans="1:17" hidden="1" x14ac:dyDescent="0.25">
      <c r="A177" t="str">
        <f>Koond_kulud!A198</f>
        <v>06</v>
      </c>
      <c r="B177" t="str">
        <f>Koond_kulud!B198</f>
        <v>0660511</v>
      </c>
      <c r="C177" t="str">
        <f>Koond_kulud!C198</f>
        <v>Ulvi, Vinni-Pajusti teeninduspiirkond</v>
      </c>
      <c r="D177" t="str">
        <f>Koond_kulud!D198</f>
        <v>Muu elamu- ja kommunaalmajanduse tegevus</v>
      </c>
      <c r="E177" t="str">
        <f>Koond_kulud!E198</f>
        <v>Elamu- ja kommunaalmajandus</v>
      </c>
      <c r="F177" t="str">
        <f>Koond_kulud!F198</f>
        <v>Rägavere piirkond</v>
      </c>
      <c r="G177" t="str">
        <f>Koond_kulud!G198</f>
        <v>Väikebussi kütus</v>
      </c>
      <c r="H177">
        <f>Koond_kulud!H198</f>
        <v>3500</v>
      </c>
      <c r="I177" t="str">
        <f>Koond_kulud!I198</f>
        <v>kütus</v>
      </c>
      <c r="J177">
        <f>Koond_kulud!J198</f>
        <v>5513</v>
      </c>
      <c r="K177" t="str">
        <f>Koond_kulud!K198</f>
        <v>Sõidukite ülalpidamise kulud</v>
      </c>
      <c r="L177">
        <f>Koond_kulud!L198</f>
        <v>55</v>
      </c>
      <c r="M177" t="str">
        <f>Koond_kulud!M198</f>
        <v>55</v>
      </c>
      <c r="N177" t="str">
        <f>Koond_kulud!N198</f>
        <v>Muud tegevuskulud</v>
      </c>
      <c r="O177" t="str">
        <f>Koond_kulud!O198</f>
        <v>Majandamiskulud</v>
      </c>
      <c r="P177" t="str">
        <f>Koond_kulud!P198</f>
        <v>Põhitegevuse kulu</v>
      </c>
      <c r="Q177">
        <f>Koond_kulud!Q198</f>
        <v>0</v>
      </c>
    </row>
    <row r="178" spans="1:17" hidden="1" x14ac:dyDescent="0.25">
      <c r="A178" t="str">
        <f>Koond_kulud!A199</f>
        <v>06</v>
      </c>
      <c r="B178" t="str">
        <f>Koond_kulud!B199</f>
        <v>0660511</v>
      </c>
      <c r="C178" t="str">
        <f>Koond_kulud!C199</f>
        <v>Ulvi, Vinni-Pajusti teeninduspiirkond</v>
      </c>
      <c r="D178" t="str">
        <f>Koond_kulud!D199</f>
        <v>Muu elamu- ja kommunaalmajanduse tegevus</v>
      </c>
      <c r="E178" t="str">
        <f>Koond_kulud!E199</f>
        <v>Elamu- ja kommunaalmajandus</v>
      </c>
      <c r="F178" t="str">
        <f>Koond_kulud!F199</f>
        <v>Rägavere piirkond</v>
      </c>
      <c r="G178" t="str">
        <f>Koond_kulud!G199</f>
        <v>Väikebuss</v>
      </c>
      <c r="H178">
        <f>Koond_kulud!H199</f>
        <v>8000</v>
      </c>
      <c r="I178" t="str">
        <f>Koond_kulud!I199</f>
        <v>liising, kasko, liiklus, tarvikud</v>
      </c>
      <c r="J178">
        <f>Koond_kulud!J199</f>
        <v>5513</v>
      </c>
      <c r="K178" t="str">
        <f>Koond_kulud!K199</f>
        <v>Sõidukite ülalpidamise kulud</v>
      </c>
      <c r="L178">
        <f>Koond_kulud!L199</f>
        <v>55</v>
      </c>
      <c r="M178" t="str">
        <f>Koond_kulud!M199</f>
        <v>55</v>
      </c>
      <c r="N178" t="str">
        <f>Koond_kulud!N199</f>
        <v>Muud tegevuskulud</v>
      </c>
      <c r="O178" t="str">
        <f>Koond_kulud!O199</f>
        <v>Majandamiskulud</v>
      </c>
      <c r="P178" t="str">
        <f>Koond_kulud!P199</f>
        <v>Põhitegevuse kulu</v>
      </c>
      <c r="Q178">
        <f>Koond_kulud!Q199</f>
        <v>0</v>
      </c>
    </row>
    <row r="179" spans="1:17" hidden="1" x14ac:dyDescent="0.25">
      <c r="A179" t="str">
        <f>Koond_kulud!A200</f>
        <v>06</v>
      </c>
      <c r="B179" t="str">
        <f>Koond_kulud!B200</f>
        <v>0660511</v>
      </c>
      <c r="C179" t="str">
        <f>Koond_kulud!C200</f>
        <v>Ulvi, Vinni-Pajusti teeninduspiirkond</v>
      </c>
      <c r="D179" t="str">
        <f>Koond_kulud!D200</f>
        <v>Muu elamu- ja kommunaalmajanduse tegevus</v>
      </c>
      <c r="E179" t="str">
        <f>Koond_kulud!E200</f>
        <v>Elamu- ja kommunaalmajandus</v>
      </c>
      <c r="F179" t="str">
        <f>Koond_kulud!F200</f>
        <v>Rägavere piirkond</v>
      </c>
      <c r="G179" t="str">
        <f>Koond_kulud!G200</f>
        <v>Isikliku sõiduauto komp.</v>
      </c>
      <c r="H179">
        <f>Koond_kulud!H200</f>
        <v>3300</v>
      </c>
      <c r="I179">
        <f>Koond_kulud!I200</f>
        <v>0</v>
      </c>
      <c r="J179">
        <f>Koond_kulud!J200</f>
        <v>5513</v>
      </c>
      <c r="K179" t="str">
        <f>Koond_kulud!K200</f>
        <v>Sõidukite ülalpidamise kulud</v>
      </c>
      <c r="L179">
        <f>Koond_kulud!L200</f>
        <v>55</v>
      </c>
      <c r="M179" t="str">
        <f>Koond_kulud!M200</f>
        <v>55</v>
      </c>
      <c r="N179" t="str">
        <f>Koond_kulud!N200</f>
        <v>Muud tegevuskulud</v>
      </c>
      <c r="O179" t="str">
        <f>Koond_kulud!O200</f>
        <v>Majandamiskulud</v>
      </c>
      <c r="P179" t="str">
        <f>Koond_kulud!P200</f>
        <v>Põhitegevuse kulu</v>
      </c>
      <c r="Q179">
        <f>Koond_kulud!Q200</f>
        <v>0</v>
      </c>
    </row>
    <row r="180" spans="1:17" hidden="1" x14ac:dyDescent="0.25">
      <c r="A180" t="str">
        <f>Koond_kulud!A201</f>
        <v>06</v>
      </c>
      <c r="B180" t="str">
        <f>Koond_kulud!B201</f>
        <v>0660511</v>
      </c>
      <c r="C180" t="str">
        <f>Koond_kulud!C201</f>
        <v>Ulvi, Vinni-Pajusti teeninduspiirkond</v>
      </c>
      <c r="D180" t="str">
        <f>Koond_kulud!D201</f>
        <v>Muu elamu- ja kommunaalmajanduse tegevus</v>
      </c>
      <c r="E180" t="str">
        <f>Koond_kulud!E201</f>
        <v>Elamu- ja kommunaalmajandus</v>
      </c>
      <c r="F180" t="str">
        <f>Koond_kulud!F201</f>
        <v>Rägavere piirkond</v>
      </c>
      <c r="G180" t="str">
        <f>Koond_kulud!G201</f>
        <v>Seadmete ja masinate tarvikud</v>
      </c>
      <c r="H180">
        <f>Koond_kulud!H201</f>
        <v>900</v>
      </c>
      <c r="I180" t="str">
        <f>Koond_kulud!I201</f>
        <v>Murutraktori rihmad,saagide osad ,ketid,niidukite terad ,kiilrihmad,õlid, filtrid hooldus</v>
      </c>
      <c r="J180">
        <f>Koond_kulud!J201</f>
        <v>5515</v>
      </c>
      <c r="K180" t="str">
        <f>Koond_kulud!K201</f>
        <v>Inventari kulud, v.a infotehnoloogia ja kaitseotstarbelised kulud</v>
      </c>
      <c r="L180">
        <f>Koond_kulud!L201</f>
        <v>55</v>
      </c>
      <c r="M180" t="str">
        <f>Koond_kulud!M201</f>
        <v>55</v>
      </c>
      <c r="N180" t="str">
        <f>Koond_kulud!N201</f>
        <v>Muud tegevuskulud</v>
      </c>
      <c r="O180" t="str">
        <f>Koond_kulud!O201</f>
        <v>Majandamiskulud</v>
      </c>
      <c r="P180" t="str">
        <f>Koond_kulud!P201</f>
        <v>Põhitegevuse kulu</v>
      </c>
      <c r="Q180">
        <f>Koond_kulud!Q201</f>
        <v>0</v>
      </c>
    </row>
    <row r="181" spans="1:17" hidden="1" x14ac:dyDescent="0.25">
      <c r="A181" t="str">
        <f>Koond_kulud!A202</f>
        <v>06</v>
      </c>
      <c r="B181" t="str">
        <f>Koond_kulud!B202</f>
        <v>0660511</v>
      </c>
      <c r="C181" t="str">
        <f>Koond_kulud!C202</f>
        <v>Ulvi, Vinni-Pajusti teeninduspiirkond</v>
      </c>
      <c r="D181" t="str">
        <f>Koond_kulud!D202</f>
        <v>Muu elamu- ja kommunaalmajanduse tegevus</v>
      </c>
      <c r="E181" t="str">
        <f>Koond_kulud!E202</f>
        <v>Elamu- ja kommunaalmajandus</v>
      </c>
      <c r="F181" t="str">
        <f>Koond_kulud!F202</f>
        <v>Rägavere piirkond</v>
      </c>
      <c r="G181" t="str">
        <f>Koond_kulud!G202</f>
        <v>Murutraktori, trimmerite kütus</v>
      </c>
      <c r="H181">
        <f>Koond_kulud!H202</f>
        <v>2000</v>
      </c>
      <c r="I181">
        <f>Koond_kulud!I202</f>
        <v>0</v>
      </c>
      <c r="J181">
        <f>Koond_kulud!J202</f>
        <v>5515</v>
      </c>
      <c r="K181" t="str">
        <f>Koond_kulud!K202</f>
        <v>Inventari kulud, v.a infotehnoloogia ja kaitseotstarbelised kulud</v>
      </c>
      <c r="L181">
        <f>Koond_kulud!L202</f>
        <v>55</v>
      </c>
      <c r="M181" t="str">
        <f>Koond_kulud!M202</f>
        <v>55</v>
      </c>
      <c r="N181" t="str">
        <f>Koond_kulud!N202</f>
        <v>Muud tegevuskulud</v>
      </c>
      <c r="O181" t="str">
        <f>Koond_kulud!O202</f>
        <v>Majandamiskulud</v>
      </c>
      <c r="P181" t="str">
        <f>Koond_kulud!P202</f>
        <v>Põhitegevuse kulu</v>
      </c>
      <c r="Q181">
        <f>Koond_kulud!Q202</f>
        <v>0</v>
      </c>
    </row>
    <row r="182" spans="1:17" hidden="1" x14ac:dyDescent="0.25">
      <c r="A182" t="str">
        <f>Koond_kulud!A203</f>
        <v>06</v>
      </c>
      <c r="B182" t="str">
        <f>Koond_kulud!B203</f>
        <v>0660511</v>
      </c>
      <c r="C182" t="str">
        <f>Koond_kulud!C203</f>
        <v>Ulvi, Vinni-Pajusti teeninduspiirkond</v>
      </c>
      <c r="D182" t="str">
        <f>Koond_kulud!D203</f>
        <v>Muu elamu- ja kommunaalmajanduse tegevus</v>
      </c>
      <c r="E182" t="str">
        <f>Koond_kulud!E203</f>
        <v>Elamu- ja kommunaalmajandus</v>
      </c>
      <c r="F182" t="str">
        <f>Koond_kulud!F203</f>
        <v>Rägavere piirkond</v>
      </c>
      <c r="G182" t="str">
        <f>Koond_kulud!G203</f>
        <v>Internetiühendus</v>
      </c>
      <c r="H182">
        <f>Koond_kulud!H203</f>
        <v>381.6</v>
      </c>
      <c r="I182" t="str">
        <f>Koond_kulud!I203</f>
        <v>Andigo OÜ internet, kaks lautelefoni</v>
      </c>
      <c r="J182">
        <f>Koond_kulud!J203</f>
        <v>5514</v>
      </c>
      <c r="K182" t="str">
        <f>Koond_kulud!K203</f>
        <v>Info- ja kommunikatsioonitehnoliigised kulud</v>
      </c>
      <c r="L182">
        <f>Koond_kulud!L203</f>
        <v>55</v>
      </c>
      <c r="M182" t="str">
        <f>Koond_kulud!M203</f>
        <v>55</v>
      </c>
      <c r="N182" t="str">
        <f>Koond_kulud!N203</f>
        <v>Muud tegevuskulud</v>
      </c>
      <c r="O182" t="str">
        <f>Koond_kulud!O203</f>
        <v>Majandamiskulud</v>
      </c>
      <c r="P182" t="str">
        <f>Koond_kulud!P203</f>
        <v>Põhitegevuse kulu</v>
      </c>
      <c r="Q182">
        <f>Koond_kulud!Q203</f>
        <v>0</v>
      </c>
    </row>
    <row r="183" spans="1:17" hidden="1" x14ac:dyDescent="0.25">
      <c r="A183" t="str">
        <f>Koond_kulud!A204</f>
        <v>06</v>
      </c>
      <c r="B183" t="str">
        <f>Koond_kulud!B204</f>
        <v>0660510</v>
      </c>
      <c r="C183" t="str">
        <f>Koond_kulud!C204</f>
        <v>Roela, Tudu, Viru-Jaagupi teeninduspiirkond</v>
      </c>
      <c r="D183" t="str">
        <f>Koond_kulud!D204</f>
        <v>Muu elamu- ja kommunaalmajanduse tegevus</v>
      </c>
      <c r="E183" t="str">
        <f>Koond_kulud!E204</f>
        <v>Elamu- ja kommunaalmajandus</v>
      </c>
      <c r="F183" t="str">
        <f>Koond_kulud!F204</f>
        <v>Roela piirkond</v>
      </c>
      <c r="G183" t="str">
        <f>Koond_kulud!G204</f>
        <v>Heakorratööd</v>
      </c>
      <c r="H183">
        <f>Koond_kulud!H204</f>
        <v>12950</v>
      </c>
      <c r="I183" t="str">
        <f>Koond_kulud!I204</f>
        <v>Fixsum Service-muruniitmine,Vaarmets,</v>
      </c>
      <c r="J183">
        <f>Koond_kulud!J204</f>
        <v>5511</v>
      </c>
      <c r="K183" t="str">
        <f>Koond_kulud!K204</f>
        <v>Kinnistute, hoonete ja ruumide majandamiskulud</v>
      </c>
      <c r="L183">
        <f>Koond_kulud!L204</f>
        <v>55</v>
      </c>
      <c r="M183" t="str">
        <f>Koond_kulud!M204</f>
        <v>55</v>
      </c>
      <c r="N183" t="str">
        <f>Koond_kulud!N204</f>
        <v>Muud tegevuskulud</v>
      </c>
      <c r="O183" t="str">
        <f>Koond_kulud!O204</f>
        <v>Majandamiskulud</v>
      </c>
      <c r="P183" t="str">
        <f>Koond_kulud!P204</f>
        <v>Põhitegevuse kulu</v>
      </c>
      <c r="Q183">
        <f>Koond_kulud!Q204</f>
        <v>0</v>
      </c>
    </row>
    <row r="184" spans="1:17" hidden="1" x14ac:dyDescent="0.25">
      <c r="A184" t="str">
        <f>Koond_kulud!A205</f>
        <v>06</v>
      </c>
      <c r="B184" t="str">
        <f>Koond_kulud!B205</f>
        <v>0660510</v>
      </c>
      <c r="C184" t="str">
        <f>Koond_kulud!C205</f>
        <v>Roela, Tudu, Viru-Jaagupi teeninduspiirkond</v>
      </c>
      <c r="D184" t="str">
        <f>Koond_kulud!D205</f>
        <v>Muu elamu- ja kommunaalmajanduse tegevus</v>
      </c>
      <c r="E184" t="str">
        <f>Koond_kulud!E205</f>
        <v>Elamu- ja kommunaalmajandus</v>
      </c>
      <c r="F184" t="str">
        <f>Koond_kulud!F205</f>
        <v>Roela piirkond</v>
      </c>
      <c r="G184" t="str">
        <f>Koond_kulud!G205</f>
        <v>Prügiveod piirkonna</v>
      </c>
      <c r="H184">
        <f>Koond_kulud!H205</f>
        <v>150</v>
      </c>
      <c r="I184">
        <f>Koond_kulud!I205</f>
        <v>0</v>
      </c>
      <c r="J184">
        <f>Koond_kulud!J205</f>
        <v>5511</v>
      </c>
      <c r="K184" t="str">
        <f>Koond_kulud!K205</f>
        <v>Kinnistute, hoonete ja ruumide majandamiskulud</v>
      </c>
      <c r="L184">
        <f>Koond_kulud!L205</f>
        <v>55</v>
      </c>
      <c r="M184" t="str">
        <f>Koond_kulud!M205</f>
        <v>55</v>
      </c>
      <c r="N184" t="str">
        <f>Koond_kulud!N205</f>
        <v>Muud tegevuskulud</v>
      </c>
      <c r="O184" t="str">
        <f>Koond_kulud!O205</f>
        <v>Majandamiskulud</v>
      </c>
      <c r="P184" t="str">
        <f>Koond_kulud!P205</f>
        <v>Põhitegevuse kulu</v>
      </c>
      <c r="Q184">
        <f>Koond_kulud!Q205</f>
        <v>0</v>
      </c>
    </row>
    <row r="185" spans="1:17" hidden="1" x14ac:dyDescent="0.25">
      <c r="A185" t="str">
        <f>Koond_kulud!A206</f>
        <v>06</v>
      </c>
      <c r="B185" t="str">
        <f>Koond_kulud!B206</f>
        <v>0660510</v>
      </c>
      <c r="C185" t="str">
        <f>Koond_kulud!C206</f>
        <v>Roela, Tudu, Viru-Jaagupi teeninduspiirkond</v>
      </c>
      <c r="D185" t="str">
        <f>Koond_kulud!D206</f>
        <v>Muu elamu- ja kommunaalmajanduse tegevus</v>
      </c>
      <c r="E185" t="str">
        <f>Koond_kulud!E206</f>
        <v>Elamu- ja kommunaalmajandus</v>
      </c>
      <c r="F185" t="str">
        <f>Koond_kulud!F206</f>
        <v>Roela piirkond</v>
      </c>
      <c r="G185" t="str">
        <f>Koond_kulud!G206</f>
        <v>Heakorravahendid</v>
      </c>
      <c r="H185">
        <f>Koond_kulud!H206</f>
        <v>2000</v>
      </c>
      <c r="I185" t="str">
        <f>Koond_kulud!I206</f>
        <v>kütus, õli, jõhv trimmerile,luuad, rehad,labidad</v>
      </c>
      <c r="J185">
        <f>Koond_kulud!J206</f>
        <v>5511</v>
      </c>
      <c r="K185" t="str">
        <f>Koond_kulud!K206</f>
        <v>Kinnistute, hoonete ja ruumide majandamiskulud</v>
      </c>
      <c r="L185">
        <f>Koond_kulud!L206</f>
        <v>55</v>
      </c>
      <c r="M185" t="str">
        <f>Koond_kulud!M206</f>
        <v>55</v>
      </c>
      <c r="N185" t="str">
        <f>Koond_kulud!N206</f>
        <v>Muud tegevuskulud</v>
      </c>
      <c r="O185" t="str">
        <f>Koond_kulud!O206</f>
        <v>Majandamiskulud</v>
      </c>
      <c r="P185" t="str">
        <f>Koond_kulud!P206</f>
        <v>Põhitegevuse kulu</v>
      </c>
      <c r="Q185">
        <f>Koond_kulud!Q206</f>
        <v>0</v>
      </c>
    </row>
    <row r="186" spans="1:17" hidden="1" x14ac:dyDescent="0.25">
      <c r="A186" t="str">
        <f>Koond_kulud!A207</f>
        <v>06</v>
      </c>
      <c r="B186" t="str">
        <f>Koond_kulud!B207</f>
        <v>0660510</v>
      </c>
      <c r="C186" t="str">
        <f>Koond_kulud!C207</f>
        <v>Roela, Tudu, Viru-Jaagupi teeninduspiirkond</v>
      </c>
      <c r="D186" t="str">
        <f>Koond_kulud!D207</f>
        <v>Muu elamu- ja kommunaalmajanduse tegevus</v>
      </c>
      <c r="E186" t="str">
        <f>Koond_kulud!E207</f>
        <v>Elamu- ja kommunaalmajandus</v>
      </c>
      <c r="F186" t="str">
        <f>Koond_kulud!F207</f>
        <v>Roela piirkond</v>
      </c>
      <c r="G186" t="str">
        <f>Koond_kulud!G207</f>
        <v>Istikud, suvelilled</v>
      </c>
      <c r="H186">
        <f>Koond_kulud!H207</f>
        <v>500</v>
      </c>
      <c r="I186">
        <f>Koond_kulud!I207</f>
        <v>0</v>
      </c>
      <c r="J186">
        <f>Koond_kulud!J207</f>
        <v>5511</v>
      </c>
      <c r="K186" t="str">
        <f>Koond_kulud!K207</f>
        <v>Kinnistute, hoonete ja ruumide majandamiskulud</v>
      </c>
      <c r="L186">
        <f>Koond_kulud!L207</f>
        <v>55</v>
      </c>
      <c r="M186" t="str">
        <f>Koond_kulud!M207</f>
        <v>55</v>
      </c>
      <c r="N186" t="str">
        <f>Koond_kulud!N207</f>
        <v>Muud tegevuskulud</v>
      </c>
      <c r="O186" t="str">
        <f>Koond_kulud!O207</f>
        <v>Majandamiskulud</v>
      </c>
      <c r="P186" t="str">
        <f>Koond_kulud!P207</f>
        <v>Põhitegevuse kulu</v>
      </c>
      <c r="Q186">
        <f>Koond_kulud!Q207</f>
        <v>0</v>
      </c>
    </row>
    <row r="187" spans="1:17" hidden="1" x14ac:dyDescent="0.25">
      <c r="A187" t="str">
        <f>Koond_kulud!A208</f>
        <v>06</v>
      </c>
      <c r="B187" t="str">
        <f>Koond_kulud!B208</f>
        <v>0660510</v>
      </c>
      <c r="C187" t="str">
        <f>Koond_kulud!C208</f>
        <v>Roela, Tudu, Viru-Jaagupi teeninduspiirkond</v>
      </c>
      <c r="D187" t="str">
        <f>Koond_kulud!D208</f>
        <v>Muu elamu- ja kommunaalmajanduse tegevus</v>
      </c>
      <c r="E187" t="str">
        <f>Koond_kulud!E208</f>
        <v>Elamu- ja kommunaalmajandus</v>
      </c>
      <c r="F187" t="str">
        <f>Koond_kulud!F208</f>
        <v>Roela piirkond</v>
      </c>
      <c r="G187" t="str">
        <f>Koond_kulud!G208</f>
        <v>Elekter</v>
      </c>
      <c r="H187">
        <f>Koond_kulud!H208</f>
        <v>3000</v>
      </c>
      <c r="I187" t="str">
        <f>Koond_kulud!I208</f>
        <v>Korterid</v>
      </c>
      <c r="J187">
        <f>Koond_kulud!J208</f>
        <v>5511</v>
      </c>
      <c r="K187" t="str">
        <f>Koond_kulud!K208</f>
        <v>Kinnistute, hoonete ja ruumide majandamiskulud</v>
      </c>
      <c r="L187">
        <f>Koond_kulud!L208</f>
        <v>55</v>
      </c>
      <c r="M187" t="str">
        <f>Koond_kulud!M208</f>
        <v>55</v>
      </c>
      <c r="N187" t="str">
        <f>Koond_kulud!N208</f>
        <v>Muud tegevuskulud</v>
      </c>
      <c r="O187" t="str">
        <f>Koond_kulud!O208</f>
        <v>Majandamiskulud</v>
      </c>
      <c r="P187" t="str">
        <f>Koond_kulud!P208</f>
        <v>Põhitegevuse kulu</v>
      </c>
      <c r="Q187">
        <f>Koond_kulud!Q208</f>
        <v>0</v>
      </c>
    </row>
    <row r="188" spans="1:17" hidden="1" x14ac:dyDescent="0.25">
      <c r="A188" t="str">
        <f>Koond_kulud!A209</f>
        <v>06</v>
      </c>
      <c r="B188" t="str">
        <f>Koond_kulud!B209</f>
        <v>0660510</v>
      </c>
      <c r="C188" t="str">
        <f>Koond_kulud!C209</f>
        <v>Roela, Tudu, Viru-Jaagupi teeninduspiirkond</v>
      </c>
      <c r="D188" t="str">
        <f>Koond_kulud!D209</f>
        <v>Muu elamu- ja kommunaalmajanduse tegevus</v>
      </c>
      <c r="E188" t="str">
        <f>Koond_kulud!E209</f>
        <v>Elamu- ja kommunaalmajandus</v>
      </c>
      <c r="F188" t="str">
        <f>Koond_kulud!F209</f>
        <v>Roela piirkond</v>
      </c>
      <c r="G188" t="str">
        <f>Koond_kulud!G209</f>
        <v>Vesi- ja kanalisatsioon</v>
      </c>
      <c r="H188">
        <f>Koond_kulud!H209</f>
        <v>600</v>
      </c>
      <c r="I188" t="str">
        <f>Koond_kulud!I209</f>
        <v>Korterid (roela soojus)</v>
      </c>
      <c r="J188">
        <f>Koond_kulud!J209</f>
        <v>5511</v>
      </c>
      <c r="K188" t="str">
        <f>Koond_kulud!K209</f>
        <v>Kinnistute, hoonete ja ruumide majandamiskulud</v>
      </c>
      <c r="L188">
        <f>Koond_kulud!L209</f>
        <v>55</v>
      </c>
      <c r="M188" t="str">
        <f>Koond_kulud!M209</f>
        <v>55</v>
      </c>
      <c r="N188" t="str">
        <f>Koond_kulud!N209</f>
        <v>Muud tegevuskulud</v>
      </c>
      <c r="O188" t="str">
        <f>Koond_kulud!O209</f>
        <v>Majandamiskulud</v>
      </c>
      <c r="P188" t="str">
        <f>Koond_kulud!P209</f>
        <v>Põhitegevuse kulu</v>
      </c>
      <c r="Q188">
        <f>Koond_kulud!Q209</f>
        <v>0</v>
      </c>
    </row>
    <row r="189" spans="1:17" hidden="1" x14ac:dyDescent="0.25">
      <c r="A189" t="str">
        <f>Koond_kulud!A210</f>
        <v>06</v>
      </c>
      <c r="B189" t="str">
        <f>Koond_kulud!B210</f>
        <v>0660510</v>
      </c>
      <c r="C189" t="str">
        <f>Koond_kulud!C210</f>
        <v>Roela, Tudu, Viru-Jaagupi teeninduspiirkond</v>
      </c>
      <c r="D189" t="str">
        <f>Koond_kulud!D210</f>
        <v>Muu elamu- ja kommunaalmajanduse tegevus</v>
      </c>
      <c r="E189" t="str">
        <f>Koond_kulud!E210</f>
        <v>Elamu- ja kommunaalmajandus</v>
      </c>
      <c r="F189" t="str">
        <f>Koond_kulud!F210</f>
        <v>Roela piirkond</v>
      </c>
      <c r="G189" t="str">
        <f>Koond_kulud!G210</f>
        <v>Prügivedu</v>
      </c>
      <c r="H189">
        <f>Koond_kulud!H210</f>
        <v>160</v>
      </c>
      <c r="I189" t="str">
        <f>Koond_kulud!I210</f>
        <v>Korter (Aida)</v>
      </c>
      <c r="J189">
        <f>Koond_kulud!J210</f>
        <v>5511</v>
      </c>
      <c r="K189" t="str">
        <f>Koond_kulud!K210</f>
        <v>Kinnistute, hoonete ja ruumide majandamiskulud</v>
      </c>
      <c r="L189">
        <f>Koond_kulud!L210</f>
        <v>55</v>
      </c>
      <c r="M189" t="str">
        <f>Koond_kulud!M210</f>
        <v>55</v>
      </c>
      <c r="N189" t="str">
        <f>Koond_kulud!N210</f>
        <v>Muud tegevuskulud</v>
      </c>
      <c r="O189" t="str">
        <f>Koond_kulud!O210</f>
        <v>Majandamiskulud</v>
      </c>
      <c r="P189" t="str">
        <f>Koond_kulud!P210</f>
        <v>Põhitegevuse kulu</v>
      </c>
      <c r="Q189">
        <f>Koond_kulud!Q210</f>
        <v>0</v>
      </c>
    </row>
    <row r="190" spans="1:17" hidden="1" x14ac:dyDescent="0.25">
      <c r="A190" t="str">
        <f>Koond_kulud!A211</f>
        <v>06</v>
      </c>
      <c r="B190" t="str">
        <f>Koond_kulud!B211</f>
        <v>0660510</v>
      </c>
      <c r="C190" t="str">
        <f>Koond_kulud!C211</f>
        <v>Roela, Tudu, Viru-Jaagupi teeninduspiirkond</v>
      </c>
      <c r="D190" t="str">
        <f>Koond_kulud!D211</f>
        <v>Muu elamu- ja kommunaalmajanduse tegevus</v>
      </c>
      <c r="E190" t="str">
        <f>Koond_kulud!E211</f>
        <v>Elamu- ja kommunaalmajandus</v>
      </c>
      <c r="F190" t="str">
        <f>Koond_kulud!F211</f>
        <v>Roela piirkond</v>
      </c>
      <c r="G190" t="str">
        <f>Koond_kulud!G211</f>
        <v>Prügivedu (konteineri rent)</v>
      </c>
      <c r="H190">
        <f>Koond_kulud!H211</f>
        <v>155</v>
      </c>
      <c r="I190" t="str">
        <f>Koond_kulud!I211</f>
        <v>Korter (Aida)</v>
      </c>
      <c r="J190">
        <f>Koond_kulud!J211</f>
        <v>5511</v>
      </c>
      <c r="K190" t="str">
        <f>Koond_kulud!K211</f>
        <v>Kinnistute, hoonete ja ruumide majandamiskulud</v>
      </c>
      <c r="L190">
        <f>Koond_kulud!L211</f>
        <v>55</v>
      </c>
      <c r="M190" t="str">
        <f>Koond_kulud!M211</f>
        <v>55</v>
      </c>
      <c r="N190" t="str">
        <f>Koond_kulud!N211</f>
        <v>Muud tegevuskulud</v>
      </c>
      <c r="O190" t="str">
        <f>Koond_kulud!O211</f>
        <v>Majandamiskulud</v>
      </c>
      <c r="P190" t="str">
        <f>Koond_kulud!P211</f>
        <v>Põhitegevuse kulu</v>
      </c>
      <c r="Q190">
        <f>Koond_kulud!Q211</f>
        <v>0</v>
      </c>
    </row>
    <row r="191" spans="1:17" hidden="1" x14ac:dyDescent="0.25">
      <c r="A191" t="str">
        <f>Koond_kulud!A212</f>
        <v>06</v>
      </c>
      <c r="B191" t="str">
        <f>Koond_kulud!B212</f>
        <v>0660510</v>
      </c>
      <c r="C191" t="str">
        <f>Koond_kulud!C212</f>
        <v>Roela, Tudu, Viru-Jaagupi teeninduspiirkond</v>
      </c>
      <c r="D191" t="str">
        <f>Koond_kulud!D212</f>
        <v>Muu elamu- ja kommunaalmajanduse tegevus</v>
      </c>
      <c r="E191" t="str">
        <f>Koond_kulud!E212</f>
        <v>Elamu- ja kommunaalmajandus</v>
      </c>
      <c r="F191" t="str">
        <f>Koond_kulud!F212</f>
        <v>Roela piirkond</v>
      </c>
      <c r="G191" t="str">
        <f>Koond_kulud!G212</f>
        <v>Korstnapühkija</v>
      </c>
      <c r="H191">
        <f>Koond_kulud!H212</f>
        <v>250</v>
      </c>
      <c r="I191" t="str">
        <f>Koond_kulud!I212</f>
        <v>Korter (Aida)</v>
      </c>
      <c r="J191">
        <f>Koond_kulud!J212</f>
        <v>5511</v>
      </c>
      <c r="K191" t="str">
        <f>Koond_kulud!K212</f>
        <v>Kinnistute, hoonete ja ruumide majandamiskulud</v>
      </c>
      <c r="L191">
        <f>Koond_kulud!L212</f>
        <v>55</v>
      </c>
      <c r="M191" t="str">
        <f>Koond_kulud!M212</f>
        <v>55</v>
      </c>
      <c r="N191" t="str">
        <f>Koond_kulud!N212</f>
        <v>Muud tegevuskulud</v>
      </c>
      <c r="O191" t="str">
        <f>Koond_kulud!O212</f>
        <v>Majandamiskulud</v>
      </c>
      <c r="P191" t="str">
        <f>Koond_kulud!P212</f>
        <v>Põhitegevuse kulu</v>
      </c>
      <c r="Q191">
        <f>Koond_kulud!Q212</f>
        <v>0</v>
      </c>
    </row>
    <row r="192" spans="1:17" hidden="1" x14ac:dyDescent="0.25">
      <c r="A192" t="str">
        <f>Koond_kulud!A213</f>
        <v>06</v>
      </c>
      <c r="B192" t="str">
        <f>Koond_kulud!B213</f>
        <v>0660510</v>
      </c>
      <c r="C192" t="str">
        <f>Koond_kulud!C213</f>
        <v>Roela, Tudu, Viru-Jaagupi teeninduspiirkond</v>
      </c>
      <c r="D192" t="str">
        <f>Koond_kulud!D213</f>
        <v>Muu elamu- ja kommunaalmajanduse tegevus</v>
      </c>
      <c r="E192" t="str">
        <f>Koond_kulud!E213</f>
        <v>Elamu- ja kommunaalmajandus</v>
      </c>
      <c r="F192" t="str">
        <f>Koond_kulud!F213</f>
        <v>Roela piirkond</v>
      </c>
      <c r="G192" t="str">
        <f>Koond_kulud!G213</f>
        <v>KÜ kommunaalmaksed</v>
      </c>
      <c r="H192">
        <f>Koond_kulud!H213</f>
        <v>13500</v>
      </c>
      <c r="I192">
        <f>Koond_kulud!I213</f>
        <v>0</v>
      </c>
      <c r="J192">
        <f>Koond_kulud!J213</f>
        <v>5511</v>
      </c>
      <c r="K192" t="str">
        <f>Koond_kulud!K213</f>
        <v>Kinnistute, hoonete ja ruumide majandamiskulud</v>
      </c>
      <c r="L192">
        <f>Koond_kulud!L213</f>
        <v>55</v>
      </c>
      <c r="M192" t="str">
        <f>Koond_kulud!M213</f>
        <v>55</v>
      </c>
      <c r="N192" t="str">
        <f>Koond_kulud!N213</f>
        <v>Muud tegevuskulud</v>
      </c>
      <c r="O192" t="str">
        <f>Koond_kulud!O213</f>
        <v>Majandamiskulud</v>
      </c>
      <c r="P192" t="str">
        <f>Koond_kulud!P213</f>
        <v>Põhitegevuse kulu</v>
      </c>
      <c r="Q192">
        <f>Koond_kulud!Q213</f>
        <v>0</v>
      </c>
    </row>
    <row r="193" spans="1:17" hidden="1" x14ac:dyDescent="0.25">
      <c r="A193" t="str">
        <f>Koond_kulud!A214</f>
        <v>06</v>
      </c>
      <c r="B193" t="str">
        <f>Koond_kulud!B214</f>
        <v>0660510</v>
      </c>
      <c r="C193" t="str">
        <f>Koond_kulud!C214</f>
        <v>Roela, Tudu, Viru-Jaagupi teeninduspiirkond</v>
      </c>
      <c r="D193" t="str">
        <f>Koond_kulud!D214</f>
        <v>Muu elamu- ja kommunaalmajanduse tegevus</v>
      </c>
      <c r="E193" t="str">
        <f>Koond_kulud!E214</f>
        <v>Elamu- ja kommunaalmajandus</v>
      </c>
      <c r="F193" t="str">
        <f>Koond_kulud!F214</f>
        <v>Roela piirkond</v>
      </c>
      <c r="G193" t="str">
        <f>Koond_kulud!G214</f>
        <v>Kõnnitee truup</v>
      </c>
      <c r="H193">
        <f>Koond_kulud!H214</f>
        <v>5000</v>
      </c>
      <c r="I193">
        <f>Koond_kulud!I214</f>
        <v>0</v>
      </c>
      <c r="J193">
        <f>Koond_kulud!J214</f>
        <v>5511</v>
      </c>
      <c r="K193" t="str">
        <f>Koond_kulud!K214</f>
        <v>Kinnistute, hoonete ja ruumide majandamiskulud</v>
      </c>
      <c r="L193">
        <f>Koond_kulud!L214</f>
        <v>55</v>
      </c>
      <c r="M193" t="str">
        <f>Koond_kulud!M214</f>
        <v>55</v>
      </c>
      <c r="N193" t="str">
        <f>Koond_kulud!N214</f>
        <v>Muud tegevuskulud</v>
      </c>
      <c r="O193" t="str">
        <f>Koond_kulud!O214</f>
        <v>Majandamiskulud</v>
      </c>
      <c r="P193" t="str">
        <f>Koond_kulud!P214</f>
        <v>Põhitegevuse kulu</v>
      </c>
      <c r="Q193">
        <f>Koond_kulud!Q214</f>
        <v>0</v>
      </c>
    </row>
    <row r="194" spans="1:17" hidden="1" x14ac:dyDescent="0.25">
      <c r="A194" t="str">
        <f>Koond_kulud!A215</f>
        <v>06</v>
      </c>
      <c r="B194" t="str">
        <f>Koond_kulud!B215</f>
        <v>0660510</v>
      </c>
      <c r="C194" t="str">
        <f>Koond_kulud!C215</f>
        <v>Roela, Tudu, Viru-Jaagupi teeninduspiirkond</v>
      </c>
      <c r="D194" t="str">
        <f>Koond_kulud!D215</f>
        <v>Muu elamu- ja kommunaalmajanduse tegevus</v>
      </c>
      <c r="E194" t="str">
        <f>Koond_kulud!E215</f>
        <v>Elamu- ja kommunaalmajandus</v>
      </c>
      <c r="F194" t="str">
        <f>Koond_kulud!F215</f>
        <v>Roela piirkond</v>
      </c>
      <c r="G194" t="str">
        <f>Koond_kulud!G215</f>
        <v>Teadete tahvlid</v>
      </c>
      <c r="H194">
        <f>Koond_kulud!H215</f>
        <v>4800</v>
      </c>
      <c r="I194">
        <f>Koond_kulud!I215</f>
        <v>0</v>
      </c>
      <c r="J194">
        <f>Koond_kulud!J215</f>
        <v>5511</v>
      </c>
      <c r="K194" t="str">
        <f>Koond_kulud!K215</f>
        <v>Kinnistute, hoonete ja ruumide majandamiskulud</v>
      </c>
      <c r="L194">
        <f>Koond_kulud!L215</f>
        <v>55</v>
      </c>
      <c r="M194" t="str">
        <f>Koond_kulud!M215</f>
        <v>55</v>
      </c>
      <c r="N194" t="str">
        <f>Koond_kulud!N215</f>
        <v>Muud tegevuskulud</v>
      </c>
      <c r="O194" t="str">
        <f>Koond_kulud!O215</f>
        <v>Majandamiskulud</v>
      </c>
      <c r="P194" t="str">
        <f>Koond_kulud!P215</f>
        <v>Põhitegevuse kulu</v>
      </c>
      <c r="Q194">
        <f>Koond_kulud!Q215</f>
        <v>0</v>
      </c>
    </row>
    <row r="195" spans="1:17" hidden="1" x14ac:dyDescent="0.25">
      <c r="A195" t="str">
        <f>Koond_kulud!A216</f>
        <v>06</v>
      </c>
      <c r="B195" t="str">
        <f>Koond_kulud!B216</f>
        <v>0660510</v>
      </c>
      <c r="C195" t="str">
        <f>Koond_kulud!C216</f>
        <v>Roela, Tudu, Viru-Jaagupi teeninduspiirkond</v>
      </c>
      <c r="D195" t="str">
        <f>Koond_kulud!D216</f>
        <v>Muu elamu- ja kommunaalmajanduse tegevus</v>
      </c>
      <c r="E195" t="str">
        <f>Koond_kulud!E216</f>
        <v>Elamu- ja kommunaalmajandus</v>
      </c>
      <c r="F195" t="str">
        <f>Koond_kulud!F216</f>
        <v>Tudu piirkond</v>
      </c>
      <c r="G195" t="str">
        <f>Koond_kulud!G216</f>
        <v>Elekter</v>
      </c>
      <c r="H195">
        <f>Koond_kulud!H216</f>
        <v>2500</v>
      </c>
      <c r="I195" t="str">
        <f>Koond_kulud!I216</f>
        <v>Korterid</v>
      </c>
      <c r="J195">
        <f>Koond_kulud!J216</f>
        <v>5511</v>
      </c>
      <c r="K195" t="str">
        <f>Koond_kulud!K216</f>
        <v>Kinnistute, hoonete ja ruumide majandamiskulud</v>
      </c>
      <c r="L195">
        <f>Koond_kulud!L216</f>
        <v>55</v>
      </c>
      <c r="M195" t="str">
        <f>Koond_kulud!M216</f>
        <v>55</v>
      </c>
      <c r="N195" t="str">
        <f>Koond_kulud!N216</f>
        <v>Muud tegevuskulud</v>
      </c>
      <c r="O195" t="str">
        <f>Koond_kulud!O216</f>
        <v>Majandamiskulud</v>
      </c>
      <c r="P195" t="str">
        <f>Koond_kulud!P216</f>
        <v>Põhitegevuse kulu</v>
      </c>
      <c r="Q195">
        <f>Koond_kulud!Q216</f>
        <v>0</v>
      </c>
    </row>
    <row r="196" spans="1:17" hidden="1" x14ac:dyDescent="0.25">
      <c r="A196" t="str">
        <f>Koond_kulud!A217</f>
        <v>06</v>
      </c>
      <c r="B196" t="str">
        <f>Koond_kulud!B217</f>
        <v>0660510</v>
      </c>
      <c r="C196" t="str">
        <f>Koond_kulud!C217</f>
        <v>Roela, Tudu, Viru-Jaagupi teeninduspiirkond</v>
      </c>
      <c r="D196" t="str">
        <f>Koond_kulud!D217</f>
        <v>Muu elamu- ja kommunaalmajanduse tegevus</v>
      </c>
      <c r="E196" t="str">
        <f>Koond_kulud!E217</f>
        <v>Elamu- ja kommunaalmajandus</v>
      </c>
      <c r="F196" t="str">
        <f>Koond_kulud!F217</f>
        <v>Tudu piirkond</v>
      </c>
      <c r="G196" t="str">
        <f>Koond_kulud!G217</f>
        <v>Korstnapühkimisteenus</v>
      </c>
      <c r="H196">
        <f>Koond_kulud!H217</f>
        <v>400</v>
      </c>
      <c r="I196" t="str">
        <f>Koond_kulud!I217</f>
        <v>Korterid, katlamaja</v>
      </c>
      <c r="J196">
        <f>Koond_kulud!J217</f>
        <v>5511</v>
      </c>
      <c r="K196" t="str">
        <f>Koond_kulud!K217</f>
        <v>Kinnistute, hoonete ja ruumide majandamiskulud</v>
      </c>
      <c r="L196">
        <f>Koond_kulud!L217</f>
        <v>55</v>
      </c>
      <c r="M196" t="str">
        <f>Koond_kulud!M217</f>
        <v>55</v>
      </c>
      <c r="N196" t="str">
        <f>Koond_kulud!N217</f>
        <v>Muud tegevuskulud</v>
      </c>
      <c r="O196" t="str">
        <f>Koond_kulud!O217</f>
        <v>Majandamiskulud</v>
      </c>
      <c r="P196" t="str">
        <f>Koond_kulud!P217</f>
        <v>Põhitegevuse kulu</v>
      </c>
      <c r="Q196">
        <f>Koond_kulud!Q217</f>
        <v>0</v>
      </c>
    </row>
    <row r="197" spans="1:17" hidden="1" x14ac:dyDescent="0.25">
      <c r="A197" t="str">
        <f>Koond_kulud!A218</f>
        <v>06</v>
      </c>
      <c r="B197" t="str">
        <f>Koond_kulud!B218</f>
        <v>0660510</v>
      </c>
      <c r="C197" t="str">
        <f>Koond_kulud!C218</f>
        <v>Roela, Tudu, Viru-Jaagupi teeninduspiirkond</v>
      </c>
      <c r="D197" t="str">
        <f>Koond_kulud!D218</f>
        <v>Muu elamu- ja kommunaalmajanduse tegevus</v>
      </c>
      <c r="E197" t="str">
        <f>Koond_kulud!E218</f>
        <v>Elamu- ja kommunaalmajandus</v>
      </c>
      <c r="F197" t="str">
        <f>Koond_kulud!F218</f>
        <v>Tudu piirkond</v>
      </c>
      <c r="G197" t="str">
        <f>Koond_kulud!G218</f>
        <v>Prügivedu</v>
      </c>
      <c r="H197">
        <f>Koond_kulud!H218</f>
        <v>1200</v>
      </c>
      <c r="I197" t="str">
        <f>Koond_kulud!I218</f>
        <v>Korterid</v>
      </c>
      <c r="J197">
        <f>Koond_kulud!J218</f>
        <v>5511</v>
      </c>
      <c r="K197" t="str">
        <f>Koond_kulud!K218</f>
        <v>Kinnistute, hoonete ja ruumide majandamiskulud</v>
      </c>
      <c r="L197">
        <f>Koond_kulud!L218</f>
        <v>55</v>
      </c>
      <c r="M197" t="str">
        <f>Koond_kulud!M218</f>
        <v>55</v>
      </c>
      <c r="N197" t="str">
        <f>Koond_kulud!N218</f>
        <v>Muud tegevuskulud</v>
      </c>
      <c r="O197" t="str">
        <f>Koond_kulud!O218</f>
        <v>Majandamiskulud</v>
      </c>
      <c r="P197" t="str">
        <f>Koond_kulud!P218</f>
        <v>Põhitegevuse kulu</v>
      </c>
      <c r="Q197">
        <f>Koond_kulud!Q218</f>
        <v>0</v>
      </c>
    </row>
    <row r="198" spans="1:17" hidden="1" x14ac:dyDescent="0.25">
      <c r="A198" t="str">
        <f>Koond_kulud!A219</f>
        <v>06</v>
      </c>
      <c r="B198" t="str">
        <f>Koond_kulud!B219</f>
        <v>0660510</v>
      </c>
      <c r="C198" t="str">
        <f>Koond_kulud!C219</f>
        <v>Roela, Tudu, Viru-Jaagupi teeninduspiirkond</v>
      </c>
      <c r="D198" t="str">
        <f>Koond_kulud!D219</f>
        <v>Muu elamu- ja kommunaalmajanduse tegevus</v>
      </c>
      <c r="E198" t="str">
        <f>Koond_kulud!E219</f>
        <v>Elamu- ja kommunaalmajandus</v>
      </c>
      <c r="F198" t="str">
        <f>Koond_kulud!F219</f>
        <v>Tudu piirkond</v>
      </c>
      <c r="G198" t="str">
        <f>Koond_kulud!G219</f>
        <v>Niitmine</v>
      </c>
      <c r="H198">
        <f>Koond_kulud!H219</f>
        <v>14300</v>
      </c>
      <c r="I198" t="str">
        <f>Koond_kulud!I219</f>
        <v>FIE Salin</v>
      </c>
      <c r="J198">
        <f>Koond_kulud!J219</f>
        <v>5511</v>
      </c>
      <c r="K198" t="str">
        <f>Koond_kulud!K219</f>
        <v>Kinnistute, hoonete ja ruumide majandamiskulud</v>
      </c>
      <c r="L198">
        <f>Koond_kulud!L219</f>
        <v>55</v>
      </c>
      <c r="M198" t="str">
        <f>Koond_kulud!M219</f>
        <v>55</v>
      </c>
      <c r="N198" t="str">
        <f>Koond_kulud!N219</f>
        <v>Muud tegevuskulud</v>
      </c>
      <c r="O198" t="str">
        <f>Koond_kulud!O219</f>
        <v>Majandamiskulud</v>
      </c>
      <c r="P198" t="str">
        <f>Koond_kulud!P219</f>
        <v>Põhitegevuse kulu</v>
      </c>
      <c r="Q198">
        <f>Koond_kulud!Q219</f>
        <v>0</v>
      </c>
    </row>
    <row r="199" spans="1:17" hidden="1" x14ac:dyDescent="0.25">
      <c r="A199" t="str">
        <f>Koond_kulud!A220</f>
        <v>06</v>
      </c>
      <c r="B199" t="str">
        <f>Koond_kulud!B220</f>
        <v>0660510</v>
      </c>
      <c r="C199" t="str">
        <f>Koond_kulud!C220</f>
        <v>Roela, Tudu, Viru-Jaagupi teeninduspiirkond</v>
      </c>
      <c r="D199" t="str">
        <f>Koond_kulud!D220</f>
        <v>Muu elamu- ja kommunaalmajanduse tegevus</v>
      </c>
      <c r="E199" t="str">
        <f>Koond_kulud!E220</f>
        <v>Elamu- ja kommunaalmajandus</v>
      </c>
      <c r="F199" t="str">
        <f>Koond_kulud!F220</f>
        <v>Tudu piirkond</v>
      </c>
      <c r="G199" t="str">
        <f>Koond_kulud!G220</f>
        <v xml:space="preserve">Niitmine </v>
      </c>
      <c r="H199">
        <f>Koond_kulud!H220</f>
        <v>6500</v>
      </c>
      <c r="I199" t="str">
        <f>Koond_kulud!I220</f>
        <v>Ehitme OÜ</v>
      </c>
      <c r="J199">
        <f>Koond_kulud!J220</f>
        <v>5511</v>
      </c>
      <c r="K199" t="str">
        <f>Koond_kulud!K220</f>
        <v>Kinnistute, hoonete ja ruumide majandamiskulud</v>
      </c>
      <c r="L199">
        <f>Koond_kulud!L220</f>
        <v>55</v>
      </c>
      <c r="M199" t="str">
        <f>Koond_kulud!M220</f>
        <v>55</v>
      </c>
      <c r="N199" t="str">
        <f>Koond_kulud!N220</f>
        <v>Muud tegevuskulud</v>
      </c>
      <c r="O199" t="str">
        <f>Koond_kulud!O220</f>
        <v>Majandamiskulud</v>
      </c>
      <c r="P199" t="str">
        <f>Koond_kulud!P220</f>
        <v>Põhitegevuse kulu</v>
      </c>
      <c r="Q199">
        <f>Koond_kulud!Q220</f>
        <v>0</v>
      </c>
    </row>
    <row r="200" spans="1:17" hidden="1" x14ac:dyDescent="0.25">
      <c r="A200" t="str">
        <f>Koond_kulud!A221</f>
        <v>06</v>
      </c>
      <c r="B200" t="str">
        <f>Koond_kulud!B221</f>
        <v>0660510</v>
      </c>
      <c r="C200" t="str">
        <f>Koond_kulud!C221</f>
        <v>Roela, Tudu, Viru-Jaagupi teeninduspiirkond</v>
      </c>
      <c r="D200" t="str">
        <f>Koond_kulud!D221</f>
        <v>Muu elamu- ja kommunaalmajanduse tegevus</v>
      </c>
      <c r="E200" t="str">
        <f>Koond_kulud!E221</f>
        <v>Elamu- ja kommunaalmajandus</v>
      </c>
      <c r="F200" t="str">
        <f>Koond_kulud!F221</f>
        <v>Tudu piirkond</v>
      </c>
      <c r="G200" t="str">
        <f>Koond_kulud!G221</f>
        <v>Rahvamaja küttepuud</v>
      </c>
      <c r="H200">
        <f>Koond_kulud!H221</f>
        <v>3600</v>
      </c>
      <c r="I200">
        <f>Koond_kulud!I221</f>
        <v>0</v>
      </c>
      <c r="J200">
        <f>Koond_kulud!J221</f>
        <v>5511</v>
      </c>
      <c r="K200" t="str">
        <f>Koond_kulud!K221</f>
        <v>Kinnistute, hoonete ja ruumide majandamiskulud</v>
      </c>
      <c r="L200">
        <f>Koond_kulud!L221</f>
        <v>55</v>
      </c>
      <c r="M200" t="str">
        <f>Koond_kulud!M221</f>
        <v>55</v>
      </c>
      <c r="N200" t="str">
        <f>Koond_kulud!N221</f>
        <v>Muud tegevuskulud</v>
      </c>
      <c r="O200" t="str">
        <f>Koond_kulud!O221</f>
        <v>Majandamiskulud</v>
      </c>
      <c r="P200" t="str">
        <f>Koond_kulud!P221</f>
        <v>Põhitegevuse kulu</v>
      </c>
      <c r="Q200">
        <f>Koond_kulud!Q221</f>
        <v>0</v>
      </c>
    </row>
    <row r="201" spans="1:17" hidden="1" x14ac:dyDescent="0.25">
      <c r="A201" t="str">
        <f>Koond_kulud!A222</f>
        <v>06</v>
      </c>
      <c r="B201" t="str">
        <f>Koond_kulud!B222</f>
        <v>0660510</v>
      </c>
      <c r="C201" t="str">
        <f>Koond_kulud!C222</f>
        <v>Roela, Tudu, Viru-Jaagupi teeninduspiirkond</v>
      </c>
      <c r="D201" t="str">
        <f>Koond_kulud!D222</f>
        <v>Muu elamu- ja kommunaalmajanduse tegevus</v>
      </c>
      <c r="E201" t="str">
        <f>Koond_kulud!E222</f>
        <v>Elamu- ja kommunaalmajandus</v>
      </c>
      <c r="F201" t="str">
        <f>Koond_kulud!F222</f>
        <v>Tudu piirkond</v>
      </c>
      <c r="G201" t="str">
        <f>Koond_kulud!G222</f>
        <v>Istikud, suvelilled</v>
      </c>
      <c r="H201">
        <f>Koond_kulud!H222</f>
        <v>300</v>
      </c>
      <c r="I201">
        <f>Koond_kulud!I222</f>
        <v>0</v>
      </c>
      <c r="J201">
        <f>Koond_kulud!J222</f>
        <v>5511</v>
      </c>
      <c r="K201" t="str">
        <f>Koond_kulud!K222</f>
        <v>Kinnistute, hoonete ja ruumide majandamiskulud</v>
      </c>
      <c r="L201">
        <f>Koond_kulud!L222</f>
        <v>55</v>
      </c>
      <c r="M201" t="str">
        <f>Koond_kulud!M222</f>
        <v>55</v>
      </c>
      <c r="N201" t="str">
        <f>Koond_kulud!N222</f>
        <v>Muud tegevuskulud</v>
      </c>
      <c r="O201" t="str">
        <f>Koond_kulud!O222</f>
        <v>Majandamiskulud</v>
      </c>
      <c r="P201" t="str">
        <f>Koond_kulud!P222</f>
        <v>Põhitegevuse kulu</v>
      </c>
      <c r="Q201">
        <f>Koond_kulud!Q222</f>
        <v>0</v>
      </c>
    </row>
    <row r="202" spans="1:17" hidden="1" x14ac:dyDescent="0.25">
      <c r="A202" t="str">
        <f>Koond_kulud!A223</f>
        <v>06</v>
      </c>
      <c r="B202" t="str">
        <f>Koond_kulud!B223</f>
        <v>0660510</v>
      </c>
      <c r="C202" t="str">
        <f>Koond_kulud!C223</f>
        <v>Roela, Tudu, Viru-Jaagupi teeninduspiirkond</v>
      </c>
      <c r="D202" t="str">
        <f>Koond_kulud!D223</f>
        <v>Muu elamu- ja kommunaalmajanduse tegevus</v>
      </c>
      <c r="E202" t="str">
        <f>Koond_kulud!E223</f>
        <v>Elamu- ja kommunaalmajandus</v>
      </c>
      <c r="F202" t="str">
        <f>Koond_kulud!F223</f>
        <v>Tudu piirkond</v>
      </c>
      <c r="G202" t="str">
        <f>Koond_kulud!G223</f>
        <v>Heakorravahendid</v>
      </c>
      <c r="H202">
        <f>Koond_kulud!H223</f>
        <v>1500</v>
      </c>
      <c r="I202" t="str">
        <f>Koond_kulud!I223</f>
        <v xml:space="preserve">rehad, labidad, küte, õli, kindad, jne </v>
      </c>
      <c r="J202">
        <f>Koond_kulud!J223</f>
        <v>5511</v>
      </c>
      <c r="K202" t="str">
        <f>Koond_kulud!K223</f>
        <v>Kinnistute, hoonete ja ruumide majandamiskulud</v>
      </c>
      <c r="L202">
        <f>Koond_kulud!L223</f>
        <v>55</v>
      </c>
      <c r="M202" t="str">
        <f>Koond_kulud!M223</f>
        <v>55</v>
      </c>
      <c r="N202" t="str">
        <f>Koond_kulud!N223</f>
        <v>Muud tegevuskulud</v>
      </c>
      <c r="O202" t="str">
        <f>Koond_kulud!O223</f>
        <v>Majandamiskulud</v>
      </c>
      <c r="P202" t="str">
        <f>Koond_kulud!P223</f>
        <v>Põhitegevuse kulu</v>
      </c>
      <c r="Q202">
        <f>Koond_kulud!Q223</f>
        <v>0</v>
      </c>
    </row>
    <row r="203" spans="1:17" hidden="1" x14ac:dyDescent="0.25">
      <c r="A203" t="str">
        <f>Koond_kulud!A224</f>
        <v>06</v>
      </c>
      <c r="B203" t="str">
        <f>Koond_kulud!B224</f>
        <v>0660510</v>
      </c>
      <c r="C203" t="str">
        <f>Koond_kulud!C224</f>
        <v>Roela, Tudu, Viru-Jaagupi teeninduspiirkond</v>
      </c>
      <c r="D203" t="str">
        <f>Koond_kulud!D224</f>
        <v>Muu elamu- ja kommunaalmajanduse tegevus</v>
      </c>
      <c r="E203" t="str">
        <f>Koond_kulud!E224</f>
        <v>Elamu- ja kommunaalmajandus</v>
      </c>
      <c r="F203" t="str">
        <f>Koond_kulud!F224</f>
        <v>Tudu piirkond</v>
      </c>
      <c r="G203" t="str">
        <f>Koond_kulud!G224</f>
        <v>Trimmer</v>
      </c>
      <c r="H203">
        <f>Koond_kulud!H224</f>
        <v>500</v>
      </c>
      <c r="I203">
        <f>Koond_kulud!I224</f>
        <v>0</v>
      </c>
      <c r="J203">
        <f>Koond_kulud!J224</f>
        <v>5511</v>
      </c>
      <c r="K203" t="str">
        <f>Koond_kulud!K224</f>
        <v>Kinnistute, hoonete ja ruumide majandamiskulud</v>
      </c>
      <c r="L203">
        <f>Koond_kulud!L224</f>
        <v>55</v>
      </c>
      <c r="M203" t="str">
        <f>Koond_kulud!M224</f>
        <v>55</v>
      </c>
      <c r="N203" t="str">
        <f>Koond_kulud!N224</f>
        <v>Muud tegevuskulud</v>
      </c>
      <c r="O203" t="str">
        <f>Koond_kulud!O224</f>
        <v>Majandamiskulud</v>
      </c>
      <c r="P203" t="str">
        <f>Koond_kulud!P224</f>
        <v>Põhitegevuse kulu</v>
      </c>
      <c r="Q203">
        <f>Koond_kulud!Q224</f>
        <v>0</v>
      </c>
    </row>
    <row r="204" spans="1:17" hidden="1" x14ac:dyDescent="0.25">
      <c r="A204" t="str">
        <f>Koond_kulud!A225</f>
        <v>06</v>
      </c>
      <c r="B204" t="str">
        <f>Koond_kulud!B225</f>
        <v>0660510</v>
      </c>
      <c r="C204" t="str">
        <f>Koond_kulud!C225</f>
        <v>Roela, Tudu, Viru-Jaagupi teeninduspiirkond</v>
      </c>
      <c r="D204" t="str">
        <f>Koond_kulud!D225</f>
        <v>Muu elamu- ja kommunaalmajanduse tegevus</v>
      </c>
      <c r="E204" t="str">
        <f>Koond_kulud!E225</f>
        <v>Elamu- ja kommunaalmajandus</v>
      </c>
      <c r="F204" t="str">
        <f>Koond_kulud!F225</f>
        <v>Tudu piirkond</v>
      </c>
      <c r="G204" t="str">
        <f>Koond_kulud!G225</f>
        <v>Telia</v>
      </c>
      <c r="H204">
        <f>Koond_kulud!H225</f>
        <v>580</v>
      </c>
      <c r="I204">
        <f>Koond_kulud!I225</f>
        <v>0</v>
      </c>
      <c r="J204">
        <f>Koond_kulud!J225</f>
        <v>5514</v>
      </c>
      <c r="K204" t="str">
        <f>Koond_kulud!K225</f>
        <v>Info- ja kommunikatsioonitehnoliigised kulud</v>
      </c>
      <c r="L204">
        <f>Koond_kulud!L225</f>
        <v>55</v>
      </c>
      <c r="M204" t="str">
        <f>Koond_kulud!M225</f>
        <v>55</v>
      </c>
      <c r="N204" t="str">
        <f>Koond_kulud!N225</f>
        <v>Muud tegevuskulud</v>
      </c>
      <c r="O204" t="str">
        <f>Koond_kulud!O225</f>
        <v>Majandamiskulud</v>
      </c>
      <c r="P204" t="str">
        <f>Koond_kulud!P225</f>
        <v>Põhitegevuse kulu</v>
      </c>
      <c r="Q204">
        <f>Koond_kulud!Q225</f>
        <v>0</v>
      </c>
    </row>
    <row r="205" spans="1:17" hidden="1" x14ac:dyDescent="0.25">
      <c r="A205" t="str">
        <f>Koond_kulud!A226</f>
        <v>06</v>
      </c>
      <c r="B205" t="str">
        <f>Koond_kulud!B226</f>
        <v>0660510</v>
      </c>
      <c r="C205" t="str">
        <f>Koond_kulud!C226</f>
        <v>Roela, Tudu, Viru-Jaagupi teeninduspiirkond</v>
      </c>
      <c r="D205" t="str">
        <f>Koond_kulud!D226</f>
        <v>Muu elamu- ja kommunaalmajanduse tegevus</v>
      </c>
      <c r="E205" t="str">
        <f>Koond_kulud!E226</f>
        <v>Elamu- ja kommunaalmajandus</v>
      </c>
      <c r="F205" t="str">
        <f>Koond_kulud!F226</f>
        <v>Viru-Jaagupi piirkond</v>
      </c>
      <c r="G205" t="str">
        <f>Koond_kulud!G226</f>
        <v>Prügivedu</v>
      </c>
      <c r="H205">
        <f>Koond_kulud!H226</f>
        <v>235</v>
      </c>
      <c r="I205" t="str">
        <f>Koond_kulud!I226</f>
        <v>Kesk 15</v>
      </c>
      <c r="J205">
        <f>Koond_kulud!J226</f>
        <v>5511</v>
      </c>
      <c r="K205" t="str">
        <f>Koond_kulud!K226</f>
        <v>Kinnistute, hoonete ja ruumide majandamiskulud</v>
      </c>
      <c r="L205">
        <f>Koond_kulud!L226</f>
        <v>55</v>
      </c>
      <c r="M205" t="str">
        <f>Koond_kulud!M226</f>
        <v>55</v>
      </c>
      <c r="N205" t="str">
        <f>Koond_kulud!N226</f>
        <v>Muud tegevuskulud</v>
      </c>
      <c r="O205" t="str">
        <f>Koond_kulud!O226</f>
        <v>Majandamiskulud</v>
      </c>
      <c r="P205" t="str">
        <f>Koond_kulud!P226</f>
        <v>Põhitegevuse kulu</v>
      </c>
      <c r="Q205">
        <f>Koond_kulud!Q226</f>
        <v>0</v>
      </c>
    </row>
    <row r="206" spans="1:17" hidden="1" x14ac:dyDescent="0.25">
      <c r="A206" t="str">
        <f>Koond_kulud!A227</f>
        <v>06</v>
      </c>
      <c r="B206" t="str">
        <f>Koond_kulud!B227</f>
        <v>0660510</v>
      </c>
      <c r="C206" t="str">
        <f>Koond_kulud!C227</f>
        <v>Roela, Tudu, Viru-Jaagupi teeninduspiirkond</v>
      </c>
      <c r="D206" t="str">
        <f>Koond_kulud!D227</f>
        <v>Muu elamu- ja kommunaalmajanduse tegevus</v>
      </c>
      <c r="E206" t="str">
        <f>Koond_kulud!E227</f>
        <v>Elamu- ja kommunaalmajandus</v>
      </c>
      <c r="F206" t="str">
        <f>Koond_kulud!F227</f>
        <v>Viru-Jaagupi piirkond</v>
      </c>
      <c r="G206" t="str">
        <f>Koond_kulud!G227</f>
        <v>Konteineri rent</v>
      </c>
      <c r="H206">
        <f>Koond_kulud!H227</f>
        <v>92.4</v>
      </c>
      <c r="I206" t="str">
        <f>Koond_kulud!I227</f>
        <v>Kesk 15</v>
      </c>
      <c r="J206">
        <f>Koond_kulud!J227</f>
        <v>5511</v>
      </c>
      <c r="K206" t="str">
        <f>Koond_kulud!K227</f>
        <v>Kinnistute, hoonete ja ruumide majandamiskulud</v>
      </c>
      <c r="L206">
        <f>Koond_kulud!L227</f>
        <v>55</v>
      </c>
      <c r="M206" t="str">
        <f>Koond_kulud!M227</f>
        <v>55</v>
      </c>
      <c r="N206" t="str">
        <f>Koond_kulud!N227</f>
        <v>Muud tegevuskulud</v>
      </c>
      <c r="O206" t="str">
        <f>Koond_kulud!O227</f>
        <v>Majandamiskulud</v>
      </c>
      <c r="P206" t="str">
        <f>Koond_kulud!P227</f>
        <v>Põhitegevuse kulu</v>
      </c>
      <c r="Q206">
        <f>Koond_kulud!Q227</f>
        <v>0</v>
      </c>
    </row>
    <row r="207" spans="1:17" hidden="1" x14ac:dyDescent="0.25">
      <c r="A207" t="str">
        <f>Koond_kulud!A228</f>
        <v>06</v>
      </c>
      <c r="B207" t="str">
        <f>Koond_kulud!B228</f>
        <v>0660510</v>
      </c>
      <c r="C207" t="str">
        <f>Koond_kulud!C228</f>
        <v>Roela, Tudu, Viru-Jaagupi teeninduspiirkond</v>
      </c>
      <c r="D207" t="str">
        <f>Koond_kulud!D228</f>
        <v>Muu elamu- ja kommunaalmajanduse tegevus</v>
      </c>
      <c r="E207" t="str">
        <f>Koond_kulud!E228</f>
        <v>Elamu- ja kommunaalmajandus</v>
      </c>
      <c r="F207" t="str">
        <f>Koond_kulud!F228</f>
        <v>Viru-Jaagupi piirkond</v>
      </c>
      <c r="G207" t="str">
        <f>Koond_kulud!G228</f>
        <v>Vesi- ja kanalisatsioon</v>
      </c>
      <c r="H207">
        <f>Koond_kulud!H228</f>
        <v>1400</v>
      </c>
      <c r="I207" t="str">
        <f>Koond_kulud!I228</f>
        <v>Kesk 15, Koolimaja, saun</v>
      </c>
      <c r="J207">
        <f>Koond_kulud!J228</f>
        <v>5511</v>
      </c>
      <c r="K207" t="str">
        <f>Koond_kulud!K228</f>
        <v>Kinnistute, hoonete ja ruumide majandamiskulud</v>
      </c>
      <c r="L207">
        <f>Koond_kulud!L228</f>
        <v>55</v>
      </c>
      <c r="M207" t="str">
        <f>Koond_kulud!M228</f>
        <v>55</v>
      </c>
      <c r="N207" t="str">
        <f>Koond_kulud!N228</f>
        <v>Muud tegevuskulud</v>
      </c>
      <c r="O207" t="str">
        <f>Koond_kulud!O228</f>
        <v>Majandamiskulud</v>
      </c>
      <c r="P207" t="str">
        <f>Koond_kulud!P228</f>
        <v>Põhitegevuse kulu</v>
      </c>
      <c r="Q207">
        <f>Koond_kulud!Q228</f>
        <v>0</v>
      </c>
    </row>
    <row r="208" spans="1:17" hidden="1" x14ac:dyDescent="0.25">
      <c r="A208" t="str">
        <f>Koond_kulud!A229</f>
        <v>06</v>
      </c>
      <c r="B208" t="str">
        <f>Koond_kulud!B229</f>
        <v>0660510</v>
      </c>
      <c r="C208" t="str">
        <f>Koond_kulud!C229</f>
        <v>Roela, Tudu, Viru-Jaagupi teeninduspiirkond</v>
      </c>
      <c r="D208" t="str">
        <f>Koond_kulud!D229</f>
        <v>Muu elamu- ja kommunaalmajanduse tegevus</v>
      </c>
      <c r="E208" t="str">
        <f>Koond_kulud!E229</f>
        <v>Elamu- ja kommunaalmajandus</v>
      </c>
      <c r="F208" t="str">
        <f>Koond_kulud!F229</f>
        <v>Viru-Jaagupi piirkond</v>
      </c>
      <c r="G208" t="str">
        <f>Koond_kulud!G229</f>
        <v>Prügivedu</v>
      </c>
      <c r="H208">
        <f>Koond_kulud!H229</f>
        <v>84</v>
      </c>
      <c r="I208" t="str">
        <f>Koond_kulud!I229</f>
        <v>Kooli tee 7</v>
      </c>
      <c r="J208">
        <f>Koond_kulud!J229</f>
        <v>5511</v>
      </c>
      <c r="K208" t="str">
        <f>Koond_kulud!K229</f>
        <v>Kinnistute, hoonete ja ruumide majandamiskulud</v>
      </c>
      <c r="L208">
        <f>Koond_kulud!L229</f>
        <v>55</v>
      </c>
      <c r="M208" t="str">
        <f>Koond_kulud!M229</f>
        <v>55</v>
      </c>
      <c r="N208" t="str">
        <f>Koond_kulud!N229</f>
        <v>Muud tegevuskulud</v>
      </c>
      <c r="O208" t="str">
        <f>Koond_kulud!O229</f>
        <v>Majandamiskulud</v>
      </c>
      <c r="P208" t="str">
        <f>Koond_kulud!P229</f>
        <v>Põhitegevuse kulu</v>
      </c>
      <c r="Q208">
        <f>Koond_kulud!Q229</f>
        <v>0</v>
      </c>
    </row>
    <row r="209" spans="1:17" hidden="1" x14ac:dyDescent="0.25">
      <c r="A209" t="str">
        <f>Koond_kulud!A230</f>
        <v>06</v>
      </c>
      <c r="B209" t="str">
        <f>Koond_kulud!B230</f>
        <v>0660510</v>
      </c>
      <c r="C209" t="str">
        <f>Koond_kulud!C230</f>
        <v>Roela, Tudu, Viru-Jaagupi teeninduspiirkond</v>
      </c>
      <c r="D209" t="str">
        <f>Koond_kulud!D230</f>
        <v>Muu elamu- ja kommunaalmajanduse tegevus</v>
      </c>
      <c r="E209" t="str">
        <f>Koond_kulud!E230</f>
        <v>Elamu- ja kommunaalmajandus</v>
      </c>
      <c r="F209" t="str">
        <f>Koond_kulud!F230</f>
        <v>Viru-Jaagupi piirkond</v>
      </c>
      <c r="G209" t="str">
        <f>Koond_kulud!G230</f>
        <v>Prügivedu</v>
      </c>
      <c r="H209">
        <f>Koond_kulud!H230</f>
        <v>350</v>
      </c>
      <c r="I209" t="str">
        <f>Koond_kulud!I230</f>
        <v>Piirkonna prügi</v>
      </c>
      <c r="J209">
        <f>Koond_kulud!J230</f>
        <v>5511</v>
      </c>
      <c r="K209" t="str">
        <f>Koond_kulud!K230</f>
        <v>Kinnistute, hoonete ja ruumide majandamiskulud</v>
      </c>
      <c r="L209">
        <f>Koond_kulud!L230</f>
        <v>55</v>
      </c>
      <c r="M209" t="str">
        <f>Koond_kulud!M230</f>
        <v>55</v>
      </c>
      <c r="N209" t="str">
        <f>Koond_kulud!N230</f>
        <v>Muud tegevuskulud</v>
      </c>
      <c r="O209" t="str">
        <f>Koond_kulud!O230</f>
        <v>Majandamiskulud</v>
      </c>
      <c r="P209" t="str">
        <f>Koond_kulud!P230</f>
        <v>Põhitegevuse kulu</v>
      </c>
      <c r="Q209">
        <f>Koond_kulud!Q230</f>
        <v>0</v>
      </c>
    </row>
    <row r="210" spans="1:17" hidden="1" x14ac:dyDescent="0.25">
      <c r="A210" t="str">
        <f>Koond_kulud!A231</f>
        <v>06</v>
      </c>
      <c r="B210" t="str">
        <f>Koond_kulud!B231</f>
        <v>0660510</v>
      </c>
      <c r="C210" t="str">
        <f>Koond_kulud!C231</f>
        <v>Roela, Tudu, Viru-Jaagupi teeninduspiirkond</v>
      </c>
      <c r="D210" t="str">
        <f>Koond_kulud!D231</f>
        <v>Muu elamu- ja kommunaalmajanduse tegevus</v>
      </c>
      <c r="E210" t="str">
        <f>Koond_kulud!E231</f>
        <v>Elamu- ja kommunaalmajandus</v>
      </c>
      <c r="F210" t="str">
        <f>Koond_kulud!F231</f>
        <v>Viru-Jaagupi piirkond</v>
      </c>
      <c r="G210" t="str">
        <f>Koond_kulud!G231</f>
        <v>Koolimaja küttepuud</v>
      </c>
      <c r="H210">
        <f>Koond_kulud!H231</f>
        <v>3600</v>
      </c>
      <c r="I210">
        <f>Koond_kulud!I231</f>
        <v>0</v>
      </c>
      <c r="J210">
        <f>Koond_kulud!J231</f>
        <v>5511</v>
      </c>
      <c r="K210" t="str">
        <f>Koond_kulud!K231</f>
        <v>Kinnistute, hoonete ja ruumide majandamiskulud</v>
      </c>
      <c r="L210">
        <f>Koond_kulud!L231</f>
        <v>55</v>
      </c>
      <c r="M210" t="str">
        <f>Koond_kulud!M231</f>
        <v>55</v>
      </c>
      <c r="N210" t="str">
        <f>Koond_kulud!N231</f>
        <v>Muud tegevuskulud</v>
      </c>
      <c r="O210" t="str">
        <f>Koond_kulud!O231</f>
        <v>Majandamiskulud</v>
      </c>
      <c r="P210" t="str">
        <f>Koond_kulud!P231</f>
        <v>Põhitegevuse kulu</v>
      </c>
      <c r="Q210">
        <f>Koond_kulud!Q231</f>
        <v>0</v>
      </c>
    </row>
    <row r="211" spans="1:17" hidden="1" x14ac:dyDescent="0.25">
      <c r="A211" t="str">
        <f>Koond_kulud!A232</f>
        <v>06</v>
      </c>
      <c r="B211" t="str">
        <f>Koond_kulud!B232</f>
        <v>0660510</v>
      </c>
      <c r="C211" t="str">
        <f>Koond_kulud!C232</f>
        <v>Roela, Tudu, Viru-Jaagupi teeninduspiirkond</v>
      </c>
      <c r="D211" t="str">
        <f>Koond_kulud!D232</f>
        <v>Muu elamu- ja kommunaalmajanduse tegevus</v>
      </c>
      <c r="E211" t="str">
        <f>Koond_kulud!E232</f>
        <v>Elamu- ja kommunaalmajandus</v>
      </c>
      <c r="F211" t="str">
        <f>Koond_kulud!F232</f>
        <v>Viru-Jaagupi piirkond</v>
      </c>
      <c r="G211" t="str">
        <f>Koond_kulud!G232</f>
        <v>Heakorratööd</v>
      </c>
      <c r="H211">
        <f>Koond_kulud!H232</f>
        <v>3000</v>
      </c>
      <c r="I211">
        <f>Koond_kulud!I232</f>
        <v>0</v>
      </c>
      <c r="J211">
        <f>Koond_kulud!J232</f>
        <v>5511</v>
      </c>
      <c r="K211" t="str">
        <f>Koond_kulud!K232</f>
        <v>Kinnistute, hoonete ja ruumide majandamiskulud</v>
      </c>
      <c r="L211">
        <f>Koond_kulud!L232</f>
        <v>55</v>
      </c>
      <c r="M211" t="str">
        <f>Koond_kulud!M232</f>
        <v>55</v>
      </c>
      <c r="N211" t="str">
        <f>Koond_kulud!N232</f>
        <v>Muud tegevuskulud</v>
      </c>
      <c r="O211" t="str">
        <f>Koond_kulud!O232</f>
        <v>Majandamiskulud</v>
      </c>
      <c r="P211" t="str">
        <f>Koond_kulud!P232</f>
        <v>Põhitegevuse kulu</v>
      </c>
      <c r="Q211">
        <f>Koond_kulud!Q232</f>
        <v>0</v>
      </c>
    </row>
    <row r="212" spans="1:17" hidden="1" x14ac:dyDescent="0.25">
      <c r="A212" t="str">
        <f>Koond_kulud!A233</f>
        <v>06</v>
      </c>
      <c r="B212" t="str">
        <f>Koond_kulud!B233</f>
        <v>0660510</v>
      </c>
      <c r="C212" t="str">
        <f>Koond_kulud!C233</f>
        <v>Roela, Tudu, Viru-Jaagupi teeninduspiirkond</v>
      </c>
      <c r="D212" t="str">
        <f>Koond_kulud!D233</f>
        <v>Muu elamu- ja kommunaalmajanduse tegevus</v>
      </c>
      <c r="E212" t="str">
        <f>Koond_kulud!E233</f>
        <v>Elamu- ja kommunaalmajandus</v>
      </c>
      <c r="F212" t="str">
        <f>Koond_kulud!F233</f>
        <v>Viru-Jaagupi piirkond</v>
      </c>
      <c r="G212" t="str">
        <f>Koond_kulud!G233</f>
        <v>Elekter</v>
      </c>
      <c r="H212">
        <f>Koond_kulud!H233</f>
        <v>18000</v>
      </c>
      <c r="I212">
        <f>Koond_kulud!I233</f>
        <v>0</v>
      </c>
      <c r="J212">
        <f>Koond_kulud!J233</f>
        <v>5511</v>
      </c>
      <c r="K212" t="str">
        <f>Koond_kulud!K233</f>
        <v>Kinnistute, hoonete ja ruumide majandamiskulud</v>
      </c>
      <c r="L212">
        <f>Koond_kulud!L233</f>
        <v>55</v>
      </c>
      <c r="M212" t="str">
        <f>Koond_kulud!M233</f>
        <v>55</v>
      </c>
      <c r="N212" t="str">
        <f>Koond_kulud!N233</f>
        <v>Muud tegevuskulud</v>
      </c>
      <c r="O212" t="str">
        <f>Koond_kulud!O233</f>
        <v>Majandamiskulud</v>
      </c>
      <c r="P212" t="str">
        <f>Koond_kulud!P233</f>
        <v>Põhitegevuse kulu</v>
      </c>
      <c r="Q212">
        <f>Koond_kulud!Q233</f>
        <v>0</v>
      </c>
    </row>
    <row r="213" spans="1:17" hidden="1" x14ac:dyDescent="0.25">
      <c r="A213" t="str">
        <f>Koond_kulud!A234</f>
        <v>06</v>
      </c>
      <c r="B213" t="str">
        <f>Koond_kulud!B234</f>
        <v>0660510</v>
      </c>
      <c r="C213" t="str">
        <f>Koond_kulud!C234</f>
        <v>Roela, Tudu, Viru-Jaagupi teeninduspiirkond</v>
      </c>
      <c r="D213" t="str">
        <f>Koond_kulud!D234</f>
        <v>Muu elamu- ja kommunaalmajanduse tegevus</v>
      </c>
      <c r="E213" t="str">
        <f>Koond_kulud!E234</f>
        <v>Elamu- ja kommunaalmajandus</v>
      </c>
      <c r="F213" t="str">
        <f>Koond_kulud!F234</f>
        <v>Viru-Jaagupi piirkond</v>
      </c>
      <c r="G213" t="str">
        <f>Koond_kulud!G234</f>
        <v>Korrashoiuvahendid</v>
      </c>
      <c r="H213">
        <f>Koond_kulud!H234</f>
        <v>1000</v>
      </c>
      <c r="I213" t="str">
        <f>Koond_kulud!I234</f>
        <v>luuad, rehad, puh.vahendid, paber jne</v>
      </c>
      <c r="J213">
        <f>Koond_kulud!J234</f>
        <v>5511</v>
      </c>
      <c r="K213" t="str">
        <f>Koond_kulud!K234</f>
        <v>Kinnistute, hoonete ja ruumide majandamiskulud</v>
      </c>
      <c r="L213">
        <f>Koond_kulud!L234</f>
        <v>55</v>
      </c>
      <c r="M213" t="str">
        <f>Koond_kulud!M234</f>
        <v>55</v>
      </c>
      <c r="N213" t="str">
        <f>Koond_kulud!N234</f>
        <v>Muud tegevuskulud</v>
      </c>
      <c r="O213" t="str">
        <f>Koond_kulud!O234</f>
        <v>Majandamiskulud</v>
      </c>
      <c r="P213" t="str">
        <f>Koond_kulud!P234</f>
        <v>Põhitegevuse kulu</v>
      </c>
      <c r="Q213">
        <f>Koond_kulud!Q234</f>
        <v>0</v>
      </c>
    </row>
    <row r="214" spans="1:17" hidden="1" x14ac:dyDescent="0.25">
      <c r="A214" t="str">
        <f>Koond_kulud!A235</f>
        <v>06</v>
      </c>
      <c r="B214" t="str">
        <f>Koond_kulud!B235</f>
        <v>0660510</v>
      </c>
      <c r="C214" t="str">
        <f>Koond_kulud!C235</f>
        <v>Roela, Tudu, Viru-Jaagupi teeninduspiirkond</v>
      </c>
      <c r="D214" t="str">
        <f>Koond_kulud!D235</f>
        <v>Muu elamu- ja kommunaalmajanduse tegevus</v>
      </c>
      <c r="E214" t="str">
        <f>Koond_kulud!E235</f>
        <v>Elamu- ja kommunaalmajandus</v>
      </c>
      <c r="F214" t="str">
        <f>Koond_kulud!F235</f>
        <v>Viru-Jaagupi piirkond</v>
      </c>
      <c r="G214" t="str">
        <f>Koond_kulud!G235</f>
        <v>Valvekulud</v>
      </c>
      <c r="H214">
        <f>Koond_kulud!H235</f>
        <v>84</v>
      </c>
      <c r="I214">
        <f>Koond_kulud!I235</f>
        <v>0</v>
      </c>
      <c r="J214">
        <f>Koond_kulud!J235</f>
        <v>5511</v>
      </c>
      <c r="K214" t="str">
        <f>Koond_kulud!K235</f>
        <v>Kinnistute, hoonete ja ruumide majandamiskulud</v>
      </c>
      <c r="L214">
        <f>Koond_kulud!L235</f>
        <v>55</v>
      </c>
      <c r="M214" t="str">
        <f>Koond_kulud!M235</f>
        <v>55</v>
      </c>
      <c r="N214" t="str">
        <f>Koond_kulud!N235</f>
        <v>Muud tegevuskulud</v>
      </c>
      <c r="O214" t="str">
        <f>Koond_kulud!O235</f>
        <v>Majandamiskulud</v>
      </c>
      <c r="P214" t="str">
        <f>Koond_kulud!P235</f>
        <v>Põhitegevuse kulu</v>
      </c>
      <c r="Q214">
        <f>Koond_kulud!Q235</f>
        <v>0</v>
      </c>
    </row>
    <row r="215" spans="1:17" hidden="1" x14ac:dyDescent="0.25">
      <c r="A215" t="str">
        <f>Koond_kulud!A236</f>
        <v>06</v>
      </c>
      <c r="B215" t="str">
        <f>Koond_kulud!B236</f>
        <v>0660510</v>
      </c>
      <c r="C215" t="str">
        <f>Koond_kulud!C236</f>
        <v>Roela, Tudu, Viru-Jaagupi teeninduspiirkond</v>
      </c>
      <c r="D215" t="str">
        <f>Koond_kulud!D236</f>
        <v>Muu elamu- ja kommunaalmajanduse tegevus</v>
      </c>
      <c r="E215" t="str">
        <f>Koond_kulud!E236</f>
        <v>Elamu- ja kommunaalmajandus</v>
      </c>
      <c r="F215" t="str">
        <f>Koond_kulud!F236</f>
        <v>Viru-Jaagupi piirkond</v>
      </c>
      <c r="G215" t="str">
        <f>Koond_kulud!G236</f>
        <v>Korrashoiuvahendite rendid, õlid</v>
      </c>
      <c r="H215">
        <f>Koond_kulud!H236</f>
        <v>1500</v>
      </c>
      <c r="I215" t="str">
        <f>Koond_kulud!I236</f>
        <v>töövahendite hooldus, tarvikud, küte, õli</v>
      </c>
      <c r="J215">
        <f>Koond_kulud!J236</f>
        <v>5511</v>
      </c>
      <c r="K215" t="str">
        <f>Koond_kulud!K236</f>
        <v>Kinnistute, hoonete ja ruumide majandamiskulud</v>
      </c>
      <c r="L215">
        <f>Koond_kulud!L236</f>
        <v>55</v>
      </c>
      <c r="M215" t="str">
        <f>Koond_kulud!M236</f>
        <v>55</v>
      </c>
      <c r="N215" t="str">
        <f>Koond_kulud!N236</f>
        <v>Muud tegevuskulud</v>
      </c>
      <c r="O215" t="str">
        <f>Koond_kulud!O236</f>
        <v>Majandamiskulud</v>
      </c>
      <c r="P215" t="str">
        <f>Koond_kulud!P236</f>
        <v>Põhitegevuse kulu</v>
      </c>
      <c r="Q215">
        <f>Koond_kulud!Q236</f>
        <v>0</v>
      </c>
    </row>
    <row r="216" spans="1:17" hidden="1" x14ac:dyDescent="0.25">
      <c r="A216" t="str">
        <f>Koond_kulud!A237</f>
        <v>06</v>
      </c>
      <c r="B216" t="str">
        <f>Koond_kulud!B237</f>
        <v>0660510</v>
      </c>
      <c r="C216" t="str">
        <f>Koond_kulud!C237</f>
        <v>Roela, Tudu, Viru-Jaagupi teeninduspiirkond</v>
      </c>
      <c r="D216" t="str">
        <f>Koond_kulud!D237</f>
        <v>Muu elamu- ja kommunaalmajanduse tegevus</v>
      </c>
      <c r="E216" t="str">
        <f>Koond_kulud!E237</f>
        <v>Elamu- ja kommunaalmajandus</v>
      </c>
      <c r="F216" t="str">
        <f>Koond_kulud!F237</f>
        <v>Viru-Jaagupi piirkond</v>
      </c>
      <c r="G216" t="str">
        <f>Koond_kulud!G237</f>
        <v>Remondifond</v>
      </c>
      <c r="H216">
        <f>Koond_kulud!H237</f>
        <v>314.32</v>
      </c>
      <c r="I216" t="str">
        <f>Koond_kulud!I237</f>
        <v>Kesk 21 + niitmine</v>
      </c>
      <c r="J216">
        <f>Koond_kulud!J237</f>
        <v>5511</v>
      </c>
      <c r="K216" t="str">
        <f>Koond_kulud!K237</f>
        <v>Kinnistute, hoonete ja ruumide majandamiskulud</v>
      </c>
      <c r="L216">
        <f>Koond_kulud!L237</f>
        <v>55</v>
      </c>
      <c r="M216" t="str">
        <f>Koond_kulud!M237</f>
        <v>55</v>
      </c>
      <c r="N216" t="str">
        <f>Koond_kulud!N237</f>
        <v>Muud tegevuskulud</v>
      </c>
      <c r="O216" t="str">
        <f>Koond_kulud!O237</f>
        <v>Majandamiskulud</v>
      </c>
      <c r="P216" t="str">
        <f>Koond_kulud!P237</f>
        <v>Põhitegevuse kulu</v>
      </c>
      <c r="Q216">
        <f>Koond_kulud!Q237</f>
        <v>0</v>
      </c>
    </row>
    <row r="217" spans="1:17" hidden="1" x14ac:dyDescent="0.25">
      <c r="A217" t="str">
        <f>Koond_kulud!A238</f>
        <v>06</v>
      </c>
      <c r="B217" t="str">
        <f>Koond_kulud!B238</f>
        <v>0660510</v>
      </c>
      <c r="C217" t="str">
        <f>Koond_kulud!C238</f>
        <v>Roela, Tudu, Viru-Jaagupi teeninduspiirkond</v>
      </c>
      <c r="D217" t="str">
        <f>Koond_kulud!D238</f>
        <v>Muu elamu- ja kommunaalmajanduse tegevus</v>
      </c>
      <c r="E217" t="str">
        <f>Koond_kulud!E238</f>
        <v>Elamu- ja kommunaalmajandus</v>
      </c>
      <c r="F217" t="str">
        <f>Koond_kulud!F238</f>
        <v>Viru-Jaagupi piirkond</v>
      </c>
      <c r="G217" t="str">
        <f>Koond_kulud!G238</f>
        <v>Tuletõrje süsteem (Telia kuutasu)</v>
      </c>
      <c r="H217">
        <f>Koond_kulud!H238</f>
        <v>14.399999999999999</v>
      </c>
      <c r="I217" t="str">
        <f>Koond_kulud!I238</f>
        <v>Kooli tee 7</v>
      </c>
      <c r="J217">
        <f>Koond_kulud!J238</f>
        <v>5511</v>
      </c>
      <c r="K217" t="str">
        <f>Koond_kulud!K238</f>
        <v>Kinnistute, hoonete ja ruumide majandamiskulud</v>
      </c>
      <c r="L217">
        <f>Koond_kulud!L238</f>
        <v>55</v>
      </c>
      <c r="M217" t="str">
        <f>Koond_kulud!M238</f>
        <v>55</v>
      </c>
      <c r="N217" t="str">
        <f>Koond_kulud!N238</f>
        <v>Muud tegevuskulud</v>
      </c>
      <c r="O217" t="str">
        <f>Koond_kulud!O238</f>
        <v>Majandamiskulud</v>
      </c>
      <c r="P217" t="str">
        <f>Koond_kulud!P238</f>
        <v>Põhitegevuse kulu</v>
      </c>
      <c r="Q217">
        <f>Koond_kulud!Q238</f>
        <v>0</v>
      </c>
    </row>
    <row r="218" spans="1:17" hidden="1" x14ac:dyDescent="0.25">
      <c r="A218" t="str">
        <f>Koond_kulud!A239</f>
        <v>06</v>
      </c>
      <c r="B218" t="str">
        <f>Koond_kulud!B239</f>
        <v>0660510</v>
      </c>
      <c r="C218" t="str">
        <f>Koond_kulud!C239</f>
        <v>Roela, Tudu, Viru-Jaagupi teeninduspiirkond</v>
      </c>
      <c r="D218" t="str">
        <f>Koond_kulud!D239</f>
        <v>Muu elamu- ja kommunaalmajanduse tegevus</v>
      </c>
      <c r="E218" t="str">
        <f>Koond_kulud!E239</f>
        <v>Elamu- ja kommunaalmajandus</v>
      </c>
      <c r="F218" t="str">
        <f>Koond_kulud!F239</f>
        <v>Viru-Jaagupi piirkond</v>
      </c>
      <c r="G218" t="str">
        <f>Koond_kulud!G239</f>
        <v>Tuletõrje süsteemi hooldus</v>
      </c>
      <c r="H218">
        <f>Koond_kulud!H239</f>
        <v>384</v>
      </c>
      <c r="I218" t="str">
        <f>Koond_kulud!I239</f>
        <v>Kooli tee 7</v>
      </c>
      <c r="J218">
        <f>Koond_kulud!J239</f>
        <v>5511</v>
      </c>
      <c r="K218" t="str">
        <f>Koond_kulud!K239</f>
        <v>Kinnistute, hoonete ja ruumide majandamiskulud</v>
      </c>
      <c r="L218">
        <f>Koond_kulud!L239</f>
        <v>55</v>
      </c>
      <c r="M218" t="str">
        <f>Koond_kulud!M239</f>
        <v>55</v>
      </c>
      <c r="N218" t="str">
        <f>Koond_kulud!N239</f>
        <v>Muud tegevuskulud</v>
      </c>
      <c r="O218" t="str">
        <f>Koond_kulud!O239</f>
        <v>Majandamiskulud</v>
      </c>
      <c r="P218" t="str">
        <f>Koond_kulud!P239</f>
        <v>Põhitegevuse kulu</v>
      </c>
      <c r="Q218">
        <f>Koond_kulud!Q239</f>
        <v>0</v>
      </c>
    </row>
    <row r="219" spans="1:17" hidden="1" x14ac:dyDescent="0.25">
      <c r="A219" t="str">
        <f>Koond_kulud!A240</f>
        <v>06</v>
      </c>
      <c r="B219" t="str">
        <f>Koond_kulud!B240</f>
        <v>0660510</v>
      </c>
      <c r="C219" t="str">
        <f>Koond_kulud!C240</f>
        <v>Roela, Tudu, Viru-Jaagupi teeninduspiirkond</v>
      </c>
      <c r="D219" t="str">
        <f>Koond_kulud!D240</f>
        <v>Muu elamu- ja kommunaalmajanduse tegevus</v>
      </c>
      <c r="E219" t="str">
        <f>Koond_kulud!E240</f>
        <v>Elamu- ja kommunaalmajandus</v>
      </c>
      <c r="F219" t="str">
        <f>Koond_kulud!F240</f>
        <v>Viru-Jaagupi piirkond</v>
      </c>
      <c r="G219" t="str">
        <f>Koond_kulud!G240</f>
        <v>Istikud, ohtlikud puud</v>
      </c>
      <c r="H219">
        <f>Koond_kulud!H240</f>
        <v>1500</v>
      </c>
      <c r="I219">
        <f>Koond_kulud!I240</f>
        <v>0</v>
      </c>
      <c r="J219">
        <f>Koond_kulud!J240</f>
        <v>5511</v>
      </c>
      <c r="K219" t="str">
        <f>Koond_kulud!K240</f>
        <v>Kinnistute, hoonete ja ruumide majandamiskulud</v>
      </c>
      <c r="L219">
        <f>Koond_kulud!L240</f>
        <v>55</v>
      </c>
      <c r="M219" t="str">
        <f>Koond_kulud!M240</f>
        <v>55</v>
      </c>
      <c r="N219" t="str">
        <f>Koond_kulud!N240</f>
        <v>Muud tegevuskulud</v>
      </c>
      <c r="O219" t="str">
        <f>Koond_kulud!O240</f>
        <v>Majandamiskulud</v>
      </c>
      <c r="P219" t="str">
        <f>Koond_kulud!P240</f>
        <v>Põhitegevuse kulu</v>
      </c>
      <c r="Q219">
        <f>Koond_kulud!Q240</f>
        <v>0</v>
      </c>
    </row>
    <row r="220" spans="1:17" hidden="1" x14ac:dyDescent="0.25">
      <c r="A220" t="str">
        <f>Koond_kulud!A241</f>
        <v>06</v>
      </c>
      <c r="B220" t="str">
        <f>Koond_kulud!B241</f>
        <v>0660510</v>
      </c>
      <c r="C220" t="str">
        <f>Koond_kulud!C241</f>
        <v>Roela, Tudu, Viru-Jaagupi teeninduspiirkond</v>
      </c>
      <c r="D220" t="str">
        <f>Koond_kulud!D241</f>
        <v>Muu elamu- ja kommunaalmajanduse tegevus</v>
      </c>
      <c r="E220" t="str">
        <f>Koond_kulud!E241</f>
        <v>Elamu- ja kommunaalmajandus</v>
      </c>
      <c r="F220" t="str">
        <f>Koond_kulud!F241</f>
        <v>Viru-Jaagupi piirkond</v>
      </c>
      <c r="G220" t="str">
        <f>Koond_kulud!G241</f>
        <v>Teadete tahvlid</v>
      </c>
      <c r="H220">
        <f>Koond_kulud!H241</f>
        <v>3200</v>
      </c>
      <c r="I220" t="str">
        <f>Koond_kulud!I241</f>
        <v>2tk</v>
      </c>
      <c r="J220">
        <f>Koond_kulud!J241</f>
        <v>5511</v>
      </c>
      <c r="K220" t="str">
        <f>Koond_kulud!K241</f>
        <v>Kinnistute, hoonete ja ruumide majandamiskulud</v>
      </c>
      <c r="L220">
        <f>Koond_kulud!L241</f>
        <v>55</v>
      </c>
      <c r="M220" t="str">
        <f>Koond_kulud!M241</f>
        <v>55</v>
      </c>
      <c r="N220" t="str">
        <f>Koond_kulud!N241</f>
        <v>Muud tegevuskulud</v>
      </c>
      <c r="O220" t="str">
        <f>Koond_kulud!O241</f>
        <v>Majandamiskulud</v>
      </c>
      <c r="P220" t="str">
        <f>Koond_kulud!P241</f>
        <v>Põhitegevuse kulu</v>
      </c>
      <c r="Q220">
        <f>Koond_kulud!Q241</f>
        <v>0</v>
      </c>
    </row>
    <row r="221" spans="1:17" hidden="1" x14ac:dyDescent="0.25">
      <c r="A221" t="str">
        <f>Koond_kulud!A242</f>
        <v>06</v>
      </c>
      <c r="B221" t="str">
        <f>Koond_kulud!B242</f>
        <v>0660510</v>
      </c>
      <c r="C221" t="str">
        <f>Koond_kulud!C242</f>
        <v>Roela, Tudu, Viru-Jaagupi teeninduspiirkond</v>
      </c>
      <c r="D221" t="str">
        <f>Koond_kulud!D242</f>
        <v>Muu elamu- ja kommunaalmajanduse tegevus</v>
      </c>
      <c r="E221" t="str">
        <f>Koond_kulud!E242</f>
        <v>Elamu- ja kommunaalmajandus</v>
      </c>
      <c r="F221" t="str">
        <f>Koond_kulud!F242</f>
        <v>Viru-Jaagupi piirkond</v>
      </c>
      <c r="G221" t="str">
        <f>Koond_kulud!G242</f>
        <v>Korstnapühkija</v>
      </c>
      <c r="H221">
        <f>Koond_kulud!H242</f>
        <v>300</v>
      </c>
      <c r="I221">
        <f>Koond_kulud!I242</f>
        <v>0</v>
      </c>
      <c r="J221">
        <f>Koond_kulud!J242</f>
        <v>5511</v>
      </c>
      <c r="K221" t="str">
        <f>Koond_kulud!K242</f>
        <v>Kinnistute, hoonete ja ruumide majandamiskulud</v>
      </c>
      <c r="L221">
        <f>Koond_kulud!L242</f>
        <v>55</v>
      </c>
      <c r="M221" t="str">
        <f>Koond_kulud!M242</f>
        <v>55</v>
      </c>
      <c r="N221" t="str">
        <f>Koond_kulud!N242</f>
        <v>Muud tegevuskulud</v>
      </c>
      <c r="O221" t="str">
        <f>Koond_kulud!O242</f>
        <v>Majandamiskulud</v>
      </c>
      <c r="P221" t="str">
        <f>Koond_kulud!P242</f>
        <v>Põhitegevuse kulu</v>
      </c>
      <c r="Q221">
        <f>Koond_kulud!Q242</f>
        <v>0</v>
      </c>
    </row>
    <row r="222" spans="1:17" hidden="1" x14ac:dyDescent="0.25">
      <c r="A222" t="str">
        <f>Koond_kulud!A243</f>
        <v>06</v>
      </c>
      <c r="B222" t="str">
        <f>Koond_kulud!B243</f>
        <v>0660510</v>
      </c>
      <c r="C222" t="str">
        <f>Koond_kulud!C243</f>
        <v>Roela, Tudu, Viru-Jaagupi teeninduspiirkond</v>
      </c>
      <c r="D222" t="str">
        <f>Koond_kulud!D243</f>
        <v>Muu elamu- ja kommunaalmajanduse tegevus</v>
      </c>
      <c r="E222" t="str">
        <f>Koond_kulud!E243</f>
        <v>Elamu- ja kommunaalmajandus</v>
      </c>
      <c r="F222" t="str">
        <f>Koond_kulud!F243</f>
        <v>Viru-Jaagupi piirkond</v>
      </c>
      <c r="G222" t="str">
        <f>Koond_kulud!G243</f>
        <v>Pingid</v>
      </c>
      <c r="H222">
        <f>Koond_kulud!H243</f>
        <v>6000</v>
      </c>
      <c r="I222">
        <f>Koond_kulud!I243</f>
        <v>0</v>
      </c>
      <c r="J222">
        <f>Koond_kulud!J243</f>
        <v>5511</v>
      </c>
      <c r="K222" t="str">
        <f>Koond_kulud!K243</f>
        <v>Kinnistute, hoonete ja ruumide majandamiskulud</v>
      </c>
      <c r="L222">
        <f>Koond_kulud!L243</f>
        <v>55</v>
      </c>
      <c r="M222" t="str">
        <f>Koond_kulud!M243</f>
        <v>55</v>
      </c>
      <c r="N222" t="str">
        <f>Koond_kulud!N243</f>
        <v>Muud tegevuskulud</v>
      </c>
      <c r="O222" t="str">
        <f>Koond_kulud!O243</f>
        <v>Majandamiskulud</v>
      </c>
      <c r="P222" t="str">
        <f>Koond_kulud!P243</f>
        <v>Põhitegevuse kulu</v>
      </c>
      <c r="Q222">
        <f>Koond_kulud!Q243</f>
        <v>0</v>
      </c>
    </row>
    <row r="223" spans="1:17" hidden="1" x14ac:dyDescent="0.25">
      <c r="A223" t="str">
        <f>Koond_kulud!A244</f>
        <v>06</v>
      </c>
      <c r="B223" t="str">
        <f>Koond_kulud!B244</f>
        <v>0660510</v>
      </c>
      <c r="C223" t="str">
        <f>Koond_kulud!C244</f>
        <v>Roela, Tudu, Viru-Jaagupi teeninduspiirkond</v>
      </c>
      <c r="D223" t="str">
        <f>Koond_kulud!D244</f>
        <v>Muu elamu- ja kommunaalmajanduse tegevus</v>
      </c>
      <c r="E223" t="str">
        <f>Koond_kulud!E244</f>
        <v>Elamu- ja kommunaalmajandus</v>
      </c>
      <c r="F223" t="str">
        <f>Koond_kulud!F244</f>
        <v>Viru-Jaagupi piirkond</v>
      </c>
      <c r="G223" t="str">
        <f>Koond_kulud!G244</f>
        <v>Telefon, internet</v>
      </c>
      <c r="H223">
        <f>Koond_kulud!H244</f>
        <v>300</v>
      </c>
      <c r="I223">
        <f>Koond_kulud!I244</f>
        <v>0</v>
      </c>
      <c r="J223">
        <f>Koond_kulud!J244</f>
        <v>5500</v>
      </c>
      <c r="K223" t="str">
        <f>Koond_kulud!K244</f>
        <v>Administreerimiskulud</v>
      </c>
      <c r="L223">
        <f>Koond_kulud!L244</f>
        <v>55</v>
      </c>
      <c r="M223" t="str">
        <f>Koond_kulud!M244</f>
        <v>55</v>
      </c>
      <c r="N223" t="str">
        <f>Koond_kulud!N244</f>
        <v>Muud tegevuskulud</v>
      </c>
      <c r="O223" t="str">
        <f>Koond_kulud!O244</f>
        <v>Majandamiskulud</v>
      </c>
      <c r="P223" t="str">
        <f>Koond_kulud!P244</f>
        <v>Põhitegevuse kulu</v>
      </c>
      <c r="Q223">
        <f>Koond_kulud!Q244</f>
        <v>0</v>
      </c>
    </row>
    <row r="224" spans="1:17" hidden="1" x14ac:dyDescent="0.25">
      <c r="A224" t="str">
        <f>Koond_kulud!A245</f>
        <v>06</v>
      </c>
      <c r="B224" t="str">
        <f>Koond_kulud!B245</f>
        <v>0660510</v>
      </c>
      <c r="C224" t="str">
        <f>Koond_kulud!C245</f>
        <v>Roela, Tudu, Viru-Jaagupi teeninduspiirkond</v>
      </c>
      <c r="D224" t="str">
        <f>Koond_kulud!D245</f>
        <v>Muu elamu- ja kommunaalmajanduse tegevus</v>
      </c>
      <c r="E224" t="str">
        <f>Koond_kulud!E245</f>
        <v>Elamu- ja kommunaalmajandus</v>
      </c>
      <c r="F224" t="str">
        <f>Koond_kulud!F245</f>
        <v>Viru-Jaagupi piirkond</v>
      </c>
      <c r="G224" t="str">
        <f>Koond_kulud!G245</f>
        <v>Isikliku sõiduauto komp.</v>
      </c>
      <c r="H224">
        <f>Koond_kulud!H245</f>
        <v>3300</v>
      </c>
      <c r="I224" t="str">
        <f>Koond_kulud!I245</f>
        <v>12 kuud*300</v>
      </c>
      <c r="J224">
        <f>Koond_kulud!J245</f>
        <v>5513</v>
      </c>
      <c r="K224" t="str">
        <f>Koond_kulud!K245</f>
        <v>Sõidukite ülalpidamise kulud</v>
      </c>
      <c r="L224">
        <f>Koond_kulud!L245</f>
        <v>55</v>
      </c>
      <c r="M224" t="str">
        <f>Koond_kulud!M245</f>
        <v>55</v>
      </c>
      <c r="N224" t="str">
        <f>Koond_kulud!N245</f>
        <v>Muud tegevuskulud</v>
      </c>
      <c r="O224" t="str">
        <f>Koond_kulud!O245</f>
        <v>Majandamiskulud</v>
      </c>
      <c r="P224" t="str">
        <f>Koond_kulud!P245</f>
        <v>Põhitegevuse kulu</v>
      </c>
      <c r="Q224">
        <f>Koond_kulud!Q245</f>
        <v>0</v>
      </c>
    </row>
    <row r="225" spans="1:17" hidden="1" x14ac:dyDescent="0.25">
      <c r="A225" t="str">
        <f>Koond_kulud!A246</f>
        <v>06</v>
      </c>
      <c r="B225" t="str">
        <f>Koond_kulud!B246</f>
        <v>0660510</v>
      </c>
      <c r="C225" t="str">
        <f>Koond_kulud!C246</f>
        <v>Roela, Tudu, Viru-Jaagupi teeninduspiirkond</v>
      </c>
      <c r="D225" t="str">
        <f>Koond_kulud!D246</f>
        <v>Muu elamu- ja kommunaalmajanduse tegevus</v>
      </c>
      <c r="E225" t="str">
        <f>Koond_kulud!E246</f>
        <v>Elamu- ja kommunaalmajandus</v>
      </c>
      <c r="F225" t="str">
        <f>Koond_kulud!F246</f>
        <v>Viru-Jaagupi piirkond</v>
      </c>
      <c r="G225" t="str">
        <f>Koond_kulud!G246</f>
        <v>Haagise kindlustus</v>
      </c>
      <c r="H225">
        <f>Koond_kulud!H246</f>
        <v>30</v>
      </c>
      <c r="I225">
        <f>Koond_kulud!I246</f>
        <v>0</v>
      </c>
      <c r="J225">
        <f>Koond_kulud!J246</f>
        <v>5513</v>
      </c>
      <c r="K225" t="str">
        <f>Koond_kulud!K246</f>
        <v>Sõidukite ülalpidamise kulud</v>
      </c>
      <c r="L225">
        <f>Koond_kulud!L246</f>
        <v>55</v>
      </c>
      <c r="M225" t="str">
        <f>Koond_kulud!M246</f>
        <v>55</v>
      </c>
      <c r="N225" t="str">
        <f>Koond_kulud!N246</f>
        <v>Muud tegevuskulud</v>
      </c>
      <c r="O225" t="str">
        <f>Koond_kulud!O246</f>
        <v>Majandamiskulud</v>
      </c>
      <c r="P225" t="str">
        <f>Koond_kulud!P246</f>
        <v>Põhitegevuse kulu</v>
      </c>
      <c r="Q225">
        <f>Koond_kulud!Q246</f>
        <v>0</v>
      </c>
    </row>
    <row r="226" spans="1:17" hidden="1" x14ac:dyDescent="0.25">
      <c r="A226" t="str">
        <f>Koond_kulud!A247</f>
        <v>06</v>
      </c>
      <c r="B226" t="str">
        <f>Koond_kulud!B247</f>
        <v>0660510</v>
      </c>
      <c r="C226" t="str">
        <f>Koond_kulud!C247</f>
        <v>Roela, Tudu, Viru-Jaagupi teeninduspiirkond</v>
      </c>
      <c r="D226" t="str">
        <f>Koond_kulud!D247</f>
        <v>Muu elamu- ja kommunaalmajanduse tegevus</v>
      </c>
      <c r="E226" t="str">
        <f>Koond_kulud!E247</f>
        <v>Elamu- ja kommunaalmajandus</v>
      </c>
      <c r="F226" t="str">
        <f>Koond_kulud!F247</f>
        <v>Viru-Jaagupi piirkond</v>
      </c>
      <c r="G226" t="str">
        <f>Koond_kulud!G247</f>
        <v>Haagise pisiremondid</v>
      </c>
      <c r="H226">
        <f>Koond_kulud!H247</f>
        <v>250</v>
      </c>
      <c r="I226">
        <f>Koond_kulud!I247</f>
        <v>0</v>
      </c>
      <c r="J226">
        <f>Koond_kulud!J247</f>
        <v>5513</v>
      </c>
      <c r="K226" t="str">
        <f>Koond_kulud!K247</f>
        <v>Sõidukite ülalpidamise kulud</v>
      </c>
      <c r="L226">
        <f>Koond_kulud!L247</f>
        <v>55</v>
      </c>
      <c r="M226" t="str">
        <f>Koond_kulud!M247</f>
        <v>55</v>
      </c>
      <c r="N226" t="str">
        <f>Koond_kulud!N247</f>
        <v>Muud tegevuskulud</v>
      </c>
      <c r="O226" t="str">
        <f>Koond_kulud!O247</f>
        <v>Majandamiskulud</v>
      </c>
      <c r="P226" t="str">
        <f>Koond_kulud!P247</f>
        <v>Põhitegevuse kulu</v>
      </c>
      <c r="Q226">
        <f>Koond_kulud!Q247</f>
        <v>0</v>
      </c>
    </row>
    <row r="227" spans="1:17" hidden="1" x14ac:dyDescent="0.25">
      <c r="A227" t="str">
        <f>Koond_kulud!A248</f>
        <v>06</v>
      </c>
      <c r="B227" t="str">
        <f>Koond_kulud!B248</f>
        <v>0660510</v>
      </c>
      <c r="C227" t="str">
        <f>Koond_kulud!C248</f>
        <v>Roela, Tudu, Viru-Jaagupi teeninduspiirkond</v>
      </c>
      <c r="D227" t="str">
        <f>Koond_kulud!D248</f>
        <v>Muu elamu- ja kommunaalmajanduse tegevus</v>
      </c>
      <c r="E227" t="str">
        <f>Koond_kulud!E248</f>
        <v>Elamu- ja kommunaalmajandus</v>
      </c>
      <c r="F227" t="str">
        <f>Koond_kulud!F248</f>
        <v>Viru-Jaagupi piirkond</v>
      </c>
      <c r="G227" t="str">
        <f>Koond_kulud!G248</f>
        <v>Haagise rehvid</v>
      </c>
      <c r="H227">
        <f>Koond_kulud!H248</f>
        <v>160</v>
      </c>
      <c r="I227">
        <f>Koond_kulud!I248</f>
        <v>0</v>
      </c>
      <c r="J227">
        <f>Koond_kulud!J248</f>
        <v>5513</v>
      </c>
      <c r="K227" t="str">
        <f>Koond_kulud!K248</f>
        <v>Sõidukite ülalpidamise kulud</v>
      </c>
      <c r="L227">
        <f>Koond_kulud!L248</f>
        <v>55</v>
      </c>
      <c r="M227" t="str">
        <f>Koond_kulud!M248</f>
        <v>55</v>
      </c>
      <c r="N227" t="str">
        <f>Koond_kulud!N248</f>
        <v>Muud tegevuskulud</v>
      </c>
      <c r="O227" t="str">
        <f>Koond_kulud!O248</f>
        <v>Majandamiskulud</v>
      </c>
      <c r="P227" t="str">
        <f>Koond_kulud!P248</f>
        <v>Põhitegevuse kulu</v>
      </c>
      <c r="Q227">
        <f>Koond_kulud!Q248</f>
        <v>0</v>
      </c>
    </row>
    <row r="228" spans="1:17" hidden="1" x14ac:dyDescent="0.25">
      <c r="A228" t="str">
        <f>Koond_kulud!A249</f>
        <v>06</v>
      </c>
      <c r="B228" t="str">
        <f>Koond_kulud!B249</f>
        <v>0660510</v>
      </c>
      <c r="C228" t="str">
        <f>Koond_kulud!C249</f>
        <v>Roela, Tudu, Viru-Jaagupi teeninduspiirkond</v>
      </c>
      <c r="D228" t="str">
        <f>Koond_kulud!D249</f>
        <v>Muu elamu- ja kommunaalmajanduse tegevus</v>
      </c>
      <c r="E228" t="str">
        <f>Koond_kulud!E249</f>
        <v>Elamu- ja kommunaalmajandus</v>
      </c>
      <c r="F228" t="str">
        <f>Koond_kulud!F249</f>
        <v>Viru-Jaagupi piirkond</v>
      </c>
      <c r="G228" t="str">
        <f>Koond_kulud!G249</f>
        <v>PEUGEOT PARTNER 648BLS kütus</v>
      </c>
      <c r="H228">
        <f>Koond_kulud!H249</f>
        <v>3600</v>
      </c>
      <c r="I228">
        <f>Koond_kulud!I249</f>
        <v>0</v>
      </c>
      <c r="J228">
        <f>Koond_kulud!J249</f>
        <v>5513</v>
      </c>
      <c r="K228" t="str">
        <f>Koond_kulud!K249</f>
        <v>Sõidukite ülalpidamise kulud</v>
      </c>
      <c r="L228">
        <f>Koond_kulud!L249</f>
        <v>55</v>
      </c>
      <c r="M228" t="str">
        <f>Koond_kulud!M249</f>
        <v>55</v>
      </c>
      <c r="N228" t="str">
        <f>Koond_kulud!N249</f>
        <v>Muud tegevuskulud</v>
      </c>
      <c r="O228" t="str">
        <f>Koond_kulud!O249</f>
        <v>Majandamiskulud</v>
      </c>
      <c r="P228" t="str">
        <f>Koond_kulud!P249</f>
        <v>Põhitegevuse kulu</v>
      </c>
      <c r="Q228">
        <f>Koond_kulud!Q249</f>
        <v>0</v>
      </c>
    </row>
    <row r="229" spans="1:17" hidden="1" x14ac:dyDescent="0.25">
      <c r="A229" t="str">
        <f>Koond_kulud!A250</f>
        <v>06</v>
      </c>
      <c r="B229" t="str">
        <f>Koond_kulud!B250</f>
        <v>0660510</v>
      </c>
      <c r="C229" t="str">
        <f>Koond_kulud!C250</f>
        <v>Roela, Tudu, Viru-Jaagupi teeninduspiirkond</v>
      </c>
      <c r="D229" t="str">
        <f>Koond_kulud!D250</f>
        <v>Muu elamu- ja kommunaalmajanduse tegevus</v>
      </c>
      <c r="E229" t="str">
        <f>Koond_kulud!E250</f>
        <v>Elamu- ja kommunaalmajandus</v>
      </c>
      <c r="F229" t="str">
        <f>Koond_kulud!F250</f>
        <v>Viru-Jaagupi piirkond</v>
      </c>
      <c r="G229" t="str">
        <f>Koond_kulud!G250</f>
        <v>PEUGEOT PARTNER 648BLS kindlustus</v>
      </c>
      <c r="H229">
        <f>Koond_kulud!H250</f>
        <v>70</v>
      </c>
      <c r="I229">
        <f>Koond_kulud!I250</f>
        <v>0</v>
      </c>
      <c r="J229">
        <f>Koond_kulud!J250</f>
        <v>5513</v>
      </c>
      <c r="K229" t="str">
        <f>Koond_kulud!K250</f>
        <v>Sõidukite ülalpidamise kulud</v>
      </c>
      <c r="L229">
        <f>Koond_kulud!L250</f>
        <v>55</v>
      </c>
      <c r="M229" t="str">
        <f>Koond_kulud!M250</f>
        <v>55</v>
      </c>
      <c r="N229" t="str">
        <f>Koond_kulud!N250</f>
        <v>Muud tegevuskulud</v>
      </c>
      <c r="O229" t="str">
        <f>Koond_kulud!O250</f>
        <v>Majandamiskulud</v>
      </c>
      <c r="P229" t="str">
        <f>Koond_kulud!P250</f>
        <v>Põhitegevuse kulu</v>
      </c>
      <c r="Q229">
        <f>Koond_kulud!Q250</f>
        <v>0</v>
      </c>
    </row>
    <row r="230" spans="1:17" hidden="1" x14ac:dyDescent="0.25">
      <c r="A230" t="str">
        <f>Koond_kulud!A251</f>
        <v>06</v>
      </c>
      <c r="B230" t="str">
        <f>Koond_kulud!B251</f>
        <v>0660510</v>
      </c>
      <c r="C230" t="str">
        <f>Koond_kulud!C251</f>
        <v>Roela, Tudu, Viru-Jaagupi teeninduspiirkond</v>
      </c>
      <c r="D230" t="str">
        <f>Koond_kulud!D251</f>
        <v>Muu elamu- ja kommunaalmajanduse tegevus</v>
      </c>
      <c r="E230" t="str">
        <f>Koond_kulud!E251</f>
        <v>Elamu- ja kommunaalmajandus</v>
      </c>
      <c r="F230" t="str">
        <f>Koond_kulud!F251</f>
        <v>Viru-Jaagupi piirkond</v>
      </c>
      <c r="G230" t="str">
        <f>Koond_kulud!G251</f>
        <v>PEUGEOT PARTNER 648BLS rehvid</v>
      </c>
      <c r="H230">
        <f>Koond_kulud!H251</f>
        <v>400</v>
      </c>
      <c r="I230">
        <f>Koond_kulud!I251</f>
        <v>0</v>
      </c>
      <c r="J230">
        <f>Koond_kulud!J251</f>
        <v>5513</v>
      </c>
      <c r="K230" t="str">
        <f>Koond_kulud!K251</f>
        <v>Sõidukite ülalpidamise kulud</v>
      </c>
      <c r="L230">
        <f>Koond_kulud!L251</f>
        <v>55</v>
      </c>
      <c r="M230" t="str">
        <f>Koond_kulud!M251</f>
        <v>55</v>
      </c>
      <c r="N230" t="str">
        <f>Koond_kulud!N251</f>
        <v>Muud tegevuskulud</v>
      </c>
      <c r="O230" t="str">
        <f>Koond_kulud!O251</f>
        <v>Majandamiskulud</v>
      </c>
      <c r="P230" t="str">
        <f>Koond_kulud!P251</f>
        <v>Põhitegevuse kulu</v>
      </c>
      <c r="Q230">
        <f>Koond_kulud!Q251</f>
        <v>0</v>
      </c>
    </row>
    <row r="231" spans="1:17" hidden="1" x14ac:dyDescent="0.25">
      <c r="A231" t="str">
        <f>Koond_kulud!A252</f>
        <v>06</v>
      </c>
      <c r="B231" t="str">
        <f>Koond_kulud!B252</f>
        <v>0660510</v>
      </c>
      <c r="C231" t="str">
        <f>Koond_kulud!C252</f>
        <v>Roela, Tudu, Viru-Jaagupi teeninduspiirkond</v>
      </c>
      <c r="D231" t="str">
        <f>Koond_kulud!D252</f>
        <v>Muu elamu- ja kommunaalmajanduse tegevus</v>
      </c>
      <c r="E231" t="str">
        <f>Koond_kulud!E252</f>
        <v>Elamu- ja kommunaalmajandus</v>
      </c>
      <c r="F231" t="str">
        <f>Koond_kulud!F252</f>
        <v>Viru-Jaagupi piirkond</v>
      </c>
      <c r="G231" t="str">
        <f>Koond_kulud!G252</f>
        <v>PEUGEOT PARTNER 648BLS pisiremondid, ülevaatused</v>
      </c>
      <c r="H231">
        <f>Koond_kulud!H252</f>
        <v>800</v>
      </c>
      <c r="I231">
        <f>Koond_kulud!I252</f>
        <v>0</v>
      </c>
      <c r="J231">
        <f>Koond_kulud!J252</f>
        <v>5513</v>
      </c>
      <c r="K231" t="str">
        <f>Koond_kulud!K252</f>
        <v>Sõidukite ülalpidamise kulud</v>
      </c>
      <c r="L231">
        <f>Koond_kulud!L252</f>
        <v>55</v>
      </c>
      <c r="M231" t="str">
        <f>Koond_kulud!M252</f>
        <v>55</v>
      </c>
      <c r="N231" t="str">
        <f>Koond_kulud!N252</f>
        <v>Muud tegevuskulud</v>
      </c>
      <c r="O231" t="str">
        <f>Koond_kulud!O252</f>
        <v>Majandamiskulud</v>
      </c>
      <c r="P231" t="str">
        <f>Koond_kulud!P252</f>
        <v>Põhitegevuse kulu</v>
      </c>
      <c r="Q231">
        <f>Koond_kulud!Q252</f>
        <v>0</v>
      </c>
    </row>
    <row r="232" spans="1:17" hidden="1" x14ac:dyDescent="0.25">
      <c r="A232" t="str">
        <f>Koond_kulud!A253</f>
        <v>06</v>
      </c>
      <c r="B232" t="str">
        <f>Koond_kulud!B253</f>
        <v>0660510</v>
      </c>
      <c r="C232" t="str">
        <f>Koond_kulud!C253</f>
        <v>Roela, Tudu, Viru-Jaagupi teeninduspiirkond</v>
      </c>
      <c r="D232" t="str">
        <f>Koond_kulud!D253</f>
        <v>Muu elamu- ja kommunaalmajanduse tegevus</v>
      </c>
      <c r="E232" t="str">
        <f>Koond_kulud!E253</f>
        <v>Elamu- ja kommunaalmajandus</v>
      </c>
      <c r="F232" t="str">
        <f>Koond_kulud!F253</f>
        <v>Viru-Jaagupi piirkond</v>
      </c>
      <c r="G232" t="str">
        <f>Koond_kulud!G253</f>
        <v>tervise ja spordi edendamine</v>
      </c>
      <c r="H232">
        <f>Koond_kulud!H253</f>
        <v>400</v>
      </c>
      <c r="I232">
        <f>Koond_kulud!I253</f>
        <v>0</v>
      </c>
      <c r="J232">
        <f>Koond_kulud!J253</f>
        <v>5540</v>
      </c>
      <c r="K232" t="str">
        <f>Koond_kulud!K253</f>
        <v>Mitmesugused majanduskulud</v>
      </c>
      <c r="L232">
        <f>Koond_kulud!L253</f>
        <v>55</v>
      </c>
      <c r="M232" t="str">
        <f>Koond_kulud!M253</f>
        <v>55</v>
      </c>
      <c r="N232" t="str">
        <f>Koond_kulud!N253</f>
        <v>Muud tegevuskulud</v>
      </c>
      <c r="O232" t="str">
        <f>Koond_kulud!O253</f>
        <v>Majandamiskulud</v>
      </c>
      <c r="P232" t="str">
        <f>Koond_kulud!P253</f>
        <v>Põhitegevuse kulu</v>
      </c>
      <c r="Q232">
        <f>Koond_kulud!Q253</f>
        <v>0</v>
      </c>
    </row>
    <row r="233" spans="1:17" hidden="1" x14ac:dyDescent="0.25">
      <c r="A233" t="str">
        <f>Koond_kulud!A254</f>
        <v>06</v>
      </c>
      <c r="B233" t="str">
        <f>Koond_kulud!B254</f>
        <v>0660510</v>
      </c>
      <c r="C233" t="str">
        <f>Koond_kulud!C254</f>
        <v>Roela, Tudu, Viru-Jaagupi teeninduspiirkond</v>
      </c>
      <c r="D233" t="str">
        <f>Koond_kulud!D254</f>
        <v>Muu elamu- ja kommunaalmajanduse tegevus</v>
      </c>
      <c r="E233" t="str">
        <f>Koond_kulud!E254</f>
        <v>Elamu- ja kommunaalmajandus</v>
      </c>
      <c r="F233" t="str">
        <f>Koond_kulud!F254</f>
        <v>Viru-Jaagupi piirkond</v>
      </c>
      <c r="G233" t="str">
        <f>Koond_kulud!G254</f>
        <v>Katuse vahetus</v>
      </c>
      <c r="H233">
        <f>Koond_kulud!H254</f>
        <v>7000</v>
      </c>
      <c r="I233" t="str">
        <f>Koond_kulud!I254</f>
        <v>Kesk 15</v>
      </c>
      <c r="J233">
        <f>Koond_kulud!J254</f>
        <v>5511</v>
      </c>
      <c r="K233" t="str">
        <f>Koond_kulud!K254</f>
        <v>Kinnistute, hoonete ja ruumide majandamiskulud</v>
      </c>
      <c r="L233">
        <f>Koond_kulud!L254</f>
        <v>55</v>
      </c>
      <c r="M233" t="str">
        <f>Koond_kulud!M254</f>
        <v>55</v>
      </c>
      <c r="N233" t="str">
        <f>Koond_kulud!N254</f>
        <v>Muud tegevuskulud</v>
      </c>
      <c r="O233" t="str">
        <f>Koond_kulud!O254</f>
        <v>Majandamiskulud</v>
      </c>
      <c r="P233" t="str">
        <f>Koond_kulud!P254</f>
        <v>Põhitegevuse kulu</v>
      </c>
      <c r="Q233">
        <f>Koond_kulud!Q254</f>
        <v>0</v>
      </c>
    </row>
    <row r="234" spans="1:17" hidden="1" x14ac:dyDescent="0.25">
      <c r="A234" t="str">
        <f>Koond_kulud!A255</f>
        <v>06</v>
      </c>
      <c r="B234" t="str">
        <f>Koond_kulud!B255</f>
        <v>0660511</v>
      </c>
      <c r="C234" t="str">
        <f>Koond_kulud!C255</f>
        <v>Ulvi, Vinni-Pajusti teeninduspiirkond</v>
      </c>
      <c r="D234" t="str">
        <f>Koond_kulud!D255</f>
        <v>Muu elamu- ja kommunaalmajanduse tegevus</v>
      </c>
      <c r="E234" t="str">
        <f>Koond_kulud!E255</f>
        <v>Elamu- ja kommunaalmajandus</v>
      </c>
      <c r="F234" t="str">
        <f>Koond_kulud!F255</f>
        <v>Vinni-Pajusti piirkond</v>
      </c>
      <c r="G234" t="str">
        <f>Koond_kulud!G255</f>
        <v>Korterite kommunaalmaksed</v>
      </c>
      <c r="H234">
        <f>Koond_kulud!H255</f>
        <v>21000</v>
      </c>
      <c r="I234">
        <f>Koond_kulud!I255</f>
        <v>0</v>
      </c>
      <c r="J234">
        <f>Koond_kulud!J255</f>
        <v>5511</v>
      </c>
      <c r="K234" t="str">
        <f>Koond_kulud!K255</f>
        <v>Kinnistute, hoonete ja ruumide majandamiskulud</v>
      </c>
      <c r="L234">
        <f>Koond_kulud!L255</f>
        <v>55</v>
      </c>
      <c r="M234" t="str">
        <f>Koond_kulud!M255</f>
        <v>55</v>
      </c>
      <c r="N234" t="str">
        <f>Koond_kulud!N255</f>
        <v>Muud tegevuskulud</v>
      </c>
      <c r="O234" t="str">
        <f>Koond_kulud!O255</f>
        <v>Majandamiskulud</v>
      </c>
      <c r="P234" t="str">
        <f>Koond_kulud!P255</f>
        <v>Põhitegevuse kulu</v>
      </c>
      <c r="Q234">
        <f>Koond_kulud!Q255</f>
        <v>0</v>
      </c>
    </row>
    <row r="235" spans="1:17" hidden="1" x14ac:dyDescent="0.25">
      <c r="A235" t="str">
        <f>Koond_kulud!A256</f>
        <v>06</v>
      </c>
      <c r="B235" t="str">
        <f>Koond_kulud!B256</f>
        <v>0660511</v>
      </c>
      <c r="C235" t="str">
        <f>Koond_kulud!C256</f>
        <v>Ulvi, Vinni-Pajusti teeninduspiirkond</v>
      </c>
      <c r="D235" t="str">
        <f>Koond_kulud!D256</f>
        <v>Muu elamu- ja kommunaalmajanduse tegevus</v>
      </c>
      <c r="E235" t="str">
        <f>Koond_kulud!E256</f>
        <v>Elamu- ja kommunaalmajandus</v>
      </c>
      <c r="F235" t="str">
        <f>Koond_kulud!F256</f>
        <v>Vinni-Pajusti piirkond</v>
      </c>
      <c r="G235" t="str">
        <f>Koond_kulud!G256</f>
        <v>valvekaameratega seotud kulud</v>
      </c>
      <c r="H235">
        <f>Koond_kulud!H256</f>
        <v>192</v>
      </c>
      <c r="I235" t="str">
        <f>Koond_kulud!I256</f>
        <v>Telia</v>
      </c>
      <c r="J235">
        <f>Koond_kulud!J256</f>
        <v>5511</v>
      </c>
      <c r="K235" t="str">
        <f>Koond_kulud!K256</f>
        <v>Kinnistute, hoonete ja ruumide majandamiskulud</v>
      </c>
      <c r="L235">
        <f>Koond_kulud!L256</f>
        <v>55</v>
      </c>
      <c r="M235" t="str">
        <f>Koond_kulud!M256</f>
        <v>55</v>
      </c>
      <c r="N235" t="str">
        <f>Koond_kulud!N256</f>
        <v>Muud tegevuskulud</v>
      </c>
      <c r="O235" t="str">
        <f>Koond_kulud!O256</f>
        <v>Majandamiskulud</v>
      </c>
      <c r="P235" t="str">
        <f>Koond_kulud!P256</f>
        <v>Põhitegevuse kulu</v>
      </c>
      <c r="Q235">
        <f>Koond_kulud!Q256</f>
        <v>0</v>
      </c>
    </row>
    <row r="236" spans="1:17" hidden="1" x14ac:dyDescent="0.25">
      <c r="A236" t="str">
        <f>Koond_kulud!A257</f>
        <v>06</v>
      </c>
      <c r="B236" t="str">
        <f>Koond_kulud!B257</f>
        <v>0660511</v>
      </c>
      <c r="C236" t="str">
        <f>Koond_kulud!C257</f>
        <v>Ulvi, Vinni-Pajusti teeninduspiirkond</v>
      </c>
      <c r="D236" t="str">
        <f>Koond_kulud!D257</f>
        <v>Muu elamu- ja kommunaalmajanduse tegevus</v>
      </c>
      <c r="E236" t="str">
        <f>Koond_kulud!E257</f>
        <v>Elamu- ja kommunaalmajandus</v>
      </c>
      <c r="F236" t="str">
        <f>Koond_kulud!F257</f>
        <v>Vinni-Pajusti piirkond</v>
      </c>
      <c r="G236" t="str">
        <f>Koond_kulud!G257</f>
        <v>Suuremad niitmised</v>
      </c>
      <c r="H236">
        <f>Koond_kulud!H257</f>
        <v>1600</v>
      </c>
      <c r="I236" t="str">
        <f>Koond_kulud!I257</f>
        <v>Tammikus OÜ</v>
      </c>
      <c r="J236">
        <f>Koond_kulud!J257</f>
        <v>5511</v>
      </c>
      <c r="K236" t="str">
        <f>Koond_kulud!K257</f>
        <v>Kinnistute, hoonete ja ruumide majandamiskulud</v>
      </c>
      <c r="L236">
        <f>Koond_kulud!L257</f>
        <v>55</v>
      </c>
      <c r="M236" t="str">
        <f>Koond_kulud!M257</f>
        <v>55</v>
      </c>
      <c r="N236" t="str">
        <f>Koond_kulud!N257</f>
        <v>Muud tegevuskulud</v>
      </c>
      <c r="O236" t="str">
        <f>Koond_kulud!O257</f>
        <v>Majandamiskulud</v>
      </c>
      <c r="P236" t="str">
        <f>Koond_kulud!P257</f>
        <v>Põhitegevuse kulu</v>
      </c>
      <c r="Q236">
        <f>Koond_kulud!Q257</f>
        <v>0</v>
      </c>
    </row>
    <row r="237" spans="1:17" hidden="1" x14ac:dyDescent="0.25">
      <c r="A237" t="str">
        <f>Koond_kulud!A258</f>
        <v>06</v>
      </c>
      <c r="B237" t="str">
        <f>Koond_kulud!B258</f>
        <v>0660511</v>
      </c>
      <c r="C237" t="str">
        <f>Koond_kulud!C258</f>
        <v>Ulvi, Vinni-Pajusti teeninduspiirkond</v>
      </c>
      <c r="D237" t="str">
        <f>Koond_kulud!D258</f>
        <v>Muu elamu- ja kommunaalmajanduse tegevus</v>
      </c>
      <c r="E237" t="str">
        <f>Koond_kulud!E258</f>
        <v>Elamu- ja kommunaalmajandus</v>
      </c>
      <c r="F237" t="str">
        <f>Koond_kulud!F258</f>
        <v>Vinni-Pajusti piirkond</v>
      </c>
      <c r="G237" t="str">
        <f>Koond_kulud!G258</f>
        <v>Prügikonteinerite rent</v>
      </c>
      <c r="H237">
        <f>Koond_kulud!H258</f>
        <v>97.199999999999989</v>
      </c>
      <c r="I237">
        <f>Koond_kulud!I258</f>
        <v>0</v>
      </c>
      <c r="J237">
        <f>Koond_kulud!J258</f>
        <v>5511</v>
      </c>
      <c r="K237" t="str">
        <f>Koond_kulud!K258</f>
        <v>Kinnistute, hoonete ja ruumide majandamiskulud</v>
      </c>
      <c r="L237">
        <f>Koond_kulud!L258</f>
        <v>55</v>
      </c>
      <c r="M237" t="str">
        <f>Koond_kulud!M258</f>
        <v>55</v>
      </c>
      <c r="N237" t="str">
        <f>Koond_kulud!N258</f>
        <v>Muud tegevuskulud</v>
      </c>
      <c r="O237" t="str">
        <f>Koond_kulud!O258</f>
        <v>Majandamiskulud</v>
      </c>
      <c r="P237" t="str">
        <f>Koond_kulud!P258</f>
        <v>Põhitegevuse kulu</v>
      </c>
      <c r="Q237">
        <f>Koond_kulud!Q258</f>
        <v>0</v>
      </c>
    </row>
    <row r="238" spans="1:17" hidden="1" x14ac:dyDescent="0.25">
      <c r="A238" t="str">
        <f>Koond_kulud!A259</f>
        <v>06</v>
      </c>
      <c r="B238" t="str">
        <f>Koond_kulud!B259</f>
        <v>0660511</v>
      </c>
      <c r="C238" t="str">
        <f>Koond_kulud!C259</f>
        <v>Ulvi, Vinni-Pajusti teeninduspiirkond</v>
      </c>
      <c r="D238" t="str">
        <f>Koond_kulud!D259</f>
        <v>Muu elamu- ja kommunaalmajanduse tegevus</v>
      </c>
      <c r="E238" t="str">
        <f>Koond_kulud!E259</f>
        <v>Elamu- ja kommunaalmajandus</v>
      </c>
      <c r="F238" t="str">
        <f>Koond_kulud!F259</f>
        <v>Vinni-Pajusti piirkond</v>
      </c>
      <c r="G238" t="str">
        <f>Koond_kulud!G259</f>
        <v>Prügivedu, konteinerite rent</v>
      </c>
      <c r="H238">
        <f>Koond_kulud!H259</f>
        <v>2200</v>
      </c>
      <c r="I238" t="str">
        <f>Koond_kulud!I259</f>
        <v>Jäätmekeskus</v>
      </c>
      <c r="J238">
        <f>Koond_kulud!J259</f>
        <v>5511</v>
      </c>
      <c r="K238" t="str">
        <f>Koond_kulud!K259</f>
        <v>Kinnistute, hoonete ja ruumide majandamiskulud</v>
      </c>
      <c r="L238">
        <f>Koond_kulud!L259</f>
        <v>55</v>
      </c>
      <c r="M238" t="str">
        <f>Koond_kulud!M259</f>
        <v>55</v>
      </c>
      <c r="N238" t="str">
        <f>Koond_kulud!N259</f>
        <v>Muud tegevuskulud</v>
      </c>
      <c r="O238" t="str">
        <f>Koond_kulud!O259</f>
        <v>Majandamiskulud</v>
      </c>
      <c r="P238" t="str">
        <f>Koond_kulud!P259</f>
        <v>Põhitegevuse kulu</v>
      </c>
      <c r="Q238">
        <f>Koond_kulud!Q259</f>
        <v>0</v>
      </c>
    </row>
    <row r="239" spans="1:17" hidden="1" x14ac:dyDescent="0.25">
      <c r="A239" t="str">
        <f>Koond_kulud!A260</f>
        <v>06</v>
      </c>
      <c r="B239" t="str">
        <f>Koond_kulud!B260</f>
        <v>0660511</v>
      </c>
      <c r="C239" t="str">
        <f>Koond_kulud!C260</f>
        <v>Ulvi, Vinni-Pajusti teeninduspiirkond</v>
      </c>
      <c r="D239" t="str">
        <f>Koond_kulud!D260</f>
        <v>Muu elamu- ja kommunaalmajanduse tegevus</v>
      </c>
      <c r="E239" t="str">
        <f>Koond_kulud!E260</f>
        <v>Elamu- ja kommunaalmajandus</v>
      </c>
      <c r="F239" t="str">
        <f>Koond_kulud!F260</f>
        <v>Vinni-Pajusti piirkond</v>
      </c>
      <c r="G239" t="str">
        <f>Koond_kulud!G260</f>
        <v>Elektri tarbimine</v>
      </c>
      <c r="H239">
        <f>Koond_kulud!H260</f>
        <v>9000</v>
      </c>
      <c r="I239">
        <f>Koond_kulud!I260</f>
        <v>0</v>
      </c>
      <c r="J239">
        <f>Koond_kulud!J260</f>
        <v>5511</v>
      </c>
      <c r="K239" t="str">
        <f>Koond_kulud!K260</f>
        <v>Kinnistute, hoonete ja ruumide majandamiskulud</v>
      </c>
      <c r="L239">
        <f>Koond_kulud!L260</f>
        <v>55</v>
      </c>
      <c r="M239" t="str">
        <f>Koond_kulud!M260</f>
        <v>55</v>
      </c>
      <c r="N239" t="str">
        <f>Koond_kulud!N260</f>
        <v>Muud tegevuskulud</v>
      </c>
      <c r="O239" t="str">
        <f>Koond_kulud!O260</f>
        <v>Majandamiskulud</v>
      </c>
      <c r="P239" t="str">
        <f>Koond_kulud!P260</f>
        <v>Põhitegevuse kulu</v>
      </c>
      <c r="Q239">
        <f>Koond_kulud!Q260</f>
        <v>0</v>
      </c>
    </row>
    <row r="240" spans="1:17" hidden="1" x14ac:dyDescent="0.25">
      <c r="A240" t="str">
        <f>Koond_kulud!A261</f>
        <v>06</v>
      </c>
      <c r="B240" t="str">
        <f>Koond_kulud!B261</f>
        <v>0660511</v>
      </c>
      <c r="C240" t="str">
        <f>Koond_kulud!C261</f>
        <v>Ulvi, Vinni-Pajusti teeninduspiirkond</v>
      </c>
      <c r="D240" t="str">
        <f>Koond_kulud!D261</f>
        <v>Muu elamu- ja kommunaalmajanduse tegevus</v>
      </c>
      <c r="E240" t="str">
        <f>Koond_kulud!E261</f>
        <v>Elamu- ja kommunaalmajandus</v>
      </c>
      <c r="F240" t="str">
        <f>Koond_kulud!F261</f>
        <v>Vinni-Pajusti piirkond</v>
      </c>
      <c r="G240" t="str">
        <f>Koond_kulud!G261</f>
        <v>Heakorra tööde tarbitav kütus</v>
      </c>
      <c r="H240">
        <f>Koond_kulud!H261</f>
        <v>4500</v>
      </c>
      <c r="I240">
        <f>Koond_kulud!I261</f>
        <v>0</v>
      </c>
      <c r="J240">
        <f>Koond_kulud!J261</f>
        <v>5511</v>
      </c>
      <c r="K240" t="str">
        <f>Koond_kulud!K261</f>
        <v>Kinnistute, hoonete ja ruumide majandamiskulud</v>
      </c>
      <c r="L240">
        <f>Koond_kulud!L261</f>
        <v>55</v>
      </c>
      <c r="M240" t="str">
        <f>Koond_kulud!M261</f>
        <v>55</v>
      </c>
      <c r="N240" t="str">
        <f>Koond_kulud!N261</f>
        <v>Muud tegevuskulud</v>
      </c>
      <c r="O240" t="str">
        <f>Koond_kulud!O261</f>
        <v>Majandamiskulud</v>
      </c>
      <c r="P240" t="str">
        <f>Koond_kulud!P261</f>
        <v>Põhitegevuse kulu</v>
      </c>
      <c r="Q240">
        <f>Koond_kulud!Q261</f>
        <v>0</v>
      </c>
    </row>
    <row r="241" spans="1:17" hidden="1" x14ac:dyDescent="0.25">
      <c r="A241" t="str">
        <f>Koond_kulud!A262</f>
        <v>06</v>
      </c>
      <c r="B241" t="str">
        <f>Koond_kulud!B262</f>
        <v>0660511</v>
      </c>
      <c r="C241" t="str">
        <f>Koond_kulud!C262</f>
        <v>Ulvi, Vinni-Pajusti teeninduspiirkond</v>
      </c>
      <c r="D241" t="str">
        <f>Koond_kulud!D262</f>
        <v>Muu elamu- ja kommunaalmajanduse tegevus</v>
      </c>
      <c r="E241" t="str">
        <f>Koond_kulud!E262</f>
        <v>Elamu- ja kommunaalmajandus</v>
      </c>
      <c r="F241" t="str">
        <f>Koond_kulud!F262</f>
        <v>Vinni-Pajusti piirkond</v>
      </c>
      <c r="G241" t="str">
        <f>Koond_kulud!G262</f>
        <v>Muud kinnistute ja hoonetega seotud kulud</v>
      </c>
      <c r="H241">
        <f>Koond_kulud!H262</f>
        <v>20000</v>
      </c>
      <c r="I241">
        <f>Koond_kulud!I262</f>
        <v>0</v>
      </c>
      <c r="J241">
        <f>Koond_kulud!J262</f>
        <v>5511</v>
      </c>
      <c r="K241" t="str">
        <f>Koond_kulud!K262</f>
        <v>Kinnistute, hoonete ja ruumide majandamiskulud</v>
      </c>
      <c r="L241">
        <f>Koond_kulud!L262</f>
        <v>55</v>
      </c>
      <c r="M241" t="str">
        <f>Koond_kulud!M262</f>
        <v>55</v>
      </c>
      <c r="N241" t="str">
        <f>Koond_kulud!N262</f>
        <v>Muud tegevuskulud</v>
      </c>
      <c r="O241" t="str">
        <f>Koond_kulud!O262</f>
        <v>Majandamiskulud</v>
      </c>
      <c r="P241" t="str">
        <f>Koond_kulud!P262</f>
        <v>Põhitegevuse kulu</v>
      </c>
      <c r="Q241">
        <f>Koond_kulud!Q262</f>
        <v>0</v>
      </c>
    </row>
    <row r="242" spans="1:17" hidden="1" x14ac:dyDescent="0.25">
      <c r="A242" t="str">
        <f>Koond_kulud!A263</f>
        <v>06</v>
      </c>
      <c r="B242" t="str">
        <f>Koond_kulud!B263</f>
        <v>0660511</v>
      </c>
      <c r="C242" t="str">
        <f>Koond_kulud!C263</f>
        <v>Ulvi, Vinni-Pajusti teeninduspiirkond</v>
      </c>
      <c r="D242" t="str">
        <f>Koond_kulud!D263</f>
        <v>Muu elamu- ja kommunaalmajanduse tegevus</v>
      </c>
      <c r="E242" t="str">
        <f>Koond_kulud!E263</f>
        <v>Elamu- ja kommunaalmajandus</v>
      </c>
      <c r="F242" t="str">
        <f>Koond_kulud!F263</f>
        <v>Vinni-Pajusti piirkond</v>
      </c>
      <c r="G242" t="str">
        <f>Koond_kulud!G263</f>
        <v>Pingid</v>
      </c>
      <c r="H242">
        <f>Koond_kulud!H263</f>
        <v>6000</v>
      </c>
      <c r="I242">
        <f>Koond_kulud!I263</f>
        <v>0</v>
      </c>
      <c r="J242">
        <f>Koond_kulud!J263</f>
        <v>5511</v>
      </c>
      <c r="K242" t="str">
        <f>Koond_kulud!K263</f>
        <v>Kinnistute, hoonete ja ruumide majandamiskulud</v>
      </c>
      <c r="L242">
        <f>Koond_kulud!L263</f>
        <v>55</v>
      </c>
      <c r="M242" t="str">
        <f>Koond_kulud!M263</f>
        <v>55</v>
      </c>
      <c r="N242" t="str">
        <f>Koond_kulud!N263</f>
        <v>Muud tegevuskulud</v>
      </c>
      <c r="O242" t="str">
        <f>Koond_kulud!O263</f>
        <v>Majandamiskulud</v>
      </c>
      <c r="P242" t="str">
        <f>Koond_kulud!P263</f>
        <v>Põhitegevuse kulu</v>
      </c>
      <c r="Q242">
        <f>Koond_kulud!Q263</f>
        <v>0</v>
      </c>
    </row>
    <row r="243" spans="1:17" hidden="1" x14ac:dyDescent="0.25">
      <c r="A243" t="str">
        <f>Koond_kulud!A264</f>
        <v>06</v>
      </c>
      <c r="B243" t="str">
        <f>Koond_kulud!B264</f>
        <v>0660511</v>
      </c>
      <c r="C243" t="str">
        <f>Koond_kulud!C264</f>
        <v>Ulvi, Vinni-Pajusti teeninduspiirkond</v>
      </c>
      <c r="D243" t="str">
        <f>Koond_kulud!D264</f>
        <v>Muu elamu- ja kommunaalmajanduse tegevus</v>
      </c>
      <c r="E243" t="str">
        <f>Koond_kulud!E264</f>
        <v>Elamu- ja kommunaalmajandus</v>
      </c>
      <c r="F243" t="str">
        <f>Koond_kulud!F264</f>
        <v>Arendusnõunik</v>
      </c>
      <c r="G243" t="str">
        <f>Koond_kulud!G264</f>
        <v>Vinni liiklusväljaku joonimine</v>
      </c>
      <c r="H243">
        <f>Koond_kulud!H264</f>
        <v>2000</v>
      </c>
      <c r="I243">
        <f>Koond_kulud!I264</f>
        <v>0</v>
      </c>
      <c r="J243">
        <f>Koond_kulud!J264</f>
        <v>5512</v>
      </c>
      <c r="K243" t="str">
        <f>Koond_kulud!K264</f>
        <v>Rajatiste majandamiskulud</v>
      </c>
      <c r="L243">
        <f>Koond_kulud!L264</f>
        <v>55</v>
      </c>
      <c r="M243" t="str">
        <f>Koond_kulud!M264</f>
        <v>55</v>
      </c>
      <c r="N243" t="str">
        <f>Koond_kulud!N264</f>
        <v>Muud tegevuskulud</v>
      </c>
      <c r="O243" t="str">
        <f>Koond_kulud!O264</f>
        <v>Majandamiskulud</v>
      </c>
      <c r="P243" t="str">
        <f>Koond_kulud!P264</f>
        <v>Põhitegevuse kulu</v>
      </c>
      <c r="Q243">
        <f>Koond_kulud!Q264</f>
        <v>0</v>
      </c>
    </row>
    <row r="244" spans="1:17" hidden="1" x14ac:dyDescent="0.25">
      <c r="A244" t="str">
        <f>Koond_kulud!A265</f>
        <v>06</v>
      </c>
      <c r="B244" t="str">
        <f>Koond_kulud!B265</f>
        <v>0660511</v>
      </c>
      <c r="C244" t="str">
        <f>Koond_kulud!C265</f>
        <v>Ulvi, Vinni-Pajusti teeninduspiirkond</v>
      </c>
      <c r="D244" t="str">
        <f>Koond_kulud!D265</f>
        <v>Muu elamu- ja kommunaalmajanduse tegevus</v>
      </c>
      <c r="E244" t="str">
        <f>Koond_kulud!E265</f>
        <v>Elamu- ja kommunaalmajandus</v>
      </c>
      <c r="F244" t="str">
        <f>Koond_kulud!F265</f>
        <v>Vinni-Pajusti piirkond</v>
      </c>
      <c r="G244" t="str">
        <f>Koond_kulud!G265</f>
        <v>sideteenused</v>
      </c>
      <c r="H244">
        <f>Koond_kulud!H265</f>
        <v>255.84</v>
      </c>
      <c r="I244">
        <f>Koond_kulud!I265</f>
        <v>0</v>
      </c>
      <c r="J244">
        <f>Koond_kulud!J265</f>
        <v>5500</v>
      </c>
      <c r="K244" t="str">
        <f>Koond_kulud!K265</f>
        <v>Administreerimiskulud</v>
      </c>
      <c r="L244">
        <f>Koond_kulud!L265</f>
        <v>55</v>
      </c>
      <c r="M244" t="str">
        <f>Koond_kulud!M265</f>
        <v>55</v>
      </c>
      <c r="N244" t="str">
        <f>Koond_kulud!N265</f>
        <v>Muud tegevuskulud</v>
      </c>
      <c r="O244" t="str">
        <f>Koond_kulud!O265</f>
        <v>Majandamiskulud</v>
      </c>
      <c r="P244" t="str">
        <f>Koond_kulud!P265</f>
        <v>Põhitegevuse kulu</v>
      </c>
      <c r="Q244">
        <f>Koond_kulud!Q265</f>
        <v>0</v>
      </c>
    </row>
    <row r="245" spans="1:17" hidden="1" x14ac:dyDescent="0.25">
      <c r="A245" t="str">
        <f>Koond_kulud!A266</f>
        <v>06</v>
      </c>
      <c r="B245" t="str">
        <f>Koond_kulud!B266</f>
        <v>0660511</v>
      </c>
      <c r="C245" t="str">
        <f>Koond_kulud!C266</f>
        <v>Ulvi, Vinni-Pajusti teeninduspiirkond</v>
      </c>
      <c r="D245" t="str">
        <f>Koond_kulud!D266</f>
        <v>Muu elamu- ja kommunaalmajanduse tegevus</v>
      </c>
      <c r="E245" t="str">
        <f>Koond_kulud!E266</f>
        <v>Elamu- ja kommunaalmajandus</v>
      </c>
      <c r="F245" t="str">
        <f>Koond_kulud!F266</f>
        <v>Vinni-Pajusti piirkond</v>
      </c>
      <c r="G245" t="str">
        <f>Koond_kulud!G266</f>
        <v>Isikliku sõiduauto komp.</v>
      </c>
      <c r="H245">
        <f>Koond_kulud!H266</f>
        <v>650</v>
      </c>
      <c r="I245" t="str">
        <f>Koond_kulud!I266</f>
        <v>abipolitseid</v>
      </c>
      <c r="J245">
        <f>Koond_kulud!J266</f>
        <v>5513</v>
      </c>
      <c r="K245" t="str">
        <f>Koond_kulud!K266</f>
        <v>Sõidukite ülalpidamise kulud</v>
      </c>
      <c r="L245">
        <f>Koond_kulud!L266</f>
        <v>55</v>
      </c>
      <c r="M245" t="str">
        <f>Koond_kulud!M266</f>
        <v>55</v>
      </c>
      <c r="N245" t="str">
        <f>Koond_kulud!N266</f>
        <v>Muud tegevuskulud</v>
      </c>
      <c r="O245" t="str">
        <f>Koond_kulud!O266</f>
        <v>Majandamiskulud</v>
      </c>
      <c r="P245" t="str">
        <f>Koond_kulud!P266</f>
        <v>Põhitegevuse kulu</v>
      </c>
      <c r="Q245">
        <f>Koond_kulud!Q266</f>
        <v>0</v>
      </c>
    </row>
    <row r="246" spans="1:17" hidden="1" x14ac:dyDescent="0.25">
      <c r="A246" t="str">
        <f>Koond_kulud!A267</f>
        <v>06</v>
      </c>
      <c r="B246" t="str">
        <f>Koond_kulud!B267</f>
        <v>0660511</v>
      </c>
      <c r="C246" t="str">
        <f>Koond_kulud!C267</f>
        <v>Ulvi, Vinni-Pajusti teeninduspiirkond</v>
      </c>
      <c r="D246" t="str">
        <f>Koond_kulud!D267</f>
        <v>Muu elamu- ja kommunaalmajanduse tegevus</v>
      </c>
      <c r="E246" t="str">
        <f>Koond_kulud!E267</f>
        <v>Elamu- ja kommunaalmajandus</v>
      </c>
      <c r="F246" t="str">
        <f>Koond_kulud!F267</f>
        <v>Vinni-Pajusti piirkond</v>
      </c>
      <c r="G246" t="str">
        <f>Koond_kulud!G267</f>
        <v>Haagiste, sõidukite kindlustused</v>
      </c>
      <c r="H246">
        <f>Koond_kulud!H267</f>
        <v>1670</v>
      </c>
      <c r="I246">
        <f>Koond_kulud!I267</f>
        <v>0</v>
      </c>
      <c r="J246">
        <f>Koond_kulud!J267</f>
        <v>5513</v>
      </c>
      <c r="K246" t="str">
        <f>Koond_kulud!K267</f>
        <v>Sõidukite ülalpidamise kulud</v>
      </c>
      <c r="L246">
        <f>Koond_kulud!L267</f>
        <v>55</v>
      </c>
      <c r="M246" t="str">
        <f>Koond_kulud!M267</f>
        <v>55</v>
      </c>
      <c r="N246" t="str">
        <f>Koond_kulud!N267</f>
        <v>Muud tegevuskulud</v>
      </c>
      <c r="O246" t="str">
        <f>Koond_kulud!O267</f>
        <v>Majandamiskulud</v>
      </c>
      <c r="P246" t="str">
        <f>Koond_kulud!P267</f>
        <v>Põhitegevuse kulu</v>
      </c>
      <c r="Q246">
        <f>Koond_kulud!Q267</f>
        <v>0</v>
      </c>
    </row>
    <row r="247" spans="1:17" hidden="1" x14ac:dyDescent="0.25">
      <c r="A247" t="str">
        <f>Koond_kulud!A268</f>
        <v>06</v>
      </c>
      <c r="B247" t="str">
        <f>Koond_kulud!B268</f>
        <v>0660511</v>
      </c>
      <c r="C247" t="str">
        <f>Koond_kulud!C268</f>
        <v>Ulvi, Vinni-Pajusti teeninduspiirkond</v>
      </c>
      <c r="D247" t="str">
        <f>Koond_kulud!D268</f>
        <v>Muu elamu- ja kommunaalmajanduse tegevus</v>
      </c>
      <c r="E247" t="str">
        <f>Koond_kulud!E268</f>
        <v>Elamu- ja kommunaalmajandus</v>
      </c>
      <c r="F247" t="str">
        <f>Koond_kulud!F268</f>
        <v>Vinni-Pajusti piirkond</v>
      </c>
      <c r="G247" t="str">
        <f>Koond_kulud!G268</f>
        <v>sõidupäeviku teenus</v>
      </c>
      <c r="H247">
        <f>Koond_kulud!H268</f>
        <v>1998</v>
      </c>
      <c r="I247">
        <f>Koond_kulud!I268</f>
        <v>0</v>
      </c>
      <c r="J247">
        <f>Koond_kulud!J268</f>
        <v>5513</v>
      </c>
      <c r="K247" t="str">
        <f>Koond_kulud!K268</f>
        <v>Sõidukite ülalpidamise kulud</v>
      </c>
      <c r="L247">
        <f>Koond_kulud!L268</f>
        <v>55</v>
      </c>
      <c r="M247" t="str">
        <f>Koond_kulud!M268</f>
        <v>55</v>
      </c>
      <c r="N247" t="str">
        <f>Koond_kulud!N268</f>
        <v>Muud tegevuskulud</v>
      </c>
      <c r="O247" t="str">
        <f>Koond_kulud!O268</f>
        <v>Majandamiskulud</v>
      </c>
      <c r="P247" t="str">
        <f>Koond_kulud!P268</f>
        <v>Põhitegevuse kulu</v>
      </c>
      <c r="Q247">
        <f>Koond_kulud!Q268</f>
        <v>0</v>
      </c>
    </row>
    <row r="248" spans="1:17" hidden="1" x14ac:dyDescent="0.25">
      <c r="A248" t="str">
        <f>Koond_kulud!A269</f>
        <v>06</v>
      </c>
      <c r="B248" t="str">
        <f>Koond_kulud!B269</f>
        <v>0660511</v>
      </c>
      <c r="C248" t="str">
        <f>Koond_kulud!C269</f>
        <v>Ulvi, Vinni-Pajusti teeninduspiirkond</v>
      </c>
      <c r="D248" t="str">
        <f>Koond_kulud!D269</f>
        <v>Muu elamu- ja kommunaalmajanduse tegevus</v>
      </c>
      <c r="E248" t="str">
        <f>Koond_kulud!E269</f>
        <v>Elamu- ja kommunaalmajandus</v>
      </c>
      <c r="F248" t="str">
        <f>Koond_kulud!F269</f>
        <v>Vinni-Pajusti piirkond</v>
      </c>
      <c r="G248" t="str">
        <f>Koond_kulud!G269</f>
        <v>ülevaatus</v>
      </c>
      <c r="H248">
        <f>Koond_kulud!H269</f>
        <v>210</v>
      </c>
      <c r="I248">
        <f>Koond_kulud!I269</f>
        <v>0</v>
      </c>
      <c r="J248">
        <f>Koond_kulud!J269</f>
        <v>5513</v>
      </c>
      <c r="K248" t="str">
        <f>Koond_kulud!K269</f>
        <v>Sõidukite ülalpidamise kulud</v>
      </c>
      <c r="L248">
        <f>Koond_kulud!L269</f>
        <v>55</v>
      </c>
      <c r="M248" t="str">
        <f>Koond_kulud!M269</f>
        <v>55</v>
      </c>
      <c r="N248" t="str">
        <f>Koond_kulud!N269</f>
        <v>Muud tegevuskulud</v>
      </c>
      <c r="O248" t="str">
        <f>Koond_kulud!O269</f>
        <v>Majandamiskulud</v>
      </c>
      <c r="P248" t="str">
        <f>Koond_kulud!P269</f>
        <v>Põhitegevuse kulu</v>
      </c>
      <c r="Q248">
        <f>Koond_kulud!Q269</f>
        <v>0</v>
      </c>
    </row>
    <row r="249" spans="1:17" hidden="1" x14ac:dyDescent="0.25">
      <c r="A249" t="str">
        <f>Koond_kulud!A270</f>
        <v>06</v>
      </c>
      <c r="B249" t="str">
        <f>Koond_kulud!B270</f>
        <v>0660511</v>
      </c>
      <c r="C249" t="str">
        <f>Koond_kulud!C270</f>
        <v>Ulvi, Vinni-Pajusti teeninduspiirkond</v>
      </c>
      <c r="D249" t="str">
        <f>Koond_kulud!D270</f>
        <v>Muu elamu- ja kommunaalmajanduse tegevus</v>
      </c>
      <c r="E249" t="str">
        <f>Koond_kulud!E270</f>
        <v>Elamu- ja kommunaalmajandus</v>
      </c>
      <c r="F249" t="str">
        <f>Koond_kulud!F270</f>
        <v>Vinni-Pajusti piirkond</v>
      </c>
      <c r="G249" t="str">
        <f>Koond_kulud!G270</f>
        <v>liising</v>
      </c>
      <c r="H249">
        <f>Koond_kulud!H270</f>
        <v>2607.2400000000002</v>
      </c>
      <c r="I249" t="str">
        <f>Koond_kulud!I270</f>
        <v>Silberauto</v>
      </c>
      <c r="J249">
        <f>Koond_kulud!J270</f>
        <v>5513</v>
      </c>
      <c r="K249" t="str">
        <f>Koond_kulud!K270</f>
        <v>Sõidukite ülalpidamise kulud</v>
      </c>
      <c r="L249">
        <f>Koond_kulud!L270</f>
        <v>55</v>
      </c>
      <c r="M249" t="str">
        <f>Koond_kulud!M270</f>
        <v>55</v>
      </c>
      <c r="N249" t="str">
        <f>Koond_kulud!N270</f>
        <v>Muud tegevuskulud</v>
      </c>
      <c r="O249" t="str">
        <f>Koond_kulud!O270</f>
        <v>Majandamiskulud</v>
      </c>
      <c r="P249" t="str">
        <f>Koond_kulud!P270</f>
        <v>Põhitegevuse kulu</v>
      </c>
      <c r="Q249">
        <f>Koond_kulud!Q270</f>
        <v>0</v>
      </c>
    </row>
    <row r="250" spans="1:17" hidden="1" x14ac:dyDescent="0.25">
      <c r="A250" t="str">
        <f>Koond_kulud!A271</f>
        <v>06</v>
      </c>
      <c r="B250" t="str">
        <f>Koond_kulud!B271</f>
        <v>0660511</v>
      </c>
      <c r="C250" t="str">
        <f>Koond_kulud!C271</f>
        <v>Ulvi, Vinni-Pajusti teeninduspiirkond</v>
      </c>
      <c r="D250" t="str">
        <f>Koond_kulud!D271</f>
        <v>Muu elamu- ja kommunaalmajanduse tegevus</v>
      </c>
      <c r="E250" t="str">
        <f>Koond_kulud!E271</f>
        <v>Elamu- ja kommunaalmajandus</v>
      </c>
      <c r="F250" t="str">
        <f>Koond_kulud!F271</f>
        <v>Vinni-Pajusti piirkond</v>
      </c>
      <c r="G250" t="str">
        <f>Koond_kulud!G271</f>
        <v>liisingauto remont</v>
      </c>
      <c r="H250">
        <f>Koond_kulud!H271</f>
        <v>1400</v>
      </c>
      <c r="I250" t="str">
        <f>Koond_kulud!I271</f>
        <v>Silberauto liisingauto remont</v>
      </c>
      <c r="J250">
        <f>Koond_kulud!J271</f>
        <v>5513</v>
      </c>
      <c r="K250" t="str">
        <f>Koond_kulud!K271</f>
        <v>Sõidukite ülalpidamise kulud</v>
      </c>
      <c r="L250">
        <f>Koond_kulud!L271</f>
        <v>55</v>
      </c>
      <c r="M250" t="str">
        <f>Koond_kulud!M271</f>
        <v>55</v>
      </c>
      <c r="N250" t="str">
        <f>Koond_kulud!N271</f>
        <v>Muud tegevuskulud</v>
      </c>
      <c r="O250" t="str">
        <f>Koond_kulud!O271</f>
        <v>Majandamiskulud</v>
      </c>
      <c r="P250" t="str">
        <f>Koond_kulud!P271</f>
        <v>Põhitegevuse kulu</v>
      </c>
      <c r="Q250">
        <f>Koond_kulud!Q271</f>
        <v>0</v>
      </c>
    </row>
    <row r="251" spans="1:17" hidden="1" x14ac:dyDescent="0.25">
      <c r="A251" t="str">
        <f>Koond_kulud!A272</f>
        <v>06</v>
      </c>
      <c r="B251" t="str">
        <f>Koond_kulud!B272</f>
        <v>0660511</v>
      </c>
      <c r="C251" t="str">
        <f>Koond_kulud!C272</f>
        <v>Ulvi, Vinni-Pajusti teeninduspiirkond</v>
      </c>
      <c r="D251" t="str">
        <f>Koond_kulud!D272</f>
        <v>Muu elamu- ja kommunaalmajanduse tegevus</v>
      </c>
      <c r="E251" t="str">
        <f>Koond_kulud!E272</f>
        <v>Elamu- ja kommunaalmajandus</v>
      </c>
      <c r="F251" t="str">
        <f>Koond_kulud!F272</f>
        <v>Vinni-Pajusti piirkond</v>
      </c>
      <c r="G251" t="str">
        <f>Koond_kulud!G272</f>
        <v>kütus</v>
      </c>
      <c r="H251">
        <f>Koond_kulud!H272</f>
        <v>13000</v>
      </c>
      <c r="I251">
        <f>Koond_kulud!I272</f>
        <v>0</v>
      </c>
      <c r="J251">
        <f>Koond_kulud!J272</f>
        <v>5513</v>
      </c>
      <c r="K251" t="str">
        <f>Koond_kulud!K272</f>
        <v>Sõidukite ülalpidamise kulud</v>
      </c>
      <c r="L251">
        <f>Koond_kulud!L272</f>
        <v>55</v>
      </c>
      <c r="M251" t="str">
        <f>Koond_kulud!M272</f>
        <v>55</v>
      </c>
      <c r="N251" t="str">
        <f>Koond_kulud!N272</f>
        <v>Muud tegevuskulud</v>
      </c>
      <c r="O251" t="str">
        <f>Koond_kulud!O272</f>
        <v>Majandamiskulud</v>
      </c>
      <c r="P251" t="str">
        <f>Koond_kulud!P272</f>
        <v>Põhitegevuse kulu</v>
      </c>
      <c r="Q251">
        <f>Koond_kulud!Q272</f>
        <v>0</v>
      </c>
    </row>
    <row r="252" spans="1:17" hidden="1" x14ac:dyDescent="0.25">
      <c r="A252" t="str">
        <f>Koond_kulud!A273</f>
        <v>06</v>
      </c>
      <c r="B252" t="str">
        <f>Koond_kulud!B273</f>
        <v>0660511</v>
      </c>
      <c r="C252" t="str">
        <f>Koond_kulud!C273</f>
        <v>Ulvi, Vinni-Pajusti teeninduspiirkond</v>
      </c>
      <c r="D252" t="str">
        <f>Koond_kulud!D273</f>
        <v>Muu elamu- ja kommunaalmajanduse tegevus</v>
      </c>
      <c r="E252" t="str">
        <f>Koond_kulud!E273</f>
        <v>Elamu- ja kommunaalmajandus</v>
      </c>
      <c r="F252" t="str">
        <f>Koond_kulud!F273</f>
        <v>Vinni-Pajusti piirkond</v>
      </c>
      <c r="G252" t="str">
        <f>Koond_kulud!G273</f>
        <v>sõidukite remondi jms kulud</v>
      </c>
      <c r="H252">
        <f>Koond_kulud!H273</f>
        <v>3000</v>
      </c>
      <c r="I252">
        <f>Koond_kulud!I273</f>
        <v>0</v>
      </c>
      <c r="J252">
        <f>Koond_kulud!J273</f>
        <v>5513</v>
      </c>
      <c r="K252" t="str">
        <f>Koond_kulud!K273</f>
        <v>Sõidukite ülalpidamise kulud</v>
      </c>
      <c r="L252">
        <f>Koond_kulud!L273</f>
        <v>55</v>
      </c>
      <c r="M252" t="str">
        <f>Koond_kulud!M273</f>
        <v>55</v>
      </c>
      <c r="N252" t="str">
        <f>Koond_kulud!N273</f>
        <v>Muud tegevuskulud</v>
      </c>
      <c r="O252" t="str">
        <f>Koond_kulud!O273</f>
        <v>Majandamiskulud</v>
      </c>
      <c r="P252" t="str">
        <f>Koond_kulud!P273</f>
        <v>Põhitegevuse kulu</v>
      </c>
      <c r="Q252">
        <f>Koond_kulud!Q273</f>
        <v>0</v>
      </c>
    </row>
    <row r="253" spans="1:17" hidden="1" x14ac:dyDescent="0.25">
      <c r="A253" t="str">
        <f>Koond_kulud!A274</f>
        <v>06</v>
      </c>
      <c r="B253" t="str">
        <f>Koond_kulud!B274</f>
        <v>0660511</v>
      </c>
      <c r="C253" t="str">
        <f>Koond_kulud!C274</f>
        <v>Ulvi, Vinni-Pajusti teeninduspiirkond</v>
      </c>
      <c r="D253" t="str">
        <f>Koond_kulud!D274</f>
        <v>Muu elamu- ja kommunaalmajanduse tegevus</v>
      </c>
      <c r="E253" t="str">
        <f>Koond_kulud!E274</f>
        <v>Elamu- ja kommunaalmajandus</v>
      </c>
      <c r="F253" t="str">
        <f>Koond_kulud!F274</f>
        <v>Vinni-Pajusti piirkond</v>
      </c>
      <c r="G253" t="str">
        <f>Koond_kulud!G274</f>
        <v>muud sõidukitega seotud kulud</v>
      </c>
      <c r="H253">
        <f>Koond_kulud!H274</f>
        <v>4000</v>
      </c>
      <c r="I253">
        <f>Koond_kulud!I274</f>
        <v>0</v>
      </c>
      <c r="J253">
        <f>Koond_kulud!J274</f>
        <v>5513</v>
      </c>
      <c r="K253" t="str">
        <f>Koond_kulud!K274</f>
        <v>Sõidukite ülalpidamise kulud</v>
      </c>
      <c r="L253">
        <f>Koond_kulud!L274</f>
        <v>55</v>
      </c>
      <c r="M253" t="str">
        <f>Koond_kulud!M274</f>
        <v>55</v>
      </c>
      <c r="N253" t="str">
        <f>Koond_kulud!N274</f>
        <v>Muud tegevuskulud</v>
      </c>
      <c r="O253" t="str">
        <f>Koond_kulud!O274</f>
        <v>Majandamiskulud</v>
      </c>
      <c r="P253" t="str">
        <f>Koond_kulud!P274</f>
        <v>Põhitegevuse kulu</v>
      </c>
      <c r="Q253">
        <f>Koond_kulud!Q274</f>
        <v>0</v>
      </c>
    </row>
    <row r="254" spans="1:17" hidden="1" x14ac:dyDescent="0.25">
      <c r="A254" t="str">
        <f>Koond_kulud!A275</f>
        <v>06</v>
      </c>
      <c r="B254" t="str">
        <f>Koond_kulud!B275</f>
        <v>0660511</v>
      </c>
      <c r="C254" t="str">
        <f>Koond_kulud!C275</f>
        <v>Ulvi, Vinni-Pajusti teeninduspiirkond</v>
      </c>
      <c r="D254" t="str">
        <f>Koond_kulud!D275</f>
        <v>Muu elamu- ja kommunaalmajanduse tegevus</v>
      </c>
      <c r="E254" t="str">
        <f>Koond_kulud!E275</f>
        <v>Elamu- ja kommunaalmajandus</v>
      </c>
      <c r="F254" t="str">
        <f>Koond_kulud!F275</f>
        <v>Vinni-Pajusti piirkond</v>
      </c>
      <c r="G254" t="str">
        <f>Koond_kulud!G275</f>
        <v>Tööriistad</v>
      </c>
      <c r="H254">
        <f>Koond_kulud!H275</f>
        <v>6000</v>
      </c>
      <c r="I254">
        <f>Koond_kulud!I275</f>
        <v>0</v>
      </c>
      <c r="J254">
        <f>Koond_kulud!J275</f>
        <v>5515</v>
      </c>
      <c r="K254" t="str">
        <f>Koond_kulud!K275</f>
        <v>Inventari kulud, v.a infotehnoloogia ja kaitseotstarbelised kulud</v>
      </c>
      <c r="L254">
        <f>Koond_kulud!L275</f>
        <v>55</v>
      </c>
      <c r="M254" t="str">
        <f>Koond_kulud!M275</f>
        <v>55</v>
      </c>
      <c r="N254" t="str">
        <f>Koond_kulud!N275</f>
        <v>Muud tegevuskulud</v>
      </c>
      <c r="O254" t="str">
        <f>Koond_kulud!O275</f>
        <v>Majandamiskulud</v>
      </c>
      <c r="P254" t="str">
        <f>Koond_kulud!P275</f>
        <v>Põhitegevuse kulu</v>
      </c>
      <c r="Q254">
        <f>Koond_kulud!Q275</f>
        <v>0</v>
      </c>
    </row>
    <row r="255" spans="1:17" hidden="1" x14ac:dyDescent="0.25">
      <c r="A255" t="str">
        <f>Koond_kulud!A276</f>
        <v>06</v>
      </c>
      <c r="B255" t="str">
        <f>Koond_kulud!B276</f>
        <v xml:space="preserve">0660507         </v>
      </c>
      <c r="C255" t="str">
        <f>Koond_kulud!C276</f>
        <v xml:space="preserve"> Saunad</v>
      </c>
      <c r="D255" t="str">
        <f>Koond_kulud!D276</f>
        <v>Muu elamu- ja kommunaalmajanduse tegevus</v>
      </c>
      <c r="E255" t="str">
        <f>Koond_kulud!E276</f>
        <v>Elamu- ja kommunaalmajandus</v>
      </c>
      <c r="F255" t="str">
        <f>Koond_kulud!F276</f>
        <v>Viru-Jaagupi piirkonna juht</v>
      </c>
      <c r="G255" t="str">
        <f>Koond_kulud!G276</f>
        <v>Küttepuud</v>
      </c>
      <c r="H255">
        <f>Koond_kulud!H276</f>
        <v>8600</v>
      </c>
      <c r="I255">
        <f>Koond_kulud!I276</f>
        <v>0</v>
      </c>
      <c r="J255">
        <f>Koond_kulud!J276</f>
        <v>5511</v>
      </c>
      <c r="K255" t="str">
        <f>Koond_kulud!K276</f>
        <v>Kinnistute, hoonete ja ruumide majandamiskulud</v>
      </c>
      <c r="L255">
        <f>Koond_kulud!L276</f>
        <v>55</v>
      </c>
      <c r="M255" t="str">
        <f>Koond_kulud!M276</f>
        <v>55</v>
      </c>
      <c r="N255" t="str">
        <f>Koond_kulud!N276</f>
        <v>Muud tegevuskulud</v>
      </c>
      <c r="O255" t="str">
        <f>Koond_kulud!O276</f>
        <v>Majandamiskulud</v>
      </c>
      <c r="P255" t="str">
        <f>Koond_kulud!P276</f>
        <v>Põhitegevuse kulu</v>
      </c>
      <c r="Q255">
        <f>Koond_kulud!Q276</f>
        <v>0</v>
      </c>
    </row>
    <row r="256" spans="1:17" hidden="1" x14ac:dyDescent="0.25">
      <c r="A256" t="str">
        <f>Koond_kulud!A277</f>
        <v>06</v>
      </c>
      <c r="B256" t="str">
        <f>Koond_kulud!B277</f>
        <v xml:space="preserve">0660507         </v>
      </c>
      <c r="C256" t="str">
        <f>Koond_kulud!C277</f>
        <v xml:space="preserve"> Saunad</v>
      </c>
      <c r="D256" t="str">
        <f>Koond_kulud!D277</f>
        <v>Muu elamu- ja kommunaalmajanduse tegevus</v>
      </c>
      <c r="E256" t="str">
        <f>Koond_kulud!E277</f>
        <v>Elamu- ja kommunaalmajandus</v>
      </c>
      <c r="F256" t="str">
        <f>Koond_kulud!F277</f>
        <v>Viru-Jaagupi piirkonna juht</v>
      </c>
      <c r="G256" t="str">
        <f>Koond_kulud!G277</f>
        <v>Prügivedu</v>
      </c>
      <c r="H256">
        <f>Koond_kulud!H277</f>
        <v>35</v>
      </c>
      <c r="I256">
        <f>Koond_kulud!I277</f>
        <v>0</v>
      </c>
      <c r="J256">
        <f>Koond_kulud!J277</f>
        <v>5511</v>
      </c>
      <c r="K256" t="str">
        <f>Koond_kulud!K277</f>
        <v>Kinnistute, hoonete ja ruumide majandamiskulud</v>
      </c>
      <c r="L256">
        <f>Koond_kulud!L277</f>
        <v>55</v>
      </c>
      <c r="M256" t="str">
        <f>Koond_kulud!M277</f>
        <v>55</v>
      </c>
      <c r="N256" t="str">
        <f>Koond_kulud!N277</f>
        <v>Muud tegevuskulud</v>
      </c>
      <c r="O256" t="str">
        <f>Koond_kulud!O277</f>
        <v>Majandamiskulud</v>
      </c>
      <c r="P256" t="str">
        <f>Koond_kulud!P277</f>
        <v>Põhitegevuse kulu</v>
      </c>
      <c r="Q256">
        <f>Koond_kulud!Q277</f>
        <v>0</v>
      </c>
    </row>
    <row r="257" spans="1:17" hidden="1" x14ac:dyDescent="0.25">
      <c r="A257" t="str">
        <f>Koond_kulud!A278</f>
        <v>06</v>
      </c>
      <c r="B257" t="str">
        <f>Koond_kulud!B278</f>
        <v xml:space="preserve">0660507         </v>
      </c>
      <c r="C257" t="str">
        <f>Koond_kulud!C278</f>
        <v xml:space="preserve"> Saunad</v>
      </c>
      <c r="D257" t="str">
        <f>Koond_kulud!D278</f>
        <v>Muu elamu- ja kommunaalmajanduse tegevus</v>
      </c>
      <c r="E257" t="str">
        <f>Koond_kulud!E278</f>
        <v>Elamu- ja kommunaalmajandus</v>
      </c>
      <c r="F257" t="str">
        <f>Koond_kulud!F278</f>
        <v>Viru-Jaagupi piirkonna juht</v>
      </c>
      <c r="G257" t="str">
        <f>Koond_kulud!G278</f>
        <v>Vesi- ja kanalisatsioon</v>
      </c>
      <c r="H257">
        <f>Koond_kulud!H278</f>
        <v>800</v>
      </c>
      <c r="I257">
        <f>Koond_kulud!I278</f>
        <v>0</v>
      </c>
      <c r="J257">
        <f>Koond_kulud!J278</f>
        <v>5511</v>
      </c>
      <c r="K257" t="str">
        <f>Koond_kulud!K278</f>
        <v>Kinnistute, hoonete ja ruumide majandamiskulud</v>
      </c>
      <c r="L257">
        <f>Koond_kulud!L278</f>
        <v>55</v>
      </c>
      <c r="M257" t="str">
        <f>Koond_kulud!M278</f>
        <v>55</v>
      </c>
      <c r="N257" t="str">
        <f>Koond_kulud!N278</f>
        <v>Muud tegevuskulud</v>
      </c>
      <c r="O257" t="str">
        <f>Koond_kulud!O278</f>
        <v>Majandamiskulud</v>
      </c>
      <c r="P257" t="str">
        <f>Koond_kulud!P278</f>
        <v>Põhitegevuse kulu</v>
      </c>
      <c r="Q257">
        <f>Koond_kulud!Q278</f>
        <v>0</v>
      </c>
    </row>
    <row r="258" spans="1:17" hidden="1" x14ac:dyDescent="0.25">
      <c r="A258" t="str">
        <f>Koond_kulud!A279</f>
        <v>06</v>
      </c>
      <c r="B258" t="str">
        <f>Koond_kulud!B279</f>
        <v xml:space="preserve">0660507         </v>
      </c>
      <c r="C258" t="str">
        <f>Koond_kulud!C279</f>
        <v xml:space="preserve"> Saunad</v>
      </c>
      <c r="D258" t="str">
        <f>Koond_kulud!D279</f>
        <v>Muu elamu- ja kommunaalmajanduse tegevus</v>
      </c>
      <c r="E258" t="str">
        <f>Koond_kulud!E279</f>
        <v>Elamu- ja kommunaalmajandus</v>
      </c>
      <c r="F258" t="str">
        <f>Koond_kulud!F279</f>
        <v>Viru-Jaagupi piirkonna juht</v>
      </c>
      <c r="G258" t="str">
        <f>Koond_kulud!G279</f>
        <v>Elekter</v>
      </c>
      <c r="H258">
        <f>Koond_kulud!H279</f>
        <v>1700</v>
      </c>
      <c r="I258">
        <f>Koond_kulud!I279</f>
        <v>0</v>
      </c>
      <c r="J258">
        <f>Koond_kulud!J279</f>
        <v>5511</v>
      </c>
      <c r="K258" t="str">
        <f>Koond_kulud!K279</f>
        <v>Kinnistute, hoonete ja ruumide majandamiskulud</v>
      </c>
      <c r="L258">
        <f>Koond_kulud!L279</f>
        <v>55</v>
      </c>
      <c r="M258" t="str">
        <f>Koond_kulud!M279</f>
        <v>55</v>
      </c>
      <c r="N258" t="str">
        <f>Koond_kulud!N279</f>
        <v>Muud tegevuskulud</v>
      </c>
      <c r="O258" t="str">
        <f>Koond_kulud!O279</f>
        <v>Majandamiskulud</v>
      </c>
      <c r="P258" t="str">
        <f>Koond_kulud!P279</f>
        <v>Põhitegevuse kulu</v>
      </c>
      <c r="Q258">
        <f>Koond_kulud!Q279</f>
        <v>0</v>
      </c>
    </row>
    <row r="259" spans="1:17" hidden="1" x14ac:dyDescent="0.25">
      <c r="A259" t="str">
        <f>Koond_kulud!A280</f>
        <v>06</v>
      </c>
      <c r="B259" t="str">
        <f>Koond_kulud!B280</f>
        <v xml:space="preserve">0660507         </v>
      </c>
      <c r="C259" t="str">
        <f>Koond_kulud!C280</f>
        <v xml:space="preserve"> Saunad</v>
      </c>
      <c r="D259" t="str">
        <f>Koond_kulud!D280</f>
        <v>Muu elamu- ja kommunaalmajanduse tegevus</v>
      </c>
      <c r="E259" t="str">
        <f>Koond_kulud!E280</f>
        <v>Elamu- ja kommunaalmajandus</v>
      </c>
      <c r="F259" t="str">
        <f>Koond_kulud!F280</f>
        <v>Viru-Jaagupi piirkonna juht</v>
      </c>
      <c r="G259" t="str">
        <f>Koond_kulud!G280</f>
        <v>Pisiremonttööd</v>
      </c>
      <c r="H259">
        <f>Koond_kulud!H280</f>
        <v>4500</v>
      </c>
      <c r="I259">
        <f>Koond_kulud!I280</f>
        <v>0</v>
      </c>
      <c r="J259">
        <f>Koond_kulud!J280</f>
        <v>5511</v>
      </c>
      <c r="K259" t="str">
        <f>Koond_kulud!K280</f>
        <v>Kinnistute, hoonete ja ruumide majandamiskulud</v>
      </c>
      <c r="L259">
        <f>Koond_kulud!L280</f>
        <v>55</v>
      </c>
      <c r="M259" t="str">
        <f>Koond_kulud!M280</f>
        <v>55</v>
      </c>
      <c r="N259" t="str">
        <f>Koond_kulud!N280</f>
        <v>Muud tegevuskulud</v>
      </c>
      <c r="O259" t="str">
        <f>Koond_kulud!O280</f>
        <v>Majandamiskulud</v>
      </c>
      <c r="P259" t="str">
        <f>Koond_kulud!P280</f>
        <v>Põhitegevuse kulu</v>
      </c>
      <c r="Q259">
        <f>Koond_kulud!Q280</f>
        <v>0</v>
      </c>
    </row>
    <row r="260" spans="1:17" hidden="1" x14ac:dyDescent="0.25">
      <c r="A260" t="str">
        <f>Koond_kulud!A281</f>
        <v>06</v>
      </c>
      <c r="B260" t="str">
        <f>Koond_kulud!B281</f>
        <v xml:space="preserve">0660507         </v>
      </c>
      <c r="C260" t="str">
        <f>Koond_kulud!C281</f>
        <v xml:space="preserve"> Saunad</v>
      </c>
      <c r="D260" t="str">
        <f>Koond_kulud!D281</f>
        <v>Muu elamu- ja kommunaalmajanduse tegevus</v>
      </c>
      <c r="E260" t="str">
        <f>Koond_kulud!E281</f>
        <v>Elamu- ja kommunaalmajandus</v>
      </c>
      <c r="F260" t="str">
        <f>Koond_kulud!F281</f>
        <v>Viru-Jaagupi piirkonna juht</v>
      </c>
      <c r="G260" t="str">
        <f>Koond_kulud!G281</f>
        <v>Korrashoiuvahendid</v>
      </c>
      <c r="H260">
        <f>Koond_kulud!H281</f>
        <v>600</v>
      </c>
      <c r="I260">
        <f>Koond_kulud!I281</f>
        <v>0</v>
      </c>
      <c r="J260">
        <f>Koond_kulud!J281</f>
        <v>5511</v>
      </c>
      <c r="K260" t="str">
        <f>Koond_kulud!K281</f>
        <v>Kinnistute, hoonete ja ruumide majandamiskulud</v>
      </c>
      <c r="L260">
        <f>Koond_kulud!L281</f>
        <v>55</v>
      </c>
      <c r="M260" t="str">
        <f>Koond_kulud!M281</f>
        <v>55</v>
      </c>
      <c r="N260" t="str">
        <f>Koond_kulud!N281</f>
        <v>Muud tegevuskulud</v>
      </c>
      <c r="O260" t="str">
        <f>Koond_kulud!O281</f>
        <v>Majandamiskulud</v>
      </c>
      <c r="P260" t="str">
        <f>Koond_kulud!P281</f>
        <v>Põhitegevuse kulu</v>
      </c>
      <c r="Q260">
        <f>Koond_kulud!Q281</f>
        <v>0</v>
      </c>
    </row>
    <row r="261" spans="1:17" hidden="1" x14ac:dyDescent="0.25">
      <c r="A261" t="str">
        <f>Koond_kulud!A282</f>
        <v>06</v>
      </c>
      <c r="B261" t="str">
        <f>Koond_kulud!B282</f>
        <v xml:space="preserve">0660507         </v>
      </c>
      <c r="C261" t="str">
        <f>Koond_kulud!C282</f>
        <v xml:space="preserve"> Saunad</v>
      </c>
      <c r="D261" t="str">
        <f>Koond_kulud!D282</f>
        <v>Muu elamu- ja kommunaalmajanduse tegevus</v>
      </c>
      <c r="E261" t="str">
        <f>Koond_kulud!E282</f>
        <v>Elamu- ja kommunaalmajandus</v>
      </c>
      <c r="F261" t="str">
        <f>Koond_kulud!F282</f>
        <v>Viru-Jaagupi piirkonna juht</v>
      </c>
      <c r="G261" t="str">
        <f>Koond_kulud!G282</f>
        <v>Korstnapühkimisteenus</v>
      </c>
      <c r="H261">
        <f>Koond_kulud!H282</f>
        <v>225</v>
      </c>
      <c r="I261">
        <f>Koond_kulud!I282</f>
        <v>0</v>
      </c>
      <c r="J261">
        <f>Koond_kulud!J282</f>
        <v>5511</v>
      </c>
      <c r="K261" t="str">
        <f>Koond_kulud!K282</f>
        <v>Kinnistute, hoonete ja ruumide majandamiskulud</v>
      </c>
      <c r="L261">
        <f>Koond_kulud!L282</f>
        <v>55</v>
      </c>
      <c r="M261" t="str">
        <f>Koond_kulud!M282</f>
        <v>55</v>
      </c>
      <c r="N261" t="str">
        <f>Koond_kulud!N282</f>
        <v>Muud tegevuskulud</v>
      </c>
      <c r="O261" t="str">
        <f>Koond_kulud!O282</f>
        <v>Majandamiskulud</v>
      </c>
      <c r="P261" t="str">
        <f>Koond_kulud!P282</f>
        <v>Põhitegevuse kulu</v>
      </c>
      <c r="Q261">
        <f>Koond_kulud!Q282</f>
        <v>0</v>
      </c>
    </row>
    <row r="262" spans="1:17" hidden="1" x14ac:dyDescent="0.25">
      <c r="A262" t="str">
        <f>Koond_kulud!A283</f>
        <v>06</v>
      </c>
      <c r="B262" t="str">
        <f>Koond_kulud!B283</f>
        <v xml:space="preserve">0660508         </v>
      </c>
      <c r="C262" t="str">
        <f>Koond_kulud!C283</f>
        <v xml:space="preserve"> Kalmistud</v>
      </c>
      <c r="D262" t="str">
        <f>Koond_kulud!D283</f>
        <v>Muu elamu- ja kommunaalmajanduse tegevus</v>
      </c>
      <c r="E262" t="str">
        <f>Koond_kulud!E283</f>
        <v>Elamu- ja kommunaalmajandus</v>
      </c>
      <c r="F262" t="str">
        <f>Koond_kulud!F283</f>
        <v>Viru-Jaagupi piirkonna juht</v>
      </c>
      <c r="G262" t="str">
        <f>Koond_kulud!G283</f>
        <v>Välikäimlad</v>
      </c>
      <c r="H262">
        <f>Koond_kulud!H283</f>
        <v>624</v>
      </c>
      <c r="I262" t="str">
        <f>Koond_kulud!I283</f>
        <v>Viru-Jaagupi</v>
      </c>
      <c r="J262">
        <f>Koond_kulud!J283</f>
        <v>5511</v>
      </c>
      <c r="K262" t="str">
        <f>Koond_kulud!K283</f>
        <v>Kinnistute, hoonete ja ruumide majandamiskulud</v>
      </c>
      <c r="L262">
        <f>Koond_kulud!L283</f>
        <v>55</v>
      </c>
      <c r="M262" t="str">
        <f>Koond_kulud!M283</f>
        <v>55</v>
      </c>
      <c r="N262" t="str">
        <f>Koond_kulud!N283</f>
        <v>Muud tegevuskulud</v>
      </c>
      <c r="O262" t="str">
        <f>Koond_kulud!O283</f>
        <v>Majandamiskulud</v>
      </c>
      <c r="P262" t="str">
        <f>Koond_kulud!P283</f>
        <v>Põhitegevuse kulu</v>
      </c>
      <c r="Q262">
        <f>Koond_kulud!Q283</f>
        <v>0</v>
      </c>
    </row>
    <row r="263" spans="1:17" hidden="1" x14ac:dyDescent="0.25">
      <c r="A263" t="str">
        <f>Koond_kulud!A284</f>
        <v>06</v>
      </c>
      <c r="B263" t="str">
        <f>Koond_kulud!B284</f>
        <v xml:space="preserve">0660508         </v>
      </c>
      <c r="C263" t="str">
        <f>Koond_kulud!C284</f>
        <v xml:space="preserve"> Kalmistud</v>
      </c>
      <c r="D263" t="str">
        <f>Koond_kulud!D284</f>
        <v>Muu elamu- ja kommunaalmajanduse tegevus</v>
      </c>
      <c r="E263" t="str">
        <f>Koond_kulud!E284</f>
        <v>Elamu- ja kommunaalmajandus</v>
      </c>
      <c r="F263" t="str">
        <f>Koond_kulud!F284</f>
        <v>Viru-Jaagupi piirkonna juht</v>
      </c>
      <c r="G263" t="str">
        <f>Koond_kulud!G284</f>
        <v>Prügivedu</v>
      </c>
      <c r="H263">
        <f>Koond_kulud!H284</f>
        <v>3000</v>
      </c>
      <c r="I263">
        <f>Koond_kulud!I284</f>
        <v>0</v>
      </c>
      <c r="J263">
        <f>Koond_kulud!J284</f>
        <v>5511</v>
      </c>
      <c r="K263" t="str">
        <f>Koond_kulud!K284</f>
        <v>Kinnistute, hoonete ja ruumide majandamiskulud</v>
      </c>
      <c r="L263">
        <f>Koond_kulud!L284</f>
        <v>55</v>
      </c>
      <c r="M263" t="str">
        <f>Koond_kulud!M284</f>
        <v>55</v>
      </c>
      <c r="N263" t="str">
        <f>Koond_kulud!N284</f>
        <v>Muud tegevuskulud</v>
      </c>
      <c r="O263" t="str">
        <f>Koond_kulud!O284</f>
        <v>Majandamiskulud</v>
      </c>
      <c r="P263" t="str">
        <f>Koond_kulud!P284</f>
        <v>Põhitegevuse kulu</v>
      </c>
      <c r="Q263">
        <f>Koond_kulud!Q284</f>
        <v>0</v>
      </c>
    </row>
    <row r="264" spans="1:17" hidden="1" x14ac:dyDescent="0.25">
      <c r="A264" t="str">
        <f>Koond_kulud!A285</f>
        <v>06</v>
      </c>
      <c r="B264" t="str">
        <f>Koond_kulud!B285</f>
        <v xml:space="preserve">0660508         </v>
      </c>
      <c r="C264" t="str">
        <f>Koond_kulud!C285</f>
        <v xml:space="preserve"> Kalmistud</v>
      </c>
      <c r="D264" t="str">
        <f>Koond_kulud!D285</f>
        <v>Muu elamu- ja kommunaalmajanduse tegevus</v>
      </c>
      <c r="E264" t="str">
        <f>Koond_kulud!E285</f>
        <v>Elamu- ja kommunaalmajandus</v>
      </c>
      <c r="F264" t="str">
        <f>Koond_kulud!F285</f>
        <v>Viru-Jaagupi piirkonna juht</v>
      </c>
      <c r="G264" t="str">
        <f>Koond_kulud!G285</f>
        <v>Konteineri rent</v>
      </c>
      <c r="H264">
        <f>Koond_kulud!H285</f>
        <v>411</v>
      </c>
      <c r="I264" t="str">
        <f>Koond_kulud!I285</f>
        <v>Tudu 2 konteinerit (Ragn Sells, Jäätmekeskus)</v>
      </c>
      <c r="J264">
        <f>Koond_kulud!J285</f>
        <v>5511</v>
      </c>
      <c r="K264" t="str">
        <f>Koond_kulud!K285</f>
        <v>Kinnistute, hoonete ja ruumide majandamiskulud</v>
      </c>
      <c r="L264">
        <f>Koond_kulud!L285</f>
        <v>55</v>
      </c>
      <c r="M264" t="str">
        <f>Koond_kulud!M285</f>
        <v>55</v>
      </c>
      <c r="N264" t="str">
        <f>Koond_kulud!N285</f>
        <v>Muud tegevuskulud</v>
      </c>
      <c r="O264" t="str">
        <f>Koond_kulud!O285</f>
        <v>Majandamiskulud</v>
      </c>
      <c r="P264" t="str">
        <f>Koond_kulud!P285</f>
        <v>Põhitegevuse kulu</v>
      </c>
      <c r="Q264">
        <f>Koond_kulud!Q285</f>
        <v>0</v>
      </c>
    </row>
    <row r="265" spans="1:17" hidden="1" x14ac:dyDescent="0.25">
      <c r="A265" t="str">
        <f>Koond_kulud!A286</f>
        <v>06</v>
      </c>
      <c r="B265" t="str">
        <f>Koond_kulud!B286</f>
        <v xml:space="preserve">0660508         </v>
      </c>
      <c r="C265" t="str">
        <f>Koond_kulud!C286</f>
        <v xml:space="preserve"> Kalmistud</v>
      </c>
      <c r="D265" t="str">
        <f>Koond_kulud!D286</f>
        <v>Muu elamu- ja kommunaalmajanduse tegevus</v>
      </c>
      <c r="E265" t="str">
        <f>Koond_kulud!E286</f>
        <v>Elamu- ja kommunaalmajandus</v>
      </c>
      <c r="F265" t="str">
        <f>Koond_kulud!F286</f>
        <v>Viru-Jaagupi piirkonna juht</v>
      </c>
      <c r="G265" t="str">
        <f>Koond_kulud!G286</f>
        <v>Liiv</v>
      </c>
      <c r="H265">
        <f>Koond_kulud!H286</f>
        <v>1000</v>
      </c>
      <c r="I265">
        <f>Koond_kulud!I286</f>
        <v>0</v>
      </c>
      <c r="J265">
        <f>Koond_kulud!J286</f>
        <v>5511</v>
      </c>
      <c r="K265" t="str">
        <f>Koond_kulud!K286</f>
        <v>Kinnistute, hoonete ja ruumide majandamiskulud</v>
      </c>
      <c r="L265">
        <f>Koond_kulud!L286</f>
        <v>55</v>
      </c>
      <c r="M265" t="str">
        <f>Koond_kulud!M286</f>
        <v>55</v>
      </c>
      <c r="N265" t="str">
        <f>Koond_kulud!N286</f>
        <v>Muud tegevuskulud</v>
      </c>
      <c r="O265" t="str">
        <f>Koond_kulud!O286</f>
        <v>Majandamiskulud</v>
      </c>
      <c r="P265" t="str">
        <f>Koond_kulud!P286</f>
        <v>Põhitegevuse kulu</v>
      </c>
      <c r="Q265">
        <f>Koond_kulud!Q286</f>
        <v>0</v>
      </c>
    </row>
    <row r="266" spans="1:17" hidden="1" x14ac:dyDescent="0.25">
      <c r="A266" t="str">
        <f>Koond_kulud!A287</f>
        <v>06</v>
      </c>
      <c r="B266" t="str">
        <f>Koond_kulud!B287</f>
        <v xml:space="preserve">0660508         </v>
      </c>
      <c r="C266" t="str">
        <f>Koond_kulud!C287</f>
        <v xml:space="preserve"> Kalmistud</v>
      </c>
      <c r="D266" t="str">
        <f>Koond_kulud!D287</f>
        <v>Muu elamu- ja kommunaalmajanduse tegevus</v>
      </c>
      <c r="E266" t="str">
        <f>Koond_kulud!E287</f>
        <v>Elamu- ja kommunaalmajandus</v>
      </c>
      <c r="F266" t="str">
        <f>Koond_kulud!F287</f>
        <v>Viru-Jaagupi piirkonna juht</v>
      </c>
      <c r="G266" t="str">
        <f>Koond_kulud!G287</f>
        <v>Tõrma kalmistu haldamine</v>
      </c>
      <c r="H266">
        <f>Koond_kulud!H287</f>
        <v>2400</v>
      </c>
      <c r="I266">
        <f>Koond_kulud!I287</f>
        <v>0</v>
      </c>
      <c r="J266">
        <f>Koond_kulud!J287</f>
        <v>5511</v>
      </c>
      <c r="K266" t="str">
        <f>Koond_kulud!K287</f>
        <v>Kinnistute, hoonete ja ruumide majandamiskulud</v>
      </c>
      <c r="L266">
        <f>Koond_kulud!L287</f>
        <v>55</v>
      </c>
      <c r="M266" t="str">
        <f>Koond_kulud!M287</f>
        <v>55</v>
      </c>
      <c r="N266" t="str">
        <f>Koond_kulud!N287</f>
        <v>Muud tegevuskulud</v>
      </c>
      <c r="O266" t="str">
        <f>Koond_kulud!O287</f>
        <v>Majandamiskulud</v>
      </c>
      <c r="P266" t="str">
        <f>Koond_kulud!P287</f>
        <v>Põhitegevuse kulu</v>
      </c>
      <c r="Q266">
        <f>Koond_kulud!Q287</f>
        <v>0</v>
      </c>
    </row>
    <row r="267" spans="1:17" hidden="1" x14ac:dyDescent="0.25">
      <c r="A267" t="str">
        <f>Koond_kulud!A288</f>
        <v>06</v>
      </c>
      <c r="B267" t="str">
        <f>Koond_kulud!B288</f>
        <v xml:space="preserve">0660508         </v>
      </c>
      <c r="C267" t="str">
        <f>Koond_kulud!C288</f>
        <v xml:space="preserve"> Kalmistud</v>
      </c>
      <c r="D267" t="str">
        <f>Koond_kulud!D288</f>
        <v>Muu elamu- ja kommunaalmajanduse tegevus</v>
      </c>
      <c r="E267" t="str">
        <f>Koond_kulud!E288</f>
        <v>Elamu- ja kommunaalmajandus</v>
      </c>
      <c r="F267" t="str">
        <f>Koond_kulud!F288</f>
        <v>Viru-Jaagupi piirkonna juht</v>
      </c>
      <c r="G267" t="str">
        <f>Koond_kulud!G288</f>
        <v>Simuna kalmistu haldamine</v>
      </c>
      <c r="H267">
        <f>Koond_kulud!H288</f>
        <v>2556.48</v>
      </c>
      <c r="I267">
        <f>Koond_kulud!I288</f>
        <v>0</v>
      </c>
      <c r="J267">
        <f>Koond_kulud!J288</f>
        <v>5511</v>
      </c>
      <c r="K267" t="str">
        <f>Koond_kulud!K288</f>
        <v>Kinnistute, hoonete ja ruumide majandamiskulud</v>
      </c>
      <c r="L267">
        <f>Koond_kulud!L288</f>
        <v>55</v>
      </c>
      <c r="M267" t="str">
        <f>Koond_kulud!M288</f>
        <v>55</v>
      </c>
      <c r="N267" t="str">
        <f>Koond_kulud!N288</f>
        <v>Muud tegevuskulud</v>
      </c>
      <c r="O267" t="str">
        <f>Koond_kulud!O288</f>
        <v>Majandamiskulud</v>
      </c>
      <c r="P267" t="str">
        <f>Koond_kulud!P288</f>
        <v>Põhitegevuse kulu</v>
      </c>
      <c r="Q267">
        <f>Koond_kulud!Q288</f>
        <v>0</v>
      </c>
    </row>
    <row r="268" spans="1:17" hidden="1" x14ac:dyDescent="0.25">
      <c r="A268" t="str">
        <f>Koond_kulud!A289</f>
        <v>06</v>
      </c>
      <c r="B268" t="str">
        <f>Koond_kulud!B289</f>
        <v xml:space="preserve">0660508         </v>
      </c>
      <c r="C268" t="str">
        <f>Koond_kulud!C289</f>
        <v xml:space="preserve"> Kalmistud</v>
      </c>
      <c r="D268" t="str">
        <f>Koond_kulud!D289</f>
        <v>Muu elamu- ja kommunaalmajanduse tegevus</v>
      </c>
      <c r="E268" t="str">
        <f>Koond_kulud!E289</f>
        <v>Elamu- ja kommunaalmajandus</v>
      </c>
      <c r="F268" t="str">
        <f>Koond_kulud!F289</f>
        <v>Viru-Jaagupi piirkonna juht</v>
      </c>
      <c r="G268" t="str">
        <f>Koond_kulud!G289</f>
        <v>Heakorravahendid</v>
      </c>
      <c r="H268">
        <f>Koond_kulud!H289</f>
        <v>500</v>
      </c>
      <c r="I268" t="str">
        <f>Koond_kulud!I289</f>
        <v>kärud, rehad, kastekannud jms</v>
      </c>
      <c r="J268">
        <f>Koond_kulud!J289</f>
        <v>5511</v>
      </c>
      <c r="K268" t="str">
        <f>Koond_kulud!K289</f>
        <v>Kinnistute, hoonete ja ruumide majandamiskulud</v>
      </c>
      <c r="L268">
        <f>Koond_kulud!L289</f>
        <v>55</v>
      </c>
      <c r="M268" t="str">
        <f>Koond_kulud!M289</f>
        <v>55</v>
      </c>
      <c r="N268" t="str">
        <f>Koond_kulud!N289</f>
        <v>Muud tegevuskulud</v>
      </c>
      <c r="O268" t="str">
        <f>Koond_kulud!O289</f>
        <v>Majandamiskulud</v>
      </c>
      <c r="P268" t="str">
        <f>Koond_kulud!P289</f>
        <v>Põhitegevuse kulu</v>
      </c>
      <c r="Q268">
        <f>Koond_kulud!Q289</f>
        <v>0</v>
      </c>
    </row>
    <row r="269" spans="1:17" hidden="1" x14ac:dyDescent="0.25">
      <c r="A269" t="str">
        <f>Koond_kulud!A290</f>
        <v>06</v>
      </c>
      <c r="B269" t="str">
        <f>Koond_kulud!B290</f>
        <v xml:space="preserve">0660508         </v>
      </c>
      <c r="C269" t="str">
        <f>Koond_kulud!C290</f>
        <v xml:space="preserve"> Kalmistud</v>
      </c>
      <c r="D269" t="str">
        <f>Koond_kulud!D290</f>
        <v>Muu elamu- ja kommunaalmajanduse tegevus</v>
      </c>
      <c r="E269" t="str">
        <f>Koond_kulud!E290</f>
        <v>Elamu- ja kommunaalmajandus</v>
      </c>
      <c r="F269" t="str">
        <f>Koond_kulud!F290</f>
        <v>Viru-Jaagupi piirkonna juht</v>
      </c>
      <c r="G269" t="str">
        <f>Koond_kulud!G290</f>
        <v>Ohtlike puude langetus</v>
      </c>
      <c r="H269">
        <f>Koond_kulud!H290</f>
        <v>6000</v>
      </c>
      <c r="I269" t="str">
        <f>Koond_kulud!I290</f>
        <v xml:space="preserve">Tudu </v>
      </c>
      <c r="J269">
        <f>Koond_kulud!J290</f>
        <v>5511</v>
      </c>
      <c r="K269" t="str">
        <f>Koond_kulud!K290</f>
        <v>Kinnistute, hoonete ja ruumide majandamiskulud</v>
      </c>
      <c r="L269">
        <f>Koond_kulud!L290</f>
        <v>55</v>
      </c>
      <c r="M269" t="str">
        <f>Koond_kulud!M290</f>
        <v>55</v>
      </c>
      <c r="N269" t="str">
        <f>Koond_kulud!N290</f>
        <v>Muud tegevuskulud</v>
      </c>
      <c r="O269" t="str">
        <f>Koond_kulud!O290</f>
        <v>Majandamiskulud</v>
      </c>
      <c r="P269" t="str">
        <f>Koond_kulud!P290</f>
        <v>Põhitegevuse kulu</v>
      </c>
      <c r="Q269">
        <f>Koond_kulud!Q290</f>
        <v>0</v>
      </c>
    </row>
    <row r="270" spans="1:17" hidden="1" x14ac:dyDescent="0.25">
      <c r="A270" t="str">
        <f>Koond_kulud!A291</f>
        <v>06</v>
      </c>
      <c r="B270" t="str">
        <f>Koond_kulud!B291</f>
        <v xml:space="preserve">0660508         </v>
      </c>
      <c r="C270" t="str">
        <f>Koond_kulud!C291</f>
        <v xml:space="preserve"> Kalmistud</v>
      </c>
      <c r="D270" t="str">
        <f>Koond_kulud!D291</f>
        <v>Muu elamu- ja kommunaalmajanduse tegevus</v>
      </c>
      <c r="E270" t="str">
        <f>Koond_kulud!E291</f>
        <v>Elamu- ja kommunaalmajandus</v>
      </c>
      <c r="F270" t="str">
        <f>Koond_kulud!F291</f>
        <v>Viru-Jaagupi piirkonna juht</v>
      </c>
      <c r="G270" t="str">
        <f>Koond_kulud!G291</f>
        <v>Ohtlike puude langetus, pinnase tasandamine</v>
      </c>
      <c r="H270">
        <f>Koond_kulud!H291</f>
        <v>6000</v>
      </c>
      <c r="I270" t="str">
        <f>Koond_kulud!I291</f>
        <v>Viru-Jaagupi</v>
      </c>
      <c r="J270">
        <f>Koond_kulud!J291</f>
        <v>5511</v>
      </c>
      <c r="K270" t="str">
        <f>Koond_kulud!K291</f>
        <v>Kinnistute, hoonete ja ruumide majandamiskulud</v>
      </c>
      <c r="L270">
        <f>Koond_kulud!L291</f>
        <v>55</v>
      </c>
      <c r="M270" t="str">
        <f>Koond_kulud!M291</f>
        <v>55</v>
      </c>
      <c r="N270" t="str">
        <f>Koond_kulud!N291</f>
        <v>Muud tegevuskulud</v>
      </c>
      <c r="O270" t="str">
        <f>Koond_kulud!O291</f>
        <v>Majandamiskulud</v>
      </c>
      <c r="P270" t="str">
        <f>Koond_kulud!P291</f>
        <v>Põhitegevuse kulu</v>
      </c>
      <c r="Q270">
        <f>Koond_kulud!Q291</f>
        <v>0</v>
      </c>
    </row>
    <row r="271" spans="1:17" hidden="1" x14ac:dyDescent="0.25">
      <c r="A271" t="str">
        <f>Koond_kulud!A292</f>
        <v>06</v>
      </c>
      <c r="B271" t="str">
        <f>Koond_kulud!B292</f>
        <v xml:space="preserve">0660508         </v>
      </c>
      <c r="C271" t="str">
        <f>Koond_kulud!C292</f>
        <v xml:space="preserve"> Kalmistud</v>
      </c>
      <c r="D271" t="str">
        <f>Koond_kulud!D292</f>
        <v>Muu elamu- ja kommunaalmajanduse tegevus</v>
      </c>
      <c r="E271" t="str">
        <f>Koond_kulud!E292</f>
        <v>Elamu- ja kommunaalmajandus</v>
      </c>
      <c r="F271" t="str">
        <f>Koond_kulud!F292</f>
        <v>Viru-Jaagupi piirkonna juht</v>
      </c>
      <c r="G271" t="str">
        <f>Koond_kulud!G292</f>
        <v>Kütus seadmetele</v>
      </c>
      <c r="H271">
        <f>Koond_kulud!H292</f>
        <v>500</v>
      </c>
      <c r="I271" t="str">
        <f>Koond_kulud!I292</f>
        <v>traktor, trimmer, saag</v>
      </c>
      <c r="J271">
        <f>Koond_kulud!J292</f>
        <v>5511</v>
      </c>
      <c r="K271" t="str">
        <f>Koond_kulud!K292</f>
        <v>Kinnistute, hoonete ja ruumide majandamiskulud</v>
      </c>
      <c r="L271">
        <f>Koond_kulud!L292</f>
        <v>55</v>
      </c>
      <c r="M271" t="str">
        <f>Koond_kulud!M292</f>
        <v>55</v>
      </c>
      <c r="N271" t="str">
        <f>Koond_kulud!N292</f>
        <v>Muud tegevuskulud</v>
      </c>
      <c r="O271" t="str">
        <f>Koond_kulud!O292</f>
        <v>Majandamiskulud</v>
      </c>
      <c r="P271" t="str">
        <f>Koond_kulud!P292</f>
        <v>Põhitegevuse kulu</v>
      </c>
      <c r="Q271">
        <f>Koond_kulud!Q292</f>
        <v>0</v>
      </c>
    </row>
    <row r="272" spans="1:17" hidden="1" x14ac:dyDescent="0.25">
      <c r="A272" t="str">
        <f>Koond_kulud!A293</f>
        <v>06</v>
      </c>
      <c r="B272" t="str">
        <f>Koond_kulud!B293</f>
        <v xml:space="preserve">0660508         </v>
      </c>
      <c r="C272" t="str">
        <f>Koond_kulud!C293</f>
        <v xml:space="preserve"> Kalmistud</v>
      </c>
      <c r="D272" t="str">
        <f>Koond_kulud!D293</f>
        <v>Muu elamu- ja kommunaalmajanduse tegevus</v>
      </c>
      <c r="E272" t="str">
        <f>Koond_kulud!E293</f>
        <v>Elamu- ja kommunaalmajandus</v>
      </c>
      <c r="F272" t="str">
        <f>Koond_kulud!F293</f>
        <v>Viru-Jaagupi piirkonna juht</v>
      </c>
      <c r="G272" t="str">
        <f>Koond_kulud!G293</f>
        <v>Viru-Jaagupi kabeli põrand</v>
      </c>
      <c r="H272">
        <f>Koond_kulud!H293</f>
        <v>2000</v>
      </c>
      <c r="I272">
        <f>Koond_kulud!I293</f>
        <v>0</v>
      </c>
      <c r="J272">
        <f>Koond_kulud!J293</f>
        <v>5511</v>
      </c>
      <c r="K272" t="str">
        <f>Koond_kulud!K293</f>
        <v>Kinnistute, hoonete ja ruumide majandamiskulud</v>
      </c>
      <c r="L272">
        <f>Koond_kulud!L293</f>
        <v>55</v>
      </c>
      <c r="M272" t="str">
        <f>Koond_kulud!M293</f>
        <v>55</v>
      </c>
      <c r="N272" t="str">
        <f>Koond_kulud!N293</f>
        <v>Muud tegevuskulud</v>
      </c>
      <c r="O272" t="str">
        <f>Koond_kulud!O293</f>
        <v>Majandamiskulud</v>
      </c>
      <c r="P272" t="str">
        <f>Koond_kulud!P293</f>
        <v>Põhitegevuse kulu</v>
      </c>
      <c r="Q272">
        <f>Koond_kulud!Q293</f>
        <v>0</v>
      </c>
    </row>
    <row r="273" spans="1:17" hidden="1" x14ac:dyDescent="0.25">
      <c r="A273" t="str">
        <f>Koond_kulud!A294</f>
        <v>06</v>
      </c>
      <c r="B273" t="str">
        <f>Koond_kulud!B294</f>
        <v xml:space="preserve">0660508         </v>
      </c>
      <c r="C273" t="str">
        <f>Koond_kulud!C294</f>
        <v xml:space="preserve"> Kalmistud</v>
      </c>
      <c r="D273" t="str">
        <f>Koond_kulud!D294</f>
        <v>Muu elamu- ja kommunaalmajanduse tegevus</v>
      </c>
      <c r="E273" t="str">
        <f>Koond_kulud!E294</f>
        <v>Elamu- ja kommunaalmajandus</v>
      </c>
      <c r="F273" t="str">
        <f>Koond_kulud!F294</f>
        <v>Viru-Jaagupi piirkonna juht</v>
      </c>
      <c r="G273" t="str">
        <f>Koond_kulud!G294</f>
        <v>Viru-Jaagupi kalmistu kiviaed</v>
      </c>
      <c r="H273">
        <f>Koond_kulud!H294</f>
        <v>10000</v>
      </c>
      <c r="I273">
        <f>Koond_kulud!I294</f>
        <v>0</v>
      </c>
      <c r="J273">
        <f>Koond_kulud!J294</f>
        <v>5512</v>
      </c>
      <c r="K273" t="str">
        <f>Koond_kulud!K294</f>
        <v>Rajatiste majandamiskulud</v>
      </c>
      <c r="L273">
        <f>Koond_kulud!L294</f>
        <v>55</v>
      </c>
      <c r="M273" t="str">
        <f>Koond_kulud!M294</f>
        <v>55</v>
      </c>
      <c r="N273" t="str">
        <f>Koond_kulud!N294</f>
        <v>Muud tegevuskulud</v>
      </c>
      <c r="O273" t="str">
        <f>Koond_kulud!O294</f>
        <v>Majandamiskulud</v>
      </c>
      <c r="P273" t="str">
        <f>Koond_kulud!P294</f>
        <v>Põhitegevuse kulu</v>
      </c>
      <c r="Q273">
        <f>Koond_kulud!Q294</f>
        <v>0</v>
      </c>
    </row>
    <row r="274" spans="1:17" hidden="1" x14ac:dyDescent="0.25">
      <c r="A274" t="str">
        <f>Koond_kulud!A295</f>
        <v>06</v>
      </c>
      <c r="B274" t="str">
        <f>Koond_kulud!B295</f>
        <v xml:space="preserve">0660509         </v>
      </c>
      <c r="C274" t="str">
        <f>Koond_kulud!C295</f>
        <v xml:space="preserve"> Hulkuvad loomad</v>
      </c>
      <c r="D274" t="str">
        <f>Koond_kulud!D295</f>
        <v>Muu elamu- ja kommunaalmajanduse tegevus</v>
      </c>
      <c r="E274" t="str">
        <f>Koond_kulud!E295</f>
        <v>Elamu- ja kommunaalmajandus</v>
      </c>
      <c r="F274" t="str">
        <f>Koond_kulud!F295</f>
        <v>Keskkonna- ja kommunaalnõunik</v>
      </c>
      <c r="G274" t="str">
        <f>Koond_kulud!G295</f>
        <v>Varjupaikade MTÜ püsitasu kohalikelt + muuda tasud</v>
      </c>
      <c r="H274">
        <f>Koond_kulud!H295</f>
        <v>9000</v>
      </c>
      <c r="I274">
        <f>Koond_kulud!I295</f>
        <v>0</v>
      </c>
      <c r="J274">
        <f>Koond_kulud!J295</f>
        <v>5511</v>
      </c>
      <c r="K274" t="str">
        <f>Koond_kulud!K295</f>
        <v>Kinnistute, hoonete ja ruumide majandamiskulud</v>
      </c>
      <c r="L274">
        <f>Koond_kulud!L295</f>
        <v>55</v>
      </c>
      <c r="M274" t="str">
        <f>Koond_kulud!M295</f>
        <v>55</v>
      </c>
      <c r="N274" t="str">
        <f>Koond_kulud!N295</f>
        <v>Muud tegevuskulud</v>
      </c>
      <c r="O274" t="str">
        <f>Koond_kulud!O295</f>
        <v>Majandamiskulud</v>
      </c>
      <c r="P274" t="str">
        <f>Koond_kulud!P295</f>
        <v>Põhitegevuse kulu</v>
      </c>
      <c r="Q274">
        <f>Koond_kulud!Q295</f>
        <v>0</v>
      </c>
    </row>
    <row r="275" spans="1:17" hidden="1" x14ac:dyDescent="0.25">
      <c r="A275" t="str">
        <f>Koond_kulud!A296</f>
        <v>06</v>
      </c>
      <c r="B275" t="str">
        <f>Koond_kulud!B296</f>
        <v xml:space="preserve">0660509         </v>
      </c>
      <c r="C275" t="str">
        <f>Koond_kulud!C296</f>
        <v xml:space="preserve"> Hulkuvad loomad</v>
      </c>
      <c r="D275" t="str">
        <f>Koond_kulud!D296</f>
        <v>Muu elamu- ja kommunaalmajanduse tegevus</v>
      </c>
      <c r="E275" t="str">
        <f>Koond_kulud!E296</f>
        <v>Elamu- ja kommunaalmajandus</v>
      </c>
      <c r="F275" t="str">
        <f>Koond_kulud!F296</f>
        <v>Keskkonna- ja kommunaalnõunik</v>
      </c>
      <c r="G275" t="str">
        <f>Koond_kulud!G296</f>
        <v>muud hulkuvate loomadega seotud kulud</v>
      </c>
      <c r="H275">
        <f>Koond_kulud!H296</f>
        <v>837.6</v>
      </c>
      <c r="I275">
        <f>Koond_kulud!I296</f>
        <v>0</v>
      </c>
      <c r="J275">
        <f>Koond_kulud!J296</f>
        <v>5511</v>
      </c>
      <c r="K275" t="str">
        <f>Koond_kulud!K296</f>
        <v>Kinnistute, hoonete ja ruumide majandamiskulud</v>
      </c>
      <c r="L275">
        <f>Koond_kulud!L296</f>
        <v>55</v>
      </c>
      <c r="M275" t="str">
        <f>Koond_kulud!M296</f>
        <v>55</v>
      </c>
      <c r="N275" t="str">
        <f>Koond_kulud!N296</f>
        <v>Muud tegevuskulud</v>
      </c>
      <c r="O275" t="str">
        <f>Koond_kulud!O296</f>
        <v>Majandamiskulud</v>
      </c>
      <c r="P275" t="str">
        <f>Koond_kulud!P296</f>
        <v>Põhitegevuse kulu</v>
      </c>
      <c r="Q275">
        <f>Koond_kulud!Q296</f>
        <v>0</v>
      </c>
    </row>
    <row r="276" spans="1:17" hidden="1" x14ac:dyDescent="0.25">
      <c r="A276" t="str">
        <f>Koond_kulud!A297</f>
        <v>06</v>
      </c>
      <c r="B276" t="str">
        <f>Koond_kulud!B297</f>
        <v xml:space="preserve">0660509         </v>
      </c>
      <c r="C276" t="str">
        <f>Koond_kulud!C297</f>
        <v xml:space="preserve"> Hulkuvad loomad</v>
      </c>
      <c r="D276" t="str">
        <f>Koond_kulud!D297</f>
        <v>Muu elamu- ja kommunaalmajanduse tegevus</v>
      </c>
      <c r="E276" t="str">
        <f>Koond_kulud!E297</f>
        <v>Elamu- ja kommunaalmajandus</v>
      </c>
      <c r="F276" t="str">
        <f>Koond_kulud!F297</f>
        <v>Keskkonna- ja kommunaalnõunik</v>
      </c>
      <c r="G276" t="str">
        <f>Koond_kulud!G297</f>
        <v>Lemmikloomaregister SPIN TEK</v>
      </c>
      <c r="H276">
        <f>Koond_kulud!H297</f>
        <v>662.40000000000009</v>
      </c>
      <c r="I276">
        <f>Koond_kulud!I297</f>
        <v>0</v>
      </c>
      <c r="J276">
        <f>Koond_kulud!J297</f>
        <v>5514</v>
      </c>
      <c r="K276" t="str">
        <f>Koond_kulud!K297</f>
        <v>Info- ja kommunikatsioonitehnoliigised kulud</v>
      </c>
      <c r="L276">
        <f>Koond_kulud!L297</f>
        <v>55</v>
      </c>
      <c r="M276" t="str">
        <f>Koond_kulud!M297</f>
        <v>55</v>
      </c>
      <c r="N276" t="str">
        <f>Koond_kulud!N297</f>
        <v>Muud tegevuskulud</v>
      </c>
      <c r="O276" t="str">
        <f>Koond_kulud!O297</f>
        <v>Majandamiskulud</v>
      </c>
      <c r="P276" t="str">
        <f>Koond_kulud!P297</f>
        <v>Põhitegevuse kulu</v>
      </c>
      <c r="Q276">
        <f>Koond_kulud!Q297</f>
        <v>0</v>
      </c>
    </row>
    <row r="277" spans="1:17" hidden="1" x14ac:dyDescent="0.25">
      <c r="A277" t="str">
        <f>Koond_kulud!A299</f>
        <v>07</v>
      </c>
      <c r="B277" t="str">
        <f>Koond_kulud!B299</f>
        <v xml:space="preserve">07600           </v>
      </c>
      <c r="C277" t="str">
        <f>Koond_kulud!C299</f>
        <v xml:space="preserve"> Muu tervishoid, sh tervishoiu haldamine</v>
      </c>
      <c r="D277" t="str">
        <f>Koond_kulud!D299</f>
        <v>Muu tervishoid, sh tervishoiu haldamine</v>
      </c>
      <c r="E277" t="str">
        <f>Koond_kulud!E299</f>
        <v>Tervishoid</v>
      </c>
      <c r="F277" t="str">
        <f>Koond_kulud!F299</f>
        <v>Finantsosakond</v>
      </c>
      <c r="G277" t="str">
        <f>Koond_kulud!G299</f>
        <v>Rakvere Haigla MTÜ liikmemaks</v>
      </c>
      <c r="H277">
        <f>Koond_kulud!H299</f>
        <v>2500</v>
      </c>
      <c r="I277">
        <f>Koond_kulud!I299</f>
        <v>0</v>
      </c>
      <c r="J277">
        <f>Koond_kulud!J299</f>
        <v>4528</v>
      </c>
      <c r="K277" t="str">
        <f>Koond_kulud!K299</f>
        <v>Liikmemaksud</v>
      </c>
      <c r="L277">
        <f>Koond_kulud!L299</f>
        <v>452</v>
      </c>
      <c r="M277" t="str">
        <f>Koond_kulud!M299</f>
        <v>45</v>
      </c>
      <c r="N277" t="str">
        <f>Koond_kulud!N299</f>
        <v>Antavad toetused tegevuskuludeks</v>
      </c>
      <c r="O277" t="str">
        <f>Koond_kulud!O299</f>
        <v>Mittesihtotstarbelised toetused</v>
      </c>
      <c r="P277" t="str">
        <f>Koond_kulud!P299</f>
        <v>Põhitegevuse kulu</v>
      </c>
      <c r="Q277">
        <f>Koond_kulud!Q299</f>
        <v>0</v>
      </c>
    </row>
    <row r="278" spans="1:17" hidden="1" x14ac:dyDescent="0.25">
      <c r="A278" t="str">
        <f>Koond_kulud!A300</f>
        <v>07</v>
      </c>
      <c r="B278" t="str">
        <f>Koond_kulud!B300</f>
        <v xml:space="preserve">07600           </v>
      </c>
      <c r="C278" t="str">
        <f>Koond_kulud!C300</f>
        <v xml:space="preserve"> Muu tervishoid, sh tervishoiu haldamine</v>
      </c>
      <c r="D278" t="str">
        <f>Koond_kulud!D300</f>
        <v>Muu tervishoid, sh tervishoiu haldamine</v>
      </c>
      <c r="E278" t="str">
        <f>Koond_kulud!E300</f>
        <v>Tervishoid</v>
      </c>
      <c r="F278" t="str">
        <f>Koond_kulud!F300</f>
        <v>Sotsiaalosakond</v>
      </c>
      <c r="G278" t="str">
        <f>Koond_kulud!G300</f>
        <v>Piret Mets Väike-Maarja TK (Laekvere) kohvimasin</v>
      </c>
      <c r="H278">
        <f>Koond_kulud!H300</f>
        <v>600</v>
      </c>
      <c r="I278">
        <f>Koond_kulud!I300</f>
        <v>0</v>
      </c>
      <c r="J278">
        <f>Koond_kulud!J300</f>
        <v>5515</v>
      </c>
      <c r="K278" t="str">
        <f>Koond_kulud!K300</f>
        <v>Inventari kulud, v.a infotehnoloogia ja kaitseotstarbelised kulud</v>
      </c>
      <c r="L278">
        <f>Koond_kulud!L300</f>
        <v>55</v>
      </c>
      <c r="M278" t="str">
        <f>Koond_kulud!M300</f>
        <v>55</v>
      </c>
      <c r="N278" t="str">
        <f>Koond_kulud!N300</f>
        <v>Muud tegevuskulud</v>
      </c>
      <c r="O278" t="str">
        <f>Koond_kulud!O300</f>
        <v>Majandamiskulud</v>
      </c>
      <c r="P278" t="str">
        <f>Koond_kulud!P300</f>
        <v>Põhitegevuse kulu</v>
      </c>
      <c r="Q278">
        <f>Koond_kulud!Q300</f>
        <v>0</v>
      </c>
    </row>
    <row r="279" spans="1:17" hidden="1" x14ac:dyDescent="0.25">
      <c r="A279" t="str">
        <f>Koond_kulud!A301</f>
        <v>07</v>
      </c>
      <c r="B279" t="str">
        <f>Koond_kulud!B301</f>
        <v xml:space="preserve">07600           </v>
      </c>
      <c r="C279" t="str">
        <f>Koond_kulud!C301</f>
        <v xml:space="preserve"> Muu tervishoid, sh tervishoiu haldamine</v>
      </c>
      <c r="D279" t="str">
        <f>Koond_kulud!D301</f>
        <v>Muu tervishoid, sh tervishoiu haldamine</v>
      </c>
      <c r="E279" t="str">
        <f>Koond_kulud!E301</f>
        <v>Tervishoid</v>
      </c>
      <c r="F279" t="str">
        <f>Koond_kulud!F301</f>
        <v>Sotsiaalosakond</v>
      </c>
      <c r="G279" t="str">
        <f>Koond_kulud!G301</f>
        <v>Piret Mets Väike-Maarja TK (Laekvere) Transpordikulu</v>
      </c>
      <c r="H279">
        <f>Koond_kulud!H301</f>
        <v>2400</v>
      </c>
      <c r="I279">
        <f>Koond_kulud!I301</f>
        <v>0</v>
      </c>
      <c r="J279">
        <f>Koond_kulud!J301</f>
        <v>5540</v>
      </c>
      <c r="K279" t="str">
        <f>Koond_kulud!K301</f>
        <v>Mitmesugused majanduskulud</v>
      </c>
      <c r="L279">
        <f>Koond_kulud!L301</f>
        <v>55</v>
      </c>
      <c r="M279" t="str">
        <f>Koond_kulud!M301</f>
        <v>55</v>
      </c>
      <c r="N279" t="str">
        <f>Koond_kulud!N301</f>
        <v>Muud tegevuskulud</v>
      </c>
      <c r="O279" t="str">
        <f>Koond_kulud!O301</f>
        <v>Majandamiskulud</v>
      </c>
      <c r="P279" t="str">
        <f>Koond_kulud!P301</f>
        <v>Põhitegevuse kulu</v>
      </c>
      <c r="Q279">
        <f>Koond_kulud!Q301</f>
        <v>0</v>
      </c>
    </row>
    <row r="280" spans="1:17" hidden="1" x14ac:dyDescent="0.25">
      <c r="A280" t="str">
        <f>Koond_kulud!A302</f>
        <v>07</v>
      </c>
      <c r="B280" t="str">
        <f>Koond_kulud!B302</f>
        <v xml:space="preserve">07600           </v>
      </c>
      <c r="C280" t="str">
        <f>Koond_kulud!C302</f>
        <v xml:space="preserve"> Muu tervishoid, sh tervishoiu haldamine</v>
      </c>
      <c r="D280" t="str">
        <f>Koond_kulud!D302</f>
        <v>Muu tervishoid, sh tervishoiu haldamine</v>
      </c>
      <c r="E280" t="str">
        <f>Koond_kulud!E302</f>
        <v>Tervishoid</v>
      </c>
      <c r="F280" t="str">
        <f>Koond_kulud!F302</f>
        <v>Sotsiaalosakond</v>
      </c>
      <c r="G280" t="str">
        <f>Koond_kulud!G302</f>
        <v>Vinni Tervisekeskusele helikindlad uksed</v>
      </c>
      <c r="H280">
        <f>Koond_kulud!H302</f>
        <v>5000</v>
      </c>
      <c r="I280">
        <f>Koond_kulud!I302</f>
        <v>0</v>
      </c>
      <c r="J280">
        <f>Koond_kulud!J302</f>
        <v>5511</v>
      </c>
      <c r="K280" t="str">
        <f>Koond_kulud!K302</f>
        <v>Kinnistute, hoonete ja ruumide majandamiskulud</v>
      </c>
      <c r="L280">
        <f>Koond_kulud!L302</f>
        <v>55</v>
      </c>
      <c r="M280" t="str">
        <f>Koond_kulud!M302</f>
        <v>55</v>
      </c>
      <c r="N280" t="str">
        <f>Koond_kulud!N302</f>
        <v>Muud tegevuskulud</v>
      </c>
      <c r="O280" t="str">
        <f>Koond_kulud!O302</f>
        <v>Majandamiskulud</v>
      </c>
      <c r="P280" t="str">
        <f>Koond_kulud!P302</f>
        <v>Põhitegevuse kulu</v>
      </c>
      <c r="Q280">
        <f>Koond_kulud!Q302</f>
        <v>0</v>
      </c>
    </row>
    <row r="281" spans="1:17" hidden="1" x14ac:dyDescent="0.25">
      <c r="A281" t="str">
        <f>Koond_kulud!A303</f>
        <v>08</v>
      </c>
      <c r="B281" t="str">
        <f>Koond_kulud!B303</f>
        <v xml:space="preserve">0810201         </v>
      </c>
      <c r="C281" t="str">
        <f>Koond_kulud!C303</f>
        <v xml:space="preserve"> Vinni Spordikompleks</v>
      </c>
      <c r="D281" t="str">
        <f>Koond_kulud!D303</f>
        <v>Sport</v>
      </c>
      <c r="E281" t="str">
        <f>Koond_kulud!E303</f>
        <v>Vabaaeg, kultuur ja religioon</v>
      </c>
      <c r="F281" t="str">
        <f>Koond_kulud!F303</f>
        <v>Vallavalitsus</v>
      </c>
      <c r="G281" t="str">
        <f>Koond_kulud!G303</f>
        <v>Toetus tegevuskuludeks</v>
      </c>
      <c r="H281">
        <f>Koond_kulud!H303</f>
        <v>120000</v>
      </c>
      <c r="I281" t="str">
        <f>Koond_kulud!I303</f>
        <v>Vinni Spordikompl.</v>
      </c>
      <c r="J281">
        <f>Koond_kulud!J303</f>
        <v>45008</v>
      </c>
      <c r="K281" t="str">
        <f>Koond_kulud!K303</f>
        <v>Sihtotstarbelised eraldised muudele residentidele</v>
      </c>
      <c r="L281">
        <f>Koond_kulud!L303</f>
        <v>4500</v>
      </c>
      <c r="M281" t="str">
        <f>Koond_kulud!M303</f>
        <v>45</v>
      </c>
      <c r="N281" t="str">
        <f>Koond_kulud!N303</f>
        <v>Antavad toetused tegevuskuludeks</v>
      </c>
      <c r="O281" t="str">
        <f>Koond_kulud!O303</f>
        <v>Sihtotstarbelised toetused tegevuskuludeks</v>
      </c>
      <c r="P281" t="str">
        <f>Koond_kulud!P303</f>
        <v>Põhitegevuse kulu</v>
      </c>
      <c r="Q281">
        <f>Koond_kulud!Q303</f>
        <v>0</v>
      </c>
    </row>
    <row r="282" spans="1:17" hidden="1" x14ac:dyDescent="0.25">
      <c r="A282" t="str">
        <f>Koond_kulud!A307</f>
        <v>08</v>
      </c>
      <c r="B282" t="str">
        <f>Koond_kulud!B307</f>
        <v xml:space="preserve">0810202         </v>
      </c>
      <c r="C282" t="str">
        <f>Koond_kulud!C307</f>
        <v xml:space="preserve"> Muuga Spordihoone</v>
      </c>
      <c r="D282" t="str">
        <f>Koond_kulud!D307</f>
        <v>Sport</v>
      </c>
      <c r="E282" t="str">
        <f>Koond_kulud!E307</f>
        <v>Vabaaeg, kultuur ja religioon</v>
      </c>
      <c r="F282" t="str">
        <f>Koond_kulud!F307</f>
        <v>Muuga Spordihoone</v>
      </c>
      <c r="G282" t="str">
        <f>Koond_kulud!G307</f>
        <v>bürootarbed</v>
      </c>
      <c r="H282">
        <f>Koond_kulud!H307</f>
        <v>100</v>
      </c>
      <c r="I282">
        <f>Koond_kulud!I307</f>
        <v>0</v>
      </c>
      <c r="J282">
        <f>Koond_kulud!J307</f>
        <v>5500</v>
      </c>
      <c r="K282" t="str">
        <f>Koond_kulud!K307</f>
        <v>Administreerimiskulud</v>
      </c>
      <c r="L282">
        <f>Koond_kulud!L307</f>
        <v>55</v>
      </c>
      <c r="M282" t="str">
        <f>Koond_kulud!M307</f>
        <v>55</v>
      </c>
      <c r="N282" t="str">
        <f>Koond_kulud!N307</f>
        <v>Muud tegevuskulud</v>
      </c>
      <c r="O282" t="str">
        <f>Koond_kulud!O307</f>
        <v>Majandamiskulud</v>
      </c>
      <c r="P282" t="str">
        <f>Koond_kulud!P307</f>
        <v>Põhitegevuse kulu</v>
      </c>
      <c r="Q282">
        <f>Koond_kulud!Q307</f>
        <v>0</v>
      </c>
    </row>
    <row r="283" spans="1:17" hidden="1" x14ac:dyDescent="0.25">
      <c r="A283" t="str">
        <f>Koond_kulud!A308</f>
        <v>08</v>
      </c>
      <c r="B283" t="str">
        <f>Koond_kulud!B308</f>
        <v xml:space="preserve">0810202         </v>
      </c>
      <c r="C283" t="str">
        <f>Koond_kulud!C308</f>
        <v xml:space="preserve"> Muuga Spordihoone</v>
      </c>
      <c r="D283" t="str">
        <f>Koond_kulud!D308</f>
        <v>Sport</v>
      </c>
      <c r="E283" t="str">
        <f>Koond_kulud!E308</f>
        <v>Vabaaeg, kultuur ja religioon</v>
      </c>
      <c r="F283" t="str">
        <f>Koond_kulud!F308</f>
        <v>Muuga Spordihoone</v>
      </c>
      <c r="G283" t="str">
        <f>Koond_kulud!G308</f>
        <v>tahmakasssetid, toonerid, tindikasseid</v>
      </c>
      <c r="H283">
        <f>Koond_kulud!H308</f>
        <v>400</v>
      </c>
      <c r="I283">
        <f>Koond_kulud!I308</f>
        <v>0</v>
      </c>
      <c r="J283">
        <f>Koond_kulud!J308</f>
        <v>5500</v>
      </c>
      <c r="K283" t="str">
        <f>Koond_kulud!K308</f>
        <v>Administreerimiskulud</v>
      </c>
      <c r="L283">
        <f>Koond_kulud!L308</f>
        <v>55</v>
      </c>
      <c r="M283" t="str">
        <f>Koond_kulud!M308</f>
        <v>55</v>
      </c>
      <c r="N283" t="str">
        <f>Koond_kulud!N308</f>
        <v>Muud tegevuskulud</v>
      </c>
      <c r="O283" t="str">
        <f>Koond_kulud!O308</f>
        <v>Majandamiskulud</v>
      </c>
      <c r="P283" t="str">
        <f>Koond_kulud!P308</f>
        <v>Põhitegevuse kulu</v>
      </c>
      <c r="Q283">
        <f>Koond_kulud!Q308</f>
        <v>0</v>
      </c>
    </row>
    <row r="284" spans="1:17" hidden="1" x14ac:dyDescent="0.25">
      <c r="A284" t="str">
        <f>Koond_kulud!A309</f>
        <v>08</v>
      </c>
      <c r="B284" t="str">
        <f>Koond_kulud!B309</f>
        <v xml:space="preserve">0810202         </v>
      </c>
      <c r="C284" t="str">
        <f>Koond_kulud!C309</f>
        <v xml:space="preserve"> Muuga Spordihoone</v>
      </c>
      <c r="D284" t="str">
        <f>Koond_kulud!D309</f>
        <v>Sport</v>
      </c>
      <c r="E284" t="str">
        <f>Koond_kulud!E309</f>
        <v>Vabaaeg, kultuur ja religioon</v>
      </c>
      <c r="F284" t="str">
        <f>Koond_kulud!F309</f>
        <v>Muuga Spordihoone</v>
      </c>
      <c r="G284" t="str">
        <f>Koond_kulud!G309</f>
        <v>Rent (Isikliku sõiduauto kulude hüvit.)</v>
      </c>
      <c r="H284">
        <f>Koond_kulud!H309</f>
        <v>720</v>
      </c>
      <c r="I284">
        <f>Koond_kulud!I309</f>
        <v>0</v>
      </c>
      <c r="J284">
        <f>Koond_kulud!J309</f>
        <v>5513</v>
      </c>
      <c r="K284" t="str">
        <f>Koond_kulud!K309</f>
        <v>Sõidukite ülalpidamise kulud</v>
      </c>
      <c r="L284">
        <f>Koond_kulud!L309</f>
        <v>55</v>
      </c>
      <c r="M284" t="str">
        <f>Koond_kulud!M309</f>
        <v>55</v>
      </c>
      <c r="N284" t="str">
        <f>Koond_kulud!N309</f>
        <v>Muud tegevuskulud</v>
      </c>
      <c r="O284" t="str">
        <f>Koond_kulud!O309</f>
        <v>Majandamiskulud</v>
      </c>
      <c r="P284" t="str">
        <f>Koond_kulud!P309</f>
        <v>Põhitegevuse kulu</v>
      </c>
      <c r="Q284">
        <f>Koond_kulud!Q309</f>
        <v>0</v>
      </c>
    </row>
    <row r="285" spans="1:17" hidden="1" x14ac:dyDescent="0.25">
      <c r="A285" t="str">
        <f>Koond_kulud!A310</f>
        <v>08</v>
      </c>
      <c r="B285" t="str">
        <f>Koond_kulud!B310</f>
        <v xml:space="preserve">0810202         </v>
      </c>
      <c r="C285" t="str">
        <f>Koond_kulud!C310</f>
        <v xml:space="preserve"> Muuga Spordihoone</v>
      </c>
      <c r="D285" t="str">
        <f>Koond_kulud!D310</f>
        <v>Sport</v>
      </c>
      <c r="E285" t="str">
        <f>Koond_kulud!E310</f>
        <v>Vabaaeg, kultuur ja religioon</v>
      </c>
      <c r="F285" t="str">
        <f>Koond_kulud!F310</f>
        <v>Muuga Spordihoone</v>
      </c>
      <c r="G285" t="str">
        <f>Koond_kulud!G310</f>
        <v>Telia internet, TV, lauatelefon</v>
      </c>
      <c r="H285">
        <f>Koond_kulud!H310</f>
        <v>920</v>
      </c>
      <c r="I285">
        <f>Koond_kulud!I310</f>
        <v>0</v>
      </c>
      <c r="J285">
        <f>Koond_kulud!J310</f>
        <v>5500</v>
      </c>
      <c r="K285" t="str">
        <f>Koond_kulud!K310</f>
        <v>Administreerimiskulud</v>
      </c>
      <c r="L285">
        <f>Koond_kulud!L310</f>
        <v>55</v>
      </c>
      <c r="M285" t="str">
        <f>Koond_kulud!M310</f>
        <v>55</v>
      </c>
      <c r="N285" t="str">
        <f>Koond_kulud!N310</f>
        <v>Muud tegevuskulud</v>
      </c>
      <c r="O285" t="str">
        <f>Koond_kulud!O310</f>
        <v>Majandamiskulud</v>
      </c>
      <c r="P285" t="str">
        <f>Koond_kulud!P310</f>
        <v>Põhitegevuse kulu</v>
      </c>
      <c r="Q285">
        <f>Koond_kulud!Q310</f>
        <v>0</v>
      </c>
    </row>
    <row r="286" spans="1:17" hidden="1" x14ac:dyDescent="0.25">
      <c r="A286" t="str">
        <f>Koond_kulud!A311</f>
        <v>08</v>
      </c>
      <c r="B286" t="str">
        <f>Koond_kulud!B311</f>
        <v xml:space="preserve">0810202         </v>
      </c>
      <c r="C286" t="str">
        <f>Koond_kulud!C311</f>
        <v xml:space="preserve"> Muuga Spordihoone</v>
      </c>
      <c r="D286" t="str">
        <f>Koond_kulud!D311</f>
        <v>Sport</v>
      </c>
      <c r="E286" t="str">
        <f>Koond_kulud!E311</f>
        <v>Vabaaeg, kultuur ja religioon</v>
      </c>
      <c r="F286" t="str">
        <f>Koond_kulud!F311</f>
        <v>Muuga Spordihoone</v>
      </c>
      <c r="G286" t="str">
        <f>Koond_kulud!G311</f>
        <v>Töötajate tervisekontroll, läbivaatus</v>
      </c>
      <c r="H286">
        <f>Koond_kulud!H311</f>
        <v>50</v>
      </c>
      <c r="I286">
        <f>Koond_kulud!I311</f>
        <v>0</v>
      </c>
      <c r="J286">
        <f>Koond_kulud!J311</f>
        <v>5522</v>
      </c>
      <c r="K286" t="str">
        <f>Koond_kulud!K311</f>
        <v>Meditsiinikulud ja hügieenitarbed</v>
      </c>
      <c r="L286">
        <f>Koond_kulud!L311</f>
        <v>55</v>
      </c>
      <c r="M286" t="str">
        <f>Koond_kulud!M311</f>
        <v>55</v>
      </c>
      <c r="N286" t="str">
        <f>Koond_kulud!N311</f>
        <v>Muud tegevuskulud</v>
      </c>
      <c r="O286" t="str">
        <f>Koond_kulud!O311</f>
        <v>Majandamiskulud</v>
      </c>
      <c r="P286" t="str">
        <f>Koond_kulud!P311</f>
        <v>Põhitegevuse kulu</v>
      </c>
      <c r="Q286">
        <f>Koond_kulud!Q311</f>
        <v>0</v>
      </c>
    </row>
    <row r="287" spans="1:17" hidden="1" x14ac:dyDescent="0.25">
      <c r="A287" t="str">
        <f>Koond_kulud!A312</f>
        <v>08</v>
      </c>
      <c r="B287" t="str">
        <f>Koond_kulud!B312</f>
        <v xml:space="preserve">0810202         </v>
      </c>
      <c r="C287" t="str">
        <f>Koond_kulud!C312</f>
        <v xml:space="preserve"> Muuga Spordihoone</v>
      </c>
      <c r="D287" t="str">
        <f>Koond_kulud!D312</f>
        <v>Sport</v>
      </c>
      <c r="E287" t="str">
        <f>Koond_kulud!E312</f>
        <v>Vabaaeg, kultuur ja religioon</v>
      </c>
      <c r="F287" t="str">
        <f>Koond_kulud!F312</f>
        <v>Muuga Spordihoone</v>
      </c>
      <c r="G287" t="str">
        <f>Koond_kulud!G312</f>
        <v>Ürituste korraldamise kulud</v>
      </c>
      <c r="H287">
        <f>Koond_kulud!H312</f>
        <v>400</v>
      </c>
      <c r="I287">
        <f>Koond_kulud!I312</f>
        <v>0</v>
      </c>
      <c r="J287">
        <f>Koond_kulud!J312</f>
        <v>5525</v>
      </c>
      <c r="K287" t="str">
        <f>Koond_kulud!K312</f>
        <v>Kommunikatsiooni-, kultuuri- ja vaba aja sisustamise kulud</v>
      </c>
      <c r="L287">
        <f>Koond_kulud!L312</f>
        <v>55</v>
      </c>
      <c r="M287" t="str">
        <f>Koond_kulud!M312</f>
        <v>55</v>
      </c>
      <c r="N287" t="str">
        <f>Koond_kulud!N312</f>
        <v>Muud tegevuskulud</v>
      </c>
      <c r="O287" t="str">
        <f>Koond_kulud!O312</f>
        <v>Majandamiskulud</v>
      </c>
      <c r="P287" t="str">
        <f>Koond_kulud!P312</f>
        <v>Põhitegevuse kulu</v>
      </c>
      <c r="Q287">
        <f>Koond_kulud!Q312</f>
        <v>0</v>
      </c>
    </row>
    <row r="288" spans="1:17" hidden="1" x14ac:dyDescent="0.25">
      <c r="A288" t="str">
        <f>Koond_kulud!A313</f>
        <v>08</v>
      </c>
      <c r="B288" t="str">
        <f>Koond_kulud!B313</f>
        <v xml:space="preserve">0810202         </v>
      </c>
      <c r="C288" t="str">
        <f>Koond_kulud!C313</f>
        <v xml:space="preserve"> Muuga Spordihoone</v>
      </c>
      <c r="D288" t="str">
        <f>Koond_kulud!D313</f>
        <v>Sport</v>
      </c>
      <c r="E288" t="str">
        <f>Koond_kulud!E313</f>
        <v>Vabaaeg, kultuur ja religioon</v>
      </c>
      <c r="F288" t="str">
        <f>Koond_kulud!F313</f>
        <v>Muuga Spordihoone</v>
      </c>
      <c r="G288" t="str">
        <f>Koond_kulud!G313</f>
        <v>osavõtutasud</v>
      </c>
      <c r="H288">
        <f>Koond_kulud!H313</f>
        <v>200</v>
      </c>
      <c r="I288">
        <f>Koond_kulud!I313</f>
        <v>0</v>
      </c>
      <c r="J288">
        <f>Koond_kulud!J313</f>
        <v>5525</v>
      </c>
      <c r="K288" t="str">
        <f>Koond_kulud!K313</f>
        <v>Kommunikatsiooni-, kultuuri- ja vaba aja sisustamise kulud</v>
      </c>
      <c r="L288">
        <f>Koond_kulud!L313</f>
        <v>55</v>
      </c>
      <c r="M288" t="str">
        <f>Koond_kulud!M313</f>
        <v>55</v>
      </c>
      <c r="N288" t="str">
        <f>Koond_kulud!N313</f>
        <v>Muud tegevuskulud</v>
      </c>
      <c r="O288" t="str">
        <f>Koond_kulud!O313</f>
        <v>Majandamiskulud</v>
      </c>
      <c r="P288" t="str">
        <f>Koond_kulud!P313</f>
        <v>Põhitegevuse kulu</v>
      </c>
      <c r="Q288">
        <f>Koond_kulud!Q313</f>
        <v>0</v>
      </c>
    </row>
    <row r="289" spans="1:17" hidden="1" x14ac:dyDescent="0.25">
      <c r="A289" t="str">
        <f>Koond_kulud!A314</f>
        <v>08</v>
      </c>
      <c r="B289" t="str">
        <f>Koond_kulud!B314</f>
        <v xml:space="preserve">0810202         </v>
      </c>
      <c r="C289" t="str">
        <f>Koond_kulud!C314</f>
        <v xml:space="preserve"> Muuga Spordihoone</v>
      </c>
      <c r="D289" t="str">
        <f>Koond_kulud!D314</f>
        <v>Sport</v>
      </c>
      <c r="E289" t="str">
        <f>Koond_kulud!E314</f>
        <v>Vabaaeg, kultuur ja religioon</v>
      </c>
      <c r="F289" t="str">
        <f>Koond_kulud!F314</f>
        <v>Muuga Spordihoone</v>
      </c>
      <c r="G289" t="str">
        <f>Koond_kulud!G314</f>
        <v>Spordiüritused</v>
      </c>
      <c r="H289">
        <f>Koond_kulud!H314</f>
        <v>900</v>
      </c>
      <c r="I289">
        <f>Koond_kulud!I314</f>
        <v>0</v>
      </c>
      <c r="J289">
        <f>Koond_kulud!J314</f>
        <v>5525</v>
      </c>
      <c r="K289" t="str">
        <f>Koond_kulud!K314</f>
        <v>Kommunikatsiooni-, kultuuri- ja vaba aja sisustamise kulud</v>
      </c>
      <c r="L289">
        <f>Koond_kulud!L314</f>
        <v>55</v>
      </c>
      <c r="M289" t="str">
        <f>Koond_kulud!M314</f>
        <v>55</v>
      </c>
      <c r="N289" t="str">
        <f>Koond_kulud!N314</f>
        <v>Muud tegevuskulud</v>
      </c>
      <c r="O289" t="str">
        <f>Koond_kulud!O314</f>
        <v>Majandamiskulud</v>
      </c>
      <c r="P289" t="str">
        <f>Koond_kulud!P314</f>
        <v>Põhitegevuse kulu</v>
      </c>
      <c r="Q289">
        <f>Koond_kulud!Q314</f>
        <v>0</v>
      </c>
    </row>
    <row r="290" spans="1:17" hidden="1" x14ac:dyDescent="0.25">
      <c r="A290" t="str">
        <f>Koond_kulud!A315</f>
        <v>08</v>
      </c>
      <c r="B290" t="str">
        <f>Koond_kulud!B315</f>
        <v xml:space="preserve">0810202         </v>
      </c>
      <c r="C290" t="str">
        <f>Koond_kulud!C315</f>
        <v xml:space="preserve"> Muuga Spordihoone</v>
      </c>
      <c r="D290" t="str">
        <f>Koond_kulud!D315</f>
        <v>Sport</v>
      </c>
      <c r="E290" t="str">
        <f>Koond_kulud!E315</f>
        <v>Vabaaeg, kultuur ja religioon</v>
      </c>
      <c r="F290" t="str">
        <f>Koond_kulud!F315</f>
        <v>Muuga Spordihoone</v>
      </c>
      <c r="G290" t="str">
        <f>Koond_kulud!G315</f>
        <v>Transpordi kasutus</v>
      </c>
      <c r="H290">
        <f>Koond_kulud!H315</f>
        <v>400</v>
      </c>
      <c r="I290">
        <f>Koond_kulud!I315</f>
        <v>0</v>
      </c>
      <c r="J290">
        <f>Koond_kulud!J315</f>
        <v>5525</v>
      </c>
      <c r="K290" t="str">
        <f>Koond_kulud!K315</f>
        <v>Kommunikatsiooni-, kultuuri- ja vaba aja sisustamise kulud</v>
      </c>
      <c r="L290">
        <f>Koond_kulud!L315</f>
        <v>55</v>
      </c>
      <c r="M290" t="str">
        <f>Koond_kulud!M315</f>
        <v>55</v>
      </c>
      <c r="N290" t="str">
        <f>Koond_kulud!N315</f>
        <v>Muud tegevuskulud</v>
      </c>
      <c r="O290" t="str">
        <f>Koond_kulud!O315</f>
        <v>Majandamiskulud</v>
      </c>
      <c r="P290" t="str">
        <f>Koond_kulud!P315</f>
        <v>Põhitegevuse kulu</v>
      </c>
      <c r="Q290">
        <f>Koond_kulud!Q315</f>
        <v>0</v>
      </c>
    </row>
    <row r="291" spans="1:17" hidden="1" x14ac:dyDescent="0.25">
      <c r="A291" t="str">
        <f>Koond_kulud!A316</f>
        <v>08</v>
      </c>
      <c r="B291" t="str">
        <f>Koond_kulud!B316</f>
        <v xml:space="preserve">0810202         </v>
      </c>
      <c r="C291" t="str">
        <f>Koond_kulud!C316</f>
        <v xml:space="preserve"> Muuga Spordihoone</v>
      </c>
      <c r="D291" t="str">
        <f>Koond_kulud!D316</f>
        <v>Sport</v>
      </c>
      <c r="E291" t="str">
        <f>Koond_kulud!E316</f>
        <v>Vabaaeg, kultuur ja religioon</v>
      </c>
      <c r="F291" t="str">
        <f>Koond_kulud!F316</f>
        <v>Muuga Spordihoone</v>
      </c>
      <c r="G291" t="str">
        <f>Koond_kulud!G316</f>
        <v>Elektri kulu</v>
      </c>
      <c r="H291">
        <f>Koond_kulud!H316</f>
        <v>10000</v>
      </c>
      <c r="I291">
        <f>Koond_kulud!I316</f>
        <v>0</v>
      </c>
      <c r="J291">
        <f>Koond_kulud!J316</f>
        <v>5511</v>
      </c>
      <c r="K291" t="str">
        <f>Koond_kulud!K316</f>
        <v>Kinnistute, hoonete ja ruumide majandamiskulud</v>
      </c>
      <c r="L291">
        <f>Koond_kulud!L316</f>
        <v>55</v>
      </c>
      <c r="M291" t="str">
        <f>Koond_kulud!M316</f>
        <v>55</v>
      </c>
      <c r="N291" t="str">
        <f>Koond_kulud!N316</f>
        <v>Muud tegevuskulud</v>
      </c>
      <c r="O291" t="str">
        <f>Koond_kulud!O316</f>
        <v>Majandamiskulud</v>
      </c>
      <c r="P291" t="str">
        <f>Koond_kulud!P316</f>
        <v>Põhitegevuse kulu</v>
      </c>
      <c r="Q291">
        <f>Koond_kulud!Q316</f>
        <v>0</v>
      </c>
    </row>
    <row r="292" spans="1:17" hidden="1" x14ac:dyDescent="0.25">
      <c r="A292" t="str">
        <f>Koond_kulud!A317</f>
        <v>08</v>
      </c>
      <c r="B292" t="str">
        <f>Koond_kulud!B317</f>
        <v xml:space="preserve">0810202         </v>
      </c>
      <c r="C292" t="str">
        <f>Koond_kulud!C317</f>
        <v xml:space="preserve"> Muuga Spordihoone</v>
      </c>
      <c r="D292" t="str">
        <f>Koond_kulud!D317</f>
        <v>Sport</v>
      </c>
      <c r="E292" t="str">
        <f>Koond_kulud!E317</f>
        <v>Vabaaeg, kultuur ja religioon</v>
      </c>
      <c r="F292" t="str">
        <f>Koond_kulud!F317</f>
        <v>Muuga Spordihoone</v>
      </c>
      <c r="G292" t="str">
        <f>Koond_kulud!G317</f>
        <v>elektrikäitlemislepingu kulu</v>
      </c>
      <c r="H292">
        <f>Koond_kulud!H317</f>
        <v>460</v>
      </c>
      <c r="I292">
        <f>Koond_kulud!I317</f>
        <v>0</v>
      </c>
      <c r="J292">
        <f>Koond_kulud!J317</f>
        <v>5511</v>
      </c>
      <c r="K292" t="str">
        <f>Koond_kulud!K317</f>
        <v>Kinnistute, hoonete ja ruumide majandamiskulud</v>
      </c>
      <c r="L292">
        <f>Koond_kulud!L317</f>
        <v>55</v>
      </c>
      <c r="M292" t="str">
        <f>Koond_kulud!M317</f>
        <v>55</v>
      </c>
      <c r="N292" t="str">
        <f>Koond_kulud!N317</f>
        <v>Muud tegevuskulud</v>
      </c>
      <c r="O292" t="str">
        <f>Koond_kulud!O317</f>
        <v>Majandamiskulud</v>
      </c>
      <c r="P292" t="str">
        <f>Koond_kulud!P317</f>
        <v>Põhitegevuse kulu</v>
      </c>
      <c r="Q292">
        <f>Koond_kulud!Q317</f>
        <v>0</v>
      </c>
    </row>
    <row r="293" spans="1:17" hidden="1" x14ac:dyDescent="0.25">
      <c r="A293" t="str">
        <f>Koond_kulud!A318</f>
        <v>08</v>
      </c>
      <c r="B293" t="str">
        <f>Koond_kulud!B318</f>
        <v xml:space="preserve">0810202         </v>
      </c>
      <c r="C293" t="str">
        <f>Koond_kulud!C318</f>
        <v xml:space="preserve"> Muuga Spordihoone</v>
      </c>
      <c r="D293" t="str">
        <f>Koond_kulud!D318</f>
        <v>Sport</v>
      </c>
      <c r="E293" t="str">
        <f>Koond_kulud!E318</f>
        <v>Vabaaeg, kultuur ja religioon</v>
      </c>
      <c r="F293" t="str">
        <f>Koond_kulud!F318</f>
        <v>Muuga Spordihoone</v>
      </c>
      <c r="G293" t="str">
        <f>Koond_kulud!G318</f>
        <v>korrashoiu- ja pisiremondi materjalid</v>
      </c>
      <c r="H293">
        <f>Koond_kulud!H318</f>
        <v>700</v>
      </c>
      <c r="I293">
        <f>Koond_kulud!I318</f>
        <v>0</v>
      </c>
      <c r="J293">
        <f>Koond_kulud!J318</f>
        <v>5511</v>
      </c>
      <c r="K293" t="str">
        <f>Koond_kulud!K318</f>
        <v>Kinnistute, hoonete ja ruumide majandamiskulud</v>
      </c>
      <c r="L293">
        <f>Koond_kulud!L318</f>
        <v>55</v>
      </c>
      <c r="M293" t="str">
        <f>Koond_kulud!M318</f>
        <v>55</v>
      </c>
      <c r="N293" t="str">
        <f>Koond_kulud!N318</f>
        <v>Muud tegevuskulud</v>
      </c>
      <c r="O293" t="str">
        <f>Koond_kulud!O318</f>
        <v>Majandamiskulud</v>
      </c>
      <c r="P293" t="str">
        <f>Koond_kulud!P318</f>
        <v>Põhitegevuse kulu</v>
      </c>
      <c r="Q293">
        <f>Koond_kulud!Q318</f>
        <v>0</v>
      </c>
    </row>
    <row r="294" spans="1:17" hidden="1" x14ac:dyDescent="0.25">
      <c r="A294" t="str">
        <f>Koond_kulud!A319</f>
        <v>08</v>
      </c>
      <c r="B294" t="str">
        <f>Koond_kulud!B319</f>
        <v xml:space="preserve">0810202         </v>
      </c>
      <c r="C294" t="str">
        <f>Koond_kulud!C319</f>
        <v xml:space="preserve"> Muuga Spordihoone</v>
      </c>
      <c r="D294" t="str">
        <f>Koond_kulud!D319</f>
        <v>Sport</v>
      </c>
      <c r="E294" t="str">
        <f>Koond_kulud!E319</f>
        <v>Vabaaeg, kultuur ja religioon</v>
      </c>
      <c r="F294" t="str">
        <f>Koond_kulud!F319</f>
        <v>Muuga Spordihoone</v>
      </c>
      <c r="G294" t="str">
        <f>Koond_kulud!G319</f>
        <v>korrashoiu- ja prügioveoteenused</v>
      </c>
      <c r="H294">
        <f>Koond_kulud!H319</f>
        <v>210</v>
      </c>
      <c r="I294">
        <f>Koond_kulud!I319</f>
        <v>0</v>
      </c>
      <c r="J294">
        <f>Koond_kulud!J319</f>
        <v>5511</v>
      </c>
      <c r="K294" t="str">
        <f>Koond_kulud!K319</f>
        <v>Kinnistute, hoonete ja ruumide majandamiskulud</v>
      </c>
      <c r="L294">
        <f>Koond_kulud!L319</f>
        <v>55</v>
      </c>
      <c r="M294" t="str">
        <f>Koond_kulud!M319</f>
        <v>55</v>
      </c>
      <c r="N294" t="str">
        <f>Koond_kulud!N319</f>
        <v>Muud tegevuskulud</v>
      </c>
      <c r="O294" t="str">
        <f>Koond_kulud!O319</f>
        <v>Majandamiskulud</v>
      </c>
      <c r="P294" t="str">
        <f>Koond_kulud!P319</f>
        <v>Põhitegevuse kulu</v>
      </c>
      <c r="Q294">
        <f>Koond_kulud!Q319</f>
        <v>0</v>
      </c>
    </row>
    <row r="295" spans="1:17" hidden="1" x14ac:dyDescent="0.25">
      <c r="A295" t="str">
        <f>Koond_kulud!A320</f>
        <v>08</v>
      </c>
      <c r="B295" t="str">
        <f>Koond_kulud!B320</f>
        <v xml:space="preserve">0810202         </v>
      </c>
      <c r="C295" t="str">
        <f>Koond_kulud!C320</f>
        <v xml:space="preserve"> Muuga Spordihoone</v>
      </c>
      <c r="D295" t="str">
        <f>Koond_kulud!D320</f>
        <v>Sport</v>
      </c>
      <c r="E295" t="str">
        <f>Koond_kulud!E320</f>
        <v>Vabaaeg, kultuur ja religioon</v>
      </c>
      <c r="F295" t="str">
        <f>Koond_kulud!F320</f>
        <v>Muuga Spordihoone</v>
      </c>
      <c r="G295" t="str">
        <f>Koond_kulud!G320</f>
        <v>Vesi- ja kanalisatsioon</v>
      </c>
      <c r="H295">
        <f>Koond_kulud!H320</f>
        <v>520</v>
      </c>
      <c r="I295">
        <f>Koond_kulud!I320</f>
        <v>0</v>
      </c>
      <c r="J295">
        <f>Koond_kulud!J320</f>
        <v>5511</v>
      </c>
      <c r="K295" t="str">
        <f>Koond_kulud!K320</f>
        <v>Kinnistute, hoonete ja ruumide majandamiskulud</v>
      </c>
      <c r="L295">
        <f>Koond_kulud!L320</f>
        <v>55</v>
      </c>
      <c r="M295" t="str">
        <f>Koond_kulud!M320</f>
        <v>55</v>
      </c>
      <c r="N295" t="str">
        <f>Koond_kulud!N320</f>
        <v>Muud tegevuskulud</v>
      </c>
      <c r="O295" t="str">
        <f>Koond_kulud!O320</f>
        <v>Majandamiskulud</v>
      </c>
      <c r="P295" t="str">
        <f>Koond_kulud!P320</f>
        <v>Põhitegevuse kulu</v>
      </c>
      <c r="Q295">
        <f>Koond_kulud!Q320</f>
        <v>0</v>
      </c>
    </row>
    <row r="296" spans="1:17" hidden="1" x14ac:dyDescent="0.25">
      <c r="A296" t="str">
        <f>Koond_kulud!A321</f>
        <v>08</v>
      </c>
      <c r="B296" t="str">
        <f>Koond_kulud!B321</f>
        <v xml:space="preserve">0810202         </v>
      </c>
      <c r="C296" t="str">
        <f>Koond_kulud!C321</f>
        <v xml:space="preserve"> Muuga Spordihoone</v>
      </c>
      <c r="D296" t="str">
        <f>Koond_kulud!D321</f>
        <v>Sport</v>
      </c>
      <c r="E296" t="str">
        <f>Koond_kulud!E321</f>
        <v>Vabaaeg, kultuur ja religioon</v>
      </c>
      <c r="F296" t="str">
        <f>Koond_kulud!F321</f>
        <v>Muuga Spordihoone</v>
      </c>
      <c r="G296" t="str">
        <f>Koond_kulud!G321</f>
        <v>remonttööd</v>
      </c>
      <c r="H296">
        <f>Koond_kulud!H321</f>
        <v>738</v>
      </c>
      <c r="I296">
        <f>Koond_kulud!I321</f>
        <v>0</v>
      </c>
      <c r="J296">
        <f>Koond_kulud!J321</f>
        <v>5511</v>
      </c>
      <c r="K296" t="str">
        <f>Koond_kulud!K321</f>
        <v>Kinnistute, hoonete ja ruumide majandamiskulud</v>
      </c>
      <c r="L296">
        <f>Koond_kulud!L321</f>
        <v>55</v>
      </c>
      <c r="M296" t="str">
        <f>Koond_kulud!M321</f>
        <v>55</v>
      </c>
      <c r="N296" t="str">
        <f>Koond_kulud!N321</f>
        <v>Muud tegevuskulud</v>
      </c>
      <c r="O296" t="str">
        <f>Koond_kulud!O321</f>
        <v>Majandamiskulud</v>
      </c>
      <c r="P296" t="str">
        <f>Koond_kulud!P321</f>
        <v>Põhitegevuse kulu</v>
      </c>
      <c r="Q296">
        <f>Koond_kulud!Q321</f>
        <v>0</v>
      </c>
    </row>
    <row r="297" spans="1:17" hidden="1" x14ac:dyDescent="0.25">
      <c r="A297" t="str">
        <f>Koond_kulud!A322</f>
        <v>08</v>
      </c>
      <c r="B297" t="str">
        <f>Koond_kulud!B322</f>
        <v xml:space="preserve">0810202         </v>
      </c>
      <c r="C297" t="str">
        <f>Koond_kulud!C322</f>
        <v xml:space="preserve"> Muuga Spordihoone</v>
      </c>
      <c r="D297" t="str">
        <f>Koond_kulud!D322</f>
        <v>Sport</v>
      </c>
      <c r="E297" t="str">
        <f>Koond_kulud!E322</f>
        <v>Vabaaeg, kultuur ja religioon</v>
      </c>
      <c r="F297" t="str">
        <f>Koond_kulud!F322</f>
        <v>Muuga Spordihoone</v>
      </c>
      <c r="G297" t="str">
        <f>Koond_kulud!G322</f>
        <v>ATS signalisatsioon</v>
      </c>
      <c r="H297">
        <f>Koond_kulud!H322</f>
        <v>317</v>
      </c>
      <c r="I297">
        <f>Koond_kulud!I322</f>
        <v>0</v>
      </c>
      <c r="J297">
        <f>Koond_kulud!J322</f>
        <v>5511</v>
      </c>
      <c r="K297" t="str">
        <f>Koond_kulud!K322</f>
        <v>Kinnistute, hoonete ja ruumide majandamiskulud</v>
      </c>
      <c r="L297">
        <f>Koond_kulud!L322</f>
        <v>55</v>
      </c>
      <c r="M297" t="str">
        <f>Koond_kulud!M322</f>
        <v>55</v>
      </c>
      <c r="N297" t="str">
        <f>Koond_kulud!N322</f>
        <v>Muud tegevuskulud</v>
      </c>
      <c r="O297" t="str">
        <f>Koond_kulud!O322</f>
        <v>Majandamiskulud</v>
      </c>
      <c r="P297" t="str">
        <f>Koond_kulud!P322</f>
        <v>Põhitegevuse kulu</v>
      </c>
      <c r="Q297">
        <f>Koond_kulud!Q322</f>
        <v>0</v>
      </c>
    </row>
    <row r="298" spans="1:17" hidden="1" x14ac:dyDescent="0.25">
      <c r="A298" t="str">
        <f>Koond_kulud!A323</f>
        <v>08</v>
      </c>
      <c r="B298" t="str">
        <f>Koond_kulud!B323</f>
        <v xml:space="preserve">0810202         </v>
      </c>
      <c r="C298" t="str">
        <f>Koond_kulud!C323</f>
        <v xml:space="preserve"> Muuga Spordihoone</v>
      </c>
      <c r="D298" t="str">
        <f>Koond_kulud!D323</f>
        <v>Sport</v>
      </c>
      <c r="E298" t="str">
        <f>Koond_kulud!E323</f>
        <v>Vabaaeg, kultuur ja religioon</v>
      </c>
      <c r="F298" t="str">
        <f>Koond_kulud!F323</f>
        <v>Muuga Spordihoone</v>
      </c>
      <c r="G298" t="str">
        <f>Koond_kulud!G323</f>
        <v>istikud</v>
      </c>
      <c r="H298">
        <f>Koond_kulud!H323</f>
        <v>26.4</v>
      </c>
      <c r="I298">
        <f>Koond_kulud!I323</f>
        <v>0</v>
      </c>
      <c r="J298">
        <f>Koond_kulud!J323</f>
        <v>5511</v>
      </c>
      <c r="K298" t="str">
        <f>Koond_kulud!K323</f>
        <v>Kinnistute, hoonete ja ruumide majandamiskulud</v>
      </c>
      <c r="L298">
        <f>Koond_kulud!L323</f>
        <v>55</v>
      </c>
      <c r="M298" t="str">
        <f>Koond_kulud!M323</f>
        <v>55</v>
      </c>
      <c r="N298" t="str">
        <f>Koond_kulud!N323</f>
        <v>Muud tegevuskulud</v>
      </c>
      <c r="O298" t="str">
        <f>Koond_kulud!O323</f>
        <v>Majandamiskulud</v>
      </c>
      <c r="P298" t="str">
        <f>Koond_kulud!P323</f>
        <v>Põhitegevuse kulu</v>
      </c>
      <c r="Q298">
        <f>Koond_kulud!Q323</f>
        <v>0</v>
      </c>
    </row>
    <row r="299" spans="1:17" hidden="1" x14ac:dyDescent="0.25">
      <c r="A299" t="str">
        <f>Koond_kulud!A324</f>
        <v>08</v>
      </c>
      <c r="B299" t="str">
        <f>Koond_kulud!B324</f>
        <v xml:space="preserve">0810202         </v>
      </c>
      <c r="C299" t="str">
        <f>Koond_kulud!C324</f>
        <v xml:space="preserve"> Muuga Spordihoone</v>
      </c>
      <c r="D299" t="str">
        <f>Koond_kulud!D324</f>
        <v>Sport</v>
      </c>
      <c r="E299" t="str">
        <f>Koond_kulud!E324</f>
        <v>Vabaaeg, kultuur ja religioon</v>
      </c>
      <c r="F299" t="str">
        <f>Koond_kulud!F324</f>
        <v>Muuga Spordihoone</v>
      </c>
      <c r="G299" t="str">
        <f>Koond_kulud!G324</f>
        <v>Lipud,vimplid, sümboolika</v>
      </c>
      <c r="H299">
        <f>Koond_kulud!H324</f>
        <v>150</v>
      </c>
      <c r="I299">
        <f>Koond_kulud!I324</f>
        <v>0</v>
      </c>
      <c r="J299">
        <f>Koond_kulud!J324</f>
        <v>5511</v>
      </c>
      <c r="K299" t="str">
        <f>Koond_kulud!K324</f>
        <v>Kinnistute, hoonete ja ruumide majandamiskulud</v>
      </c>
      <c r="L299">
        <f>Koond_kulud!L324</f>
        <v>55</v>
      </c>
      <c r="M299" t="str">
        <f>Koond_kulud!M324</f>
        <v>55</v>
      </c>
      <c r="N299" t="str">
        <f>Koond_kulud!N324</f>
        <v>Muud tegevuskulud</v>
      </c>
      <c r="O299" t="str">
        <f>Koond_kulud!O324</f>
        <v>Majandamiskulud</v>
      </c>
      <c r="P299" t="str">
        <f>Koond_kulud!P324</f>
        <v>Põhitegevuse kulu</v>
      </c>
      <c r="Q299">
        <f>Koond_kulud!Q324</f>
        <v>0</v>
      </c>
    </row>
    <row r="300" spans="1:17" hidden="1" x14ac:dyDescent="0.25">
      <c r="A300" t="str">
        <f>Koond_kulud!A325</f>
        <v>08</v>
      </c>
      <c r="B300" t="str">
        <f>Koond_kulud!B325</f>
        <v xml:space="preserve">0810202         </v>
      </c>
      <c r="C300" t="str">
        <f>Koond_kulud!C325</f>
        <v xml:space="preserve"> Muuga Spordihoone</v>
      </c>
      <c r="D300" t="str">
        <f>Koond_kulud!D325</f>
        <v>Sport</v>
      </c>
      <c r="E300" t="str">
        <f>Koond_kulud!E325</f>
        <v>Vabaaeg, kultuur ja religioon</v>
      </c>
      <c r="F300" t="str">
        <f>Koond_kulud!F325</f>
        <v>Muuga Spordihoone</v>
      </c>
      <c r="G300" t="str">
        <f>Koond_kulud!G325</f>
        <v>infotehnoloogiline riist-ja tarkvara</v>
      </c>
      <c r="H300">
        <f>Koond_kulud!H325</f>
        <v>300</v>
      </c>
      <c r="I300">
        <f>Koond_kulud!I325</f>
        <v>0</v>
      </c>
      <c r="J300">
        <f>Koond_kulud!J325</f>
        <v>5514</v>
      </c>
      <c r="K300" t="str">
        <f>Koond_kulud!K325</f>
        <v>Info- ja kommunikatsioonitehnoliigised kulud</v>
      </c>
      <c r="L300">
        <f>Koond_kulud!L325</f>
        <v>55</v>
      </c>
      <c r="M300" t="str">
        <f>Koond_kulud!M325</f>
        <v>55</v>
      </c>
      <c r="N300" t="str">
        <f>Koond_kulud!N325</f>
        <v>Muud tegevuskulud</v>
      </c>
      <c r="O300" t="str">
        <f>Koond_kulud!O325</f>
        <v>Majandamiskulud</v>
      </c>
      <c r="P300" t="str">
        <f>Koond_kulud!P325</f>
        <v>Põhitegevuse kulu</v>
      </c>
      <c r="Q300">
        <f>Koond_kulud!Q325</f>
        <v>0</v>
      </c>
    </row>
    <row r="301" spans="1:17" hidden="1" x14ac:dyDescent="0.25">
      <c r="A301" t="str">
        <f>Koond_kulud!A326</f>
        <v>08</v>
      </c>
      <c r="B301" t="str">
        <f>Koond_kulud!B326</f>
        <v xml:space="preserve">0810203         </v>
      </c>
      <c r="C301" t="str">
        <f>Koond_kulud!C326</f>
        <v xml:space="preserve"> Staadion</v>
      </c>
      <c r="D301" t="str">
        <f>Koond_kulud!D326</f>
        <v>Sport</v>
      </c>
      <c r="E301" t="str">
        <f>Koond_kulud!E326</f>
        <v>Vabaaeg, kultuur ja religioon</v>
      </c>
      <c r="F301" t="str">
        <f>Koond_kulud!F326</f>
        <v>Arendusnõunik</v>
      </c>
      <c r="G301" t="str">
        <f>Koond_kulud!G326</f>
        <v>sisseostetud teenus (kevad- ja järelhooldus)</v>
      </c>
      <c r="H301">
        <f>Koond_kulud!H326</f>
        <v>3000</v>
      </c>
      <c r="I301">
        <f>Koond_kulud!I326</f>
        <v>0</v>
      </c>
      <c r="J301">
        <f>Koond_kulud!J326</f>
        <v>5511</v>
      </c>
      <c r="K301" t="str">
        <f>Koond_kulud!K326</f>
        <v>Kinnistute, hoonete ja ruumide majandamiskulud</v>
      </c>
      <c r="L301">
        <f>Koond_kulud!L326</f>
        <v>55</v>
      </c>
      <c r="M301" t="str">
        <f>Koond_kulud!M326</f>
        <v>55</v>
      </c>
      <c r="N301" t="str">
        <f>Koond_kulud!N326</f>
        <v>Muud tegevuskulud</v>
      </c>
      <c r="O301" t="str">
        <f>Koond_kulud!O326</f>
        <v>Majandamiskulud</v>
      </c>
      <c r="P301" t="str">
        <f>Koond_kulud!P326</f>
        <v>Põhitegevuse kulu</v>
      </c>
      <c r="Q301">
        <f>Koond_kulud!Q326</f>
        <v>0</v>
      </c>
    </row>
    <row r="302" spans="1:17" hidden="1" x14ac:dyDescent="0.25">
      <c r="A302" t="str">
        <f>Koond_kulud!A327</f>
        <v>08</v>
      </c>
      <c r="B302" t="str">
        <f>Koond_kulud!B327</f>
        <v xml:space="preserve">0810203         </v>
      </c>
      <c r="C302" t="str">
        <f>Koond_kulud!C327</f>
        <v xml:space="preserve"> Staadion</v>
      </c>
      <c r="D302" t="str">
        <f>Koond_kulud!D327</f>
        <v>Sport</v>
      </c>
      <c r="E302" t="str">
        <f>Koond_kulud!E327</f>
        <v>Vabaaeg, kultuur ja religioon</v>
      </c>
      <c r="F302" t="str">
        <f>Koond_kulud!F327</f>
        <v>Arendusnõunik</v>
      </c>
      <c r="G302" t="str">
        <f>Koond_kulud!G327</f>
        <v>väetis</v>
      </c>
      <c r="H302">
        <f>Koond_kulud!H327</f>
        <v>1500</v>
      </c>
      <c r="I302">
        <f>Koond_kulud!I327</f>
        <v>0</v>
      </c>
      <c r="J302">
        <f>Koond_kulud!J327</f>
        <v>5511</v>
      </c>
      <c r="K302" t="str">
        <f>Koond_kulud!K327</f>
        <v>Kinnistute, hoonete ja ruumide majandamiskulud</v>
      </c>
      <c r="L302">
        <f>Koond_kulud!L327</f>
        <v>55</v>
      </c>
      <c r="M302" t="str">
        <f>Koond_kulud!M327</f>
        <v>55</v>
      </c>
      <c r="N302" t="str">
        <f>Koond_kulud!N327</f>
        <v>Muud tegevuskulud</v>
      </c>
      <c r="O302" t="str">
        <f>Koond_kulud!O327</f>
        <v>Majandamiskulud</v>
      </c>
      <c r="P302" t="str">
        <f>Koond_kulud!P327</f>
        <v>Põhitegevuse kulu</v>
      </c>
      <c r="Q302">
        <f>Koond_kulud!Q327</f>
        <v>0</v>
      </c>
    </row>
    <row r="303" spans="1:17" hidden="1" x14ac:dyDescent="0.25">
      <c r="A303" t="str">
        <f>Koond_kulud!A328</f>
        <v>08</v>
      </c>
      <c r="B303" t="str">
        <f>Koond_kulud!B328</f>
        <v xml:space="preserve">0810203         </v>
      </c>
      <c r="C303" t="str">
        <f>Koond_kulud!C328</f>
        <v xml:space="preserve"> Staadion</v>
      </c>
      <c r="D303" t="str">
        <f>Koond_kulud!D328</f>
        <v>Sport</v>
      </c>
      <c r="E303" t="str">
        <f>Koond_kulud!E328</f>
        <v>Vabaaeg, kultuur ja religioon</v>
      </c>
      <c r="F303" t="str">
        <f>Koond_kulud!F328</f>
        <v>Arendusnõunik</v>
      </c>
      <c r="G303" t="str">
        <f>Koond_kulud!G328</f>
        <v>kütus</v>
      </c>
      <c r="H303">
        <f>Koond_kulud!H328</f>
        <v>300</v>
      </c>
      <c r="I303">
        <f>Koond_kulud!I328</f>
        <v>0</v>
      </c>
      <c r="J303">
        <f>Koond_kulud!J328</f>
        <v>5511</v>
      </c>
      <c r="K303" t="str">
        <f>Koond_kulud!K328</f>
        <v>Kinnistute, hoonete ja ruumide majandamiskulud</v>
      </c>
      <c r="L303">
        <f>Koond_kulud!L328</f>
        <v>55</v>
      </c>
      <c r="M303" t="str">
        <f>Koond_kulud!M328</f>
        <v>55</v>
      </c>
      <c r="N303" t="str">
        <f>Koond_kulud!N328</f>
        <v>Muud tegevuskulud</v>
      </c>
      <c r="O303" t="str">
        <f>Koond_kulud!O328</f>
        <v>Majandamiskulud</v>
      </c>
      <c r="P303" t="str">
        <f>Koond_kulud!P328</f>
        <v>Põhitegevuse kulu</v>
      </c>
      <c r="Q303">
        <f>Koond_kulud!Q328</f>
        <v>0</v>
      </c>
    </row>
    <row r="304" spans="1:17" hidden="1" x14ac:dyDescent="0.25">
      <c r="A304" t="str">
        <f>Koond_kulud!A329</f>
        <v>08</v>
      </c>
      <c r="B304" t="str">
        <f>Koond_kulud!B329</f>
        <v xml:space="preserve">0810203         </v>
      </c>
      <c r="C304" t="str">
        <f>Koond_kulud!C329</f>
        <v xml:space="preserve"> Staadion</v>
      </c>
      <c r="D304" t="str">
        <f>Koond_kulud!D329</f>
        <v>Sport</v>
      </c>
      <c r="E304" t="str">
        <f>Koond_kulud!E329</f>
        <v>Vabaaeg, kultuur ja religioon</v>
      </c>
      <c r="F304" t="str">
        <f>Koond_kulud!F329</f>
        <v>Arendusnõunik</v>
      </c>
      <c r="G304" t="str">
        <f>Koond_kulud!G329</f>
        <v>töövahendid, remont</v>
      </c>
      <c r="H304">
        <f>Koond_kulud!H329</f>
        <v>785</v>
      </c>
      <c r="I304">
        <f>Koond_kulud!I329</f>
        <v>0</v>
      </c>
      <c r="J304">
        <f>Koond_kulud!J329</f>
        <v>5511</v>
      </c>
      <c r="K304" t="str">
        <f>Koond_kulud!K329</f>
        <v>Kinnistute, hoonete ja ruumide majandamiskulud</v>
      </c>
      <c r="L304">
        <f>Koond_kulud!L329</f>
        <v>55</v>
      </c>
      <c r="M304" t="str">
        <f>Koond_kulud!M329</f>
        <v>55</v>
      </c>
      <c r="N304" t="str">
        <f>Koond_kulud!N329</f>
        <v>Muud tegevuskulud</v>
      </c>
      <c r="O304" t="str">
        <f>Koond_kulud!O329</f>
        <v>Majandamiskulud</v>
      </c>
      <c r="P304" t="str">
        <f>Koond_kulud!P329</f>
        <v>Põhitegevuse kulu</v>
      </c>
      <c r="Q304">
        <f>Koond_kulud!Q329</f>
        <v>0</v>
      </c>
    </row>
    <row r="305" spans="1:17" hidden="1" x14ac:dyDescent="0.25">
      <c r="A305" t="str">
        <f>Koond_kulud!A330</f>
        <v>08</v>
      </c>
      <c r="B305" t="str">
        <f>Koond_kulud!B330</f>
        <v xml:space="preserve">0810203         </v>
      </c>
      <c r="C305" t="str">
        <f>Koond_kulud!C330</f>
        <v xml:space="preserve"> Staadion</v>
      </c>
      <c r="D305" t="str">
        <f>Koond_kulud!D330</f>
        <v>Sport</v>
      </c>
      <c r="E305" t="str">
        <f>Koond_kulud!E330</f>
        <v>Vabaaeg, kultuur ja religioon</v>
      </c>
      <c r="F305" t="str">
        <f>Koond_kulud!F330</f>
        <v>Arendusnõunik</v>
      </c>
      <c r="G305" t="str">
        <f>Koond_kulud!G330</f>
        <v>side (Telia)</v>
      </c>
      <c r="H305">
        <f>Koond_kulud!H330</f>
        <v>15</v>
      </c>
      <c r="I305">
        <f>Koond_kulud!I330</f>
        <v>0</v>
      </c>
      <c r="J305">
        <f>Koond_kulud!J330</f>
        <v>5511</v>
      </c>
      <c r="K305" t="str">
        <f>Koond_kulud!K330</f>
        <v>Kinnistute, hoonete ja ruumide majandamiskulud</v>
      </c>
      <c r="L305">
        <f>Koond_kulud!L330</f>
        <v>55</v>
      </c>
      <c r="M305" t="str">
        <f>Koond_kulud!M330</f>
        <v>55</v>
      </c>
      <c r="N305" t="str">
        <f>Koond_kulud!N330</f>
        <v>Muud tegevuskulud</v>
      </c>
      <c r="O305" t="str">
        <f>Koond_kulud!O330</f>
        <v>Majandamiskulud</v>
      </c>
      <c r="P305" t="str">
        <f>Koond_kulud!P330</f>
        <v>Põhitegevuse kulu</v>
      </c>
      <c r="Q305">
        <f>Koond_kulud!Q330</f>
        <v>0</v>
      </c>
    </row>
    <row r="306" spans="1:17" hidden="1" x14ac:dyDescent="0.25">
      <c r="A306" t="str">
        <f>Koond_kulud!A331</f>
        <v>08</v>
      </c>
      <c r="B306" t="str">
        <f>Koond_kulud!B331</f>
        <v xml:space="preserve">0810204         </v>
      </c>
      <c r="C306" t="str">
        <f>Koond_kulud!C331</f>
        <v xml:space="preserve"> Toetused sportlastele</v>
      </c>
      <c r="D306" t="str">
        <f>Koond_kulud!D331</f>
        <v>Sport</v>
      </c>
      <c r="E306" t="str">
        <f>Koond_kulud!E331</f>
        <v>Vabaaeg, kultuur ja religioon</v>
      </c>
      <c r="F306" t="str">
        <f>Koond_kulud!F331</f>
        <v>Noorsoo- ja spordinõunik</v>
      </c>
      <c r="G306" t="str">
        <f>Koond_kulud!G331</f>
        <v>Toetused sportlastele, spordiüritused, kaasfinantseeringud, valla parimate sportlaste tunnustamine. (jooksvalt 2020)</v>
      </c>
      <c r="H306">
        <f>Koond_kulud!H331</f>
        <v>8000</v>
      </c>
      <c r="I306">
        <f>Koond_kulud!I331</f>
        <v>0</v>
      </c>
      <c r="J306">
        <f>Koond_kulud!J331</f>
        <v>4500</v>
      </c>
      <c r="K306" t="str">
        <f>Koond_kulud!K331</f>
        <v>Sihtotstarbelised eraldised jooksvateks kuludeks</v>
      </c>
      <c r="L306">
        <f>Koond_kulud!L331</f>
        <v>4500</v>
      </c>
      <c r="M306" t="str">
        <f>Koond_kulud!M331</f>
        <v>45</v>
      </c>
      <c r="N306" t="str">
        <f>Koond_kulud!N331</f>
        <v>Antavad toetused tegevuskuludeks</v>
      </c>
      <c r="O306" t="str">
        <f>Koond_kulud!O331</f>
        <v>Sihtotstarbelised toetused tegevuskuludeks</v>
      </c>
      <c r="P306" t="str">
        <f>Koond_kulud!P331</f>
        <v>Põhitegevuse kulu</v>
      </c>
      <c r="Q306">
        <f>Koond_kulud!Q331</f>
        <v>0</v>
      </c>
    </row>
    <row r="307" spans="1:17" hidden="1" x14ac:dyDescent="0.25">
      <c r="A307" t="str">
        <f>Koond_kulud!A332</f>
        <v>08</v>
      </c>
      <c r="B307" t="str">
        <f>Koond_kulud!B332</f>
        <v xml:space="preserve">0810205         </v>
      </c>
      <c r="C307" t="str">
        <f>Koond_kulud!C332</f>
        <v xml:space="preserve"> Üritused</v>
      </c>
      <c r="D307" t="str">
        <f>Koond_kulud!D332</f>
        <v>Sport</v>
      </c>
      <c r="E307" t="str">
        <f>Koond_kulud!E332</f>
        <v>Vabaaeg, kultuur ja religioon</v>
      </c>
      <c r="F307" t="str">
        <f>Koond_kulud!F332</f>
        <v>Noorsoo- ja spordinõunik</v>
      </c>
      <c r="G307" t="str">
        <f>Koond_kulud!G332</f>
        <v>Valla koolide ja lasteaedade  2020 aasta suusatamise-ja kergejõustikuvõistlused, spordipäevad.</v>
      </c>
      <c r="H307">
        <f>Koond_kulud!H332</f>
        <v>800</v>
      </c>
      <c r="I307">
        <f>Koond_kulud!I332</f>
        <v>0</v>
      </c>
      <c r="J307">
        <f>Koond_kulud!J332</f>
        <v>5540</v>
      </c>
      <c r="K307" t="str">
        <f>Koond_kulud!K332</f>
        <v>Mitmesugused majanduskulud</v>
      </c>
      <c r="L307">
        <f>Koond_kulud!L332</f>
        <v>55</v>
      </c>
      <c r="M307" t="str">
        <f>Koond_kulud!M332</f>
        <v>55</v>
      </c>
      <c r="N307" t="str">
        <f>Koond_kulud!N332</f>
        <v>Muud tegevuskulud</v>
      </c>
      <c r="O307" t="str">
        <f>Koond_kulud!O332</f>
        <v>Majandamiskulud</v>
      </c>
      <c r="P307" t="str">
        <f>Koond_kulud!P332</f>
        <v>Põhitegevuse kulu</v>
      </c>
      <c r="Q307">
        <f>Koond_kulud!Q332</f>
        <v>0</v>
      </c>
    </row>
    <row r="308" spans="1:17" hidden="1" x14ac:dyDescent="0.25">
      <c r="A308" t="str">
        <f>Koond_kulud!A333</f>
        <v>08</v>
      </c>
      <c r="B308" t="str">
        <f>Koond_kulud!B333</f>
        <v xml:space="preserve">0810205         </v>
      </c>
      <c r="C308" t="str">
        <f>Koond_kulud!C333</f>
        <v xml:space="preserve"> Üritused</v>
      </c>
      <c r="D308" t="str">
        <f>Koond_kulud!D333</f>
        <v>Sport</v>
      </c>
      <c r="E308" t="str">
        <f>Koond_kulud!E333</f>
        <v>Vabaaeg, kultuur ja religioon</v>
      </c>
      <c r="F308" t="str">
        <f>Koond_kulud!F333</f>
        <v>Noorsoo- ja spordinõunik</v>
      </c>
      <c r="G308" t="str">
        <f>Koond_kulud!G333</f>
        <v>Valla päevadel spordivõistluste korraldamine</v>
      </c>
      <c r="H308">
        <f>Koond_kulud!H333</f>
        <v>1000</v>
      </c>
      <c r="I308">
        <f>Koond_kulud!I333</f>
        <v>0</v>
      </c>
      <c r="J308">
        <f>Koond_kulud!J333</f>
        <v>5540</v>
      </c>
      <c r="K308" t="str">
        <f>Koond_kulud!K333</f>
        <v>Mitmesugused majanduskulud</v>
      </c>
      <c r="L308">
        <f>Koond_kulud!L333</f>
        <v>55</v>
      </c>
      <c r="M308" t="str">
        <f>Koond_kulud!M333</f>
        <v>55</v>
      </c>
      <c r="N308" t="str">
        <f>Koond_kulud!N333</f>
        <v>Muud tegevuskulud</v>
      </c>
      <c r="O308" t="str">
        <f>Koond_kulud!O333</f>
        <v>Majandamiskulud</v>
      </c>
      <c r="P308" t="str">
        <f>Koond_kulud!P333</f>
        <v>Põhitegevuse kulu</v>
      </c>
      <c r="Q308">
        <f>Koond_kulud!Q333</f>
        <v>0</v>
      </c>
    </row>
    <row r="309" spans="1:17" hidden="1" x14ac:dyDescent="0.25">
      <c r="A309" t="str">
        <f>Koond_kulud!A334</f>
        <v>08</v>
      </c>
      <c r="B309" t="str">
        <f>Koond_kulud!B334</f>
        <v xml:space="preserve">0810205         </v>
      </c>
      <c r="C309" t="str">
        <f>Koond_kulud!C334</f>
        <v xml:space="preserve"> Üritused</v>
      </c>
      <c r="D309" t="str">
        <f>Koond_kulud!D334</f>
        <v>Sport</v>
      </c>
      <c r="E309" t="str">
        <f>Koond_kulud!E334</f>
        <v>Vabaaeg, kultuur ja religioon</v>
      </c>
      <c r="F309" t="str">
        <f>Koond_kulud!F334</f>
        <v>Noorsoo- ja spordinõunik</v>
      </c>
      <c r="G309" t="str">
        <f>Koond_kulud!G334</f>
        <v xml:space="preserve">Eesti 2020 aasta omavalitsuste tali-ja suvemängudel osalemine </v>
      </c>
      <c r="H309">
        <f>Koond_kulud!H334</f>
        <v>4000</v>
      </c>
      <c r="I309">
        <f>Koond_kulud!I334</f>
        <v>0</v>
      </c>
      <c r="J309">
        <f>Koond_kulud!J334</f>
        <v>5540</v>
      </c>
      <c r="K309" t="str">
        <f>Koond_kulud!K334</f>
        <v>Mitmesugused majanduskulud</v>
      </c>
      <c r="L309">
        <f>Koond_kulud!L334</f>
        <v>55</v>
      </c>
      <c r="M309" t="str">
        <f>Koond_kulud!M334</f>
        <v>55</v>
      </c>
      <c r="N309" t="str">
        <f>Koond_kulud!N334</f>
        <v>Muud tegevuskulud</v>
      </c>
      <c r="O309" t="str">
        <f>Koond_kulud!O334</f>
        <v>Majandamiskulud</v>
      </c>
      <c r="P309" t="str">
        <f>Koond_kulud!P334</f>
        <v>Põhitegevuse kulu</v>
      </c>
      <c r="Q309">
        <f>Koond_kulud!Q334</f>
        <v>0</v>
      </c>
    </row>
    <row r="310" spans="1:17" hidden="1" x14ac:dyDescent="0.25">
      <c r="A310" t="str">
        <f>Koond_kulud!A335</f>
        <v>08</v>
      </c>
      <c r="B310" t="str">
        <f>Koond_kulud!B335</f>
        <v xml:space="preserve">0810207         </v>
      </c>
      <c r="C310" t="str">
        <f>Koond_kulud!C335</f>
        <v xml:space="preserve"> Tervise edendamine</v>
      </c>
      <c r="D310" t="str">
        <f>Koond_kulud!D335</f>
        <v>Sport</v>
      </c>
      <c r="E310" t="str">
        <f>Koond_kulud!E335</f>
        <v>Vabaaeg, kultuur ja religioon</v>
      </c>
      <c r="F310" t="str">
        <f>Koond_kulud!F335</f>
        <v>Noorsoo- ja spordinõunik</v>
      </c>
      <c r="G310" t="str">
        <f>Koond_kulud!G335</f>
        <v>Vinni Spordikompleksis elanike tervise ja spordivõimaluste tagamine (lasteaiad, koolid jne.)</v>
      </c>
      <c r="H310">
        <f>Koond_kulud!H335</f>
        <v>20000</v>
      </c>
      <c r="I310">
        <f>Koond_kulud!I335</f>
        <v>0</v>
      </c>
      <c r="J310">
        <f>Koond_kulud!J335</f>
        <v>5540</v>
      </c>
      <c r="K310" t="str">
        <f>Koond_kulud!K335</f>
        <v>Mitmesugused majanduskulud</v>
      </c>
      <c r="L310">
        <f>Koond_kulud!L335</f>
        <v>55</v>
      </c>
      <c r="M310" t="str">
        <f>Koond_kulud!M335</f>
        <v>55</v>
      </c>
      <c r="N310" t="str">
        <f>Koond_kulud!N335</f>
        <v>Muud tegevuskulud</v>
      </c>
      <c r="O310" t="str">
        <f>Koond_kulud!O335</f>
        <v>Majandamiskulud</v>
      </c>
      <c r="P310" t="str">
        <f>Koond_kulud!P335</f>
        <v>Põhitegevuse kulu</v>
      </c>
      <c r="Q310">
        <f>Koond_kulud!Q335</f>
        <v>0</v>
      </c>
    </row>
    <row r="311" spans="1:17" hidden="1" x14ac:dyDescent="0.25">
      <c r="A311" t="str">
        <f>Koond_kulud!A336</f>
        <v>08</v>
      </c>
      <c r="B311" t="str">
        <f>Koond_kulud!B336</f>
        <v xml:space="preserve">0810207         </v>
      </c>
      <c r="C311" t="str">
        <f>Koond_kulud!C336</f>
        <v xml:space="preserve"> Tervise edendamine</v>
      </c>
      <c r="D311" t="str">
        <f>Koond_kulud!D336</f>
        <v>Sport</v>
      </c>
      <c r="E311" t="str">
        <f>Koond_kulud!E336</f>
        <v>Vabaaeg, kultuur ja religioon</v>
      </c>
      <c r="F311" t="str">
        <f>Koond_kulud!F336</f>
        <v>Noorsoo- ja spordinõunik</v>
      </c>
      <c r="G311" t="str">
        <f>Koond_kulud!G336</f>
        <v>Vinni Spordikompleksis elanike tervise ja spordivõimaluste tagamine (elanikkond)</v>
      </c>
      <c r="H311">
        <f>Koond_kulud!H336</f>
        <v>29000</v>
      </c>
      <c r="I311">
        <f>Koond_kulud!I336</f>
        <v>0</v>
      </c>
      <c r="J311">
        <f>Koond_kulud!J336</f>
        <v>5540</v>
      </c>
      <c r="K311" t="str">
        <f>Koond_kulud!K336</f>
        <v>Mitmesugused majanduskulud</v>
      </c>
      <c r="L311">
        <f>Koond_kulud!L336</f>
        <v>55</v>
      </c>
      <c r="M311" t="str">
        <f>Koond_kulud!M336</f>
        <v>55</v>
      </c>
      <c r="N311" t="str">
        <f>Koond_kulud!N336</f>
        <v>Muud tegevuskulud</v>
      </c>
      <c r="O311" t="str">
        <f>Koond_kulud!O336</f>
        <v>Majandamiskulud</v>
      </c>
      <c r="P311" t="str">
        <f>Koond_kulud!P336</f>
        <v>Põhitegevuse kulu</v>
      </c>
      <c r="Q311">
        <f>Koond_kulud!Q336</f>
        <v>0</v>
      </c>
    </row>
    <row r="312" spans="1:17" hidden="1" x14ac:dyDescent="0.25">
      <c r="A312" t="str">
        <f>Koond_kulud!A337</f>
        <v>08</v>
      </c>
      <c r="B312" t="str">
        <f>Koond_kulud!B337</f>
        <v>0810208</v>
      </c>
      <c r="C312" t="str">
        <f>Koond_kulud!C337</f>
        <v xml:space="preserve"> Spordiseltside- ja klubide toetused MTÜ</v>
      </c>
      <c r="D312" t="str">
        <f>Koond_kulud!D337</f>
        <v>Sport</v>
      </c>
      <c r="E312" t="str">
        <f>Koond_kulud!E337</f>
        <v>Vabaaeg, kultuur ja religioon</v>
      </c>
      <c r="F312" t="str">
        <f>Koond_kulud!F337</f>
        <v>Noorsoo- ja spordinõunik</v>
      </c>
      <c r="G312" t="str">
        <f>Koond_kulud!G337</f>
        <v>Spordiseltside, klubide, mtü-de, andekate sportlaste ja spordiürituste korraldamise toetused</v>
      </c>
      <c r="H312">
        <f>Koond_kulud!H337</f>
        <v>26350</v>
      </c>
      <c r="I312">
        <f>Koond_kulud!I337</f>
        <v>0</v>
      </c>
      <c r="J312">
        <f>Koond_kulud!J337</f>
        <v>4500</v>
      </c>
      <c r="K312" t="str">
        <f>Koond_kulud!K337</f>
        <v>Sihtotstarbelised eraldised jooksvateks kuludeks</v>
      </c>
      <c r="L312">
        <f>Koond_kulud!L337</f>
        <v>4500</v>
      </c>
      <c r="M312" t="str">
        <f>Koond_kulud!M337</f>
        <v>45</v>
      </c>
      <c r="N312" t="str">
        <f>Koond_kulud!N337</f>
        <v>Antavad toetused tegevuskuludeks</v>
      </c>
      <c r="O312" t="str">
        <f>Koond_kulud!O337</f>
        <v>Sihtotstarbelised toetused tegevuskuludeks</v>
      </c>
      <c r="P312" t="str">
        <f>Koond_kulud!P337</f>
        <v>Põhitegevuse kulu</v>
      </c>
      <c r="Q312">
        <f>Koond_kulud!Q337</f>
        <v>0</v>
      </c>
    </row>
    <row r="313" spans="1:17" hidden="1" x14ac:dyDescent="0.25">
      <c r="A313" t="str">
        <f>Koond_kulud!A338</f>
        <v>08</v>
      </c>
      <c r="B313" t="str">
        <f>Koond_kulud!B338</f>
        <v xml:space="preserve">0810701         </v>
      </c>
      <c r="C313" t="str">
        <f>Koond_kulud!C338</f>
        <v xml:space="preserve"> Noorsootöö haldus</v>
      </c>
      <c r="D313" t="str">
        <f>Koond_kulud!D338</f>
        <v>Noorsootöö ja noortekeskused</v>
      </c>
      <c r="E313" t="str">
        <f>Koond_kulud!E338</f>
        <v>Vabaaeg, kultuur ja religioon</v>
      </c>
      <c r="F313" t="str">
        <f>Koond_kulud!F338</f>
        <v>Noorsoo- ja spordinõunik</v>
      </c>
      <c r="G313" t="str">
        <f>Koond_kulud!G338</f>
        <v xml:space="preserve">Noorte volikogu töö korraldamine, arendamine            </v>
      </c>
      <c r="H313">
        <f>Koond_kulud!H338</f>
        <v>2000</v>
      </c>
      <c r="I313">
        <f>Koond_kulud!I338</f>
        <v>0</v>
      </c>
      <c r="J313">
        <f>Koond_kulud!J338</f>
        <v>5540</v>
      </c>
      <c r="K313" t="str">
        <f>Koond_kulud!K338</f>
        <v>Mitmesugused majanduskulud</v>
      </c>
      <c r="L313">
        <f>Koond_kulud!L338</f>
        <v>55</v>
      </c>
      <c r="M313" t="str">
        <f>Koond_kulud!M338</f>
        <v>55</v>
      </c>
      <c r="N313" t="str">
        <f>Koond_kulud!N338</f>
        <v>Muud tegevuskulud</v>
      </c>
      <c r="O313" t="str">
        <f>Koond_kulud!O338</f>
        <v>Majandamiskulud</v>
      </c>
      <c r="P313" t="str">
        <f>Koond_kulud!P338</f>
        <v>Põhitegevuse kulu</v>
      </c>
      <c r="Q313">
        <f>Koond_kulud!Q338</f>
        <v>0</v>
      </c>
    </row>
    <row r="314" spans="1:17" hidden="1" x14ac:dyDescent="0.25">
      <c r="A314" t="str">
        <f>Koond_kulud!A339</f>
        <v>08</v>
      </c>
      <c r="B314" t="str">
        <f>Koond_kulud!B339</f>
        <v xml:space="preserve">0810701         </v>
      </c>
      <c r="C314" t="str">
        <f>Koond_kulud!C339</f>
        <v xml:space="preserve"> Noorsootöö haldus</v>
      </c>
      <c r="D314" t="str">
        <f>Koond_kulud!D339</f>
        <v>Noorsootöö ja noortekeskused</v>
      </c>
      <c r="E314" t="str">
        <f>Koond_kulud!E339</f>
        <v>Vabaaeg, kultuur ja religioon</v>
      </c>
      <c r="F314" t="str">
        <f>Koond_kulud!F339</f>
        <v>Noorsoo- ja spordinõunik</v>
      </c>
      <c r="G314" t="str">
        <f>Koond_kulud!G339</f>
        <v>Isikliku sõiduauto komp.</v>
      </c>
      <c r="H314">
        <f>Koond_kulud!H339</f>
        <v>3685</v>
      </c>
      <c r="I314">
        <f>Koond_kulud!I339</f>
        <v>0</v>
      </c>
      <c r="J314">
        <f>Koond_kulud!J339</f>
        <v>5513</v>
      </c>
      <c r="K314" t="str">
        <f>Koond_kulud!K339</f>
        <v>Sõidukite ülalpidamise kulud</v>
      </c>
      <c r="L314">
        <f>Koond_kulud!L339</f>
        <v>55</v>
      </c>
      <c r="M314" t="str">
        <f>Koond_kulud!M339</f>
        <v>55</v>
      </c>
      <c r="N314" t="str">
        <f>Koond_kulud!N339</f>
        <v>Muud tegevuskulud</v>
      </c>
      <c r="O314" t="str">
        <f>Koond_kulud!O339</f>
        <v>Majandamiskulud</v>
      </c>
      <c r="P314" t="str">
        <f>Koond_kulud!P339</f>
        <v>Põhitegevuse kulu</v>
      </c>
      <c r="Q314">
        <f>Koond_kulud!Q339</f>
        <v>0</v>
      </c>
    </row>
    <row r="315" spans="1:17" hidden="1" x14ac:dyDescent="0.25">
      <c r="A315" t="str">
        <f>Koond_kulud!A340</f>
        <v>08</v>
      </c>
      <c r="B315" t="str">
        <f>Koond_kulud!B340</f>
        <v xml:space="preserve">0810701         </v>
      </c>
      <c r="C315" t="str">
        <f>Koond_kulud!C340</f>
        <v xml:space="preserve"> Noorsootöö haldus</v>
      </c>
      <c r="D315" t="str">
        <f>Koond_kulud!D340</f>
        <v>Noorsootöö ja noortekeskused</v>
      </c>
      <c r="E315" t="str">
        <f>Koond_kulud!E340</f>
        <v>Vabaaeg, kultuur ja religioon</v>
      </c>
      <c r="F315" t="str">
        <f>Koond_kulud!F340</f>
        <v>Noorsoo- ja spordinõunik</v>
      </c>
      <c r="G315" t="str">
        <f>Koond_kulud!G340</f>
        <v>Sideteenused</v>
      </c>
      <c r="H315">
        <f>Koond_kulud!H340</f>
        <v>135</v>
      </c>
      <c r="I315">
        <f>Koond_kulud!I340</f>
        <v>0</v>
      </c>
      <c r="J315">
        <f>Koond_kulud!J340</f>
        <v>5500</v>
      </c>
      <c r="K315" t="str">
        <f>Koond_kulud!K340</f>
        <v>Administreerimiskulud</v>
      </c>
      <c r="L315">
        <f>Koond_kulud!L340</f>
        <v>55</v>
      </c>
      <c r="M315" t="str">
        <f>Koond_kulud!M340</f>
        <v>55</v>
      </c>
      <c r="N315" t="str">
        <f>Koond_kulud!N340</f>
        <v>Muud tegevuskulud</v>
      </c>
      <c r="O315" t="str">
        <f>Koond_kulud!O340</f>
        <v>Majandamiskulud</v>
      </c>
      <c r="P315" t="str">
        <f>Koond_kulud!P340</f>
        <v>Põhitegevuse kulu</v>
      </c>
      <c r="Q315">
        <f>Koond_kulud!Q340</f>
        <v>0</v>
      </c>
    </row>
    <row r="316" spans="1:17" hidden="1" x14ac:dyDescent="0.25">
      <c r="A316" t="str">
        <f>Koond_kulud!A341</f>
        <v>08</v>
      </c>
      <c r="B316" t="str">
        <f>Koond_kulud!B341</f>
        <v xml:space="preserve">0810701         </v>
      </c>
      <c r="C316" t="str">
        <f>Koond_kulud!C341</f>
        <v xml:space="preserve"> Noorsootöö haldus</v>
      </c>
      <c r="D316" t="str">
        <f>Koond_kulud!D341</f>
        <v>Noorsootöö ja noortekeskused</v>
      </c>
      <c r="E316" t="str">
        <f>Koond_kulud!E341</f>
        <v>Vabaaeg, kultuur ja religioon</v>
      </c>
      <c r="F316" t="str">
        <f>Koond_kulud!F341</f>
        <v>Noorsoo- ja spordinõunik</v>
      </c>
      <c r="G316" t="str">
        <f>Koond_kulud!G341</f>
        <v>Seminaridel osalemine</v>
      </c>
      <c r="H316">
        <f>Koond_kulud!H341</f>
        <v>150</v>
      </c>
      <c r="I316">
        <f>Koond_kulud!I341</f>
        <v>0</v>
      </c>
      <c r="J316">
        <f>Koond_kulud!J341</f>
        <v>5504</v>
      </c>
      <c r="K316" t="str">
        <f>Koond_kulud!K341</f>
        <v>Koolituskulud</v>
      </c>
      <c r="L316">
        <f>Koond_kulud!L341</f>
        <v>55</v>
      </c>
      <c r="M316" t="str">
        <f>Koond_kulud!M341</f>
        <v>55</v>
      </c>
      <c r="N316" t="str">
        <f>Koond_kulud!N341</f>
        <v>Muud tegevuskulud</v>
      </c>
      <c r="O316" t="str">
        <f>Koond_kulud!O341</f>
        <v>Majandamiskulud</v>
      </c>
      <c r="P316" t="str">
        <f>Koond_kulud!P341</f>
        <v>Põhitegevuse kulu</v>
      </c>
      <c r="Q316">
        <f>Koond_kulud!Q341</f>
        <v>0</v>
      </c>
    </row>
    <row r="317" spans="1:17" hidden="1" x14ac:dyDescent="0.25">
      <c r="A317" t="str">
        <f>Koond_kulud!A342</f>
        <v>08</v>
      </c>
      <c r="B317" t="str">
        <f>Koond_kulud!B342</f>
        <v xml:space="preserve">0810701         </v>
      </c>
      <c r="C317" t="str">
        <f>Koond_kulud!C342</f>
        <v xml:space="preserve"> Noorsootöö haldus</v>
      </c>
      <c r="D317" t="str">
        <f>Koond_kulud!D342</f>
        <v>Noorsootöö ja noortekeskused</v>
      </c>
      <c r="E317" t="str">
        <f>Koond_kulud!E342</f>
        <v>Vabaaeg, kultuur ja religioon</v>
      </c>
      <c r="F317" t="str">
        <f>Koond_kulud!F342</f>
        <v>Noorsoo- ja spordinõunik</v>
      </c>
      <c r="G317" t="str">
        <f>Koond_kulud!G342</f>
        <v>Lauatennise laud Tudu kooli</v>
      </c>
      <c r="H317">
        <f>Koond_kulud!H342</f>
        <v>700</v>
      </c>
      <c r="I317" t="str">
        <f>Koond_kulud!I342</f>
        <v>esialgu taotles vahendeid selle soetuseks Tudu Hariduse ja Spordiselts MTÜ</v>
      </c>
      <c r="J317">
        <f>Koond_kulud!J342</f>
        <v>5515</v>
      </c>
      <c r="K317" t="str">
        <f>Koond_kulud!K342</f>
        <v>Inventari kulud, v.a infotehnoloogia ja kaitseotstarbelised kulud</v>
      </c>
      <c r="L317">
        <f>Koond_kulud!L342</f>
        <v>55</v>
      </c>
      <c r="M317" t="str">
        <f>Koond_kulud!M342</f>
        <v>55</v>
      </c>
      <c r="N317" t="str">
        <f>Koond_kulud!N342</f>
        <v>Muud tegevuskulud</v>
      </c>
      <c r="O317" t="str">
        <f>Koond_kulud!O342</f>
        <v>Majandamiskulud</v>
      </c>
      <c r="P317" t="str">
        <f>Koond_kulud!P342</f>
        <v>Põhitegevuse kulu</v>
      </c>
      <c r="Q317">
        <f>Koond_kulud!Q342</f>
        <v>0</v>
      </c>
    </row>
    <row r="318" spans="1:17" hidden="1" x14ac:dyDescent="0.25">
      <c r="A318" t="str">
        <f>Koond_kulud!A343</f>
        <v>08</v>
      </c>
      <c r="B318" t="str">
        <f>Koond_kulud!B343</f>
        <v xml:space="preserve">0810703         </v>
      </c>
      <c r="C318" t="str">
        <f>Koond_kulud!C343</f>
        <v xml:space="preserve"> Projektide kaasfinantseerimine</v>
      </c>
      <c r="D318" t="str">
        <f>Koond_kulud!D343</f>
        <v>Noorsootöö ja noortekeskused</v>
      </c>
      <c r="E318" t="str">
        <f>Koond_kulud!E343</f>
        <v>Vabaaeg, kultuur ja religioon</v>
      </c>
      <c r="F318" t="str">
        <f>Koond_kulud!F343</f>
        <v>Noorsoo- ja spordinõunik</v>
      </c>
      <c r="G318" t="str">
        <f>Koond_kulud!G343</f>
        <v>Noorsoo projektide kaasfinantseerimised</v>
      </c>
      <c r="H318">
        <f>Koond_kulud!H343</f>
        <v>4000</v>
      </c>
      <c r="I318">
        <f>Koond_kulud!I343</f>
        <v>0</v>
      </c>
      <c r="J318">
        <f>Koond_kulud!J343</f>
        <v>4500</v>
      </c>
      <c r="K318" t="str">
        <f>Koond_kulud!K343</f>
        <v>Sihtotstarbelised eraldised jooksvateks kuludeks</v>
      </c>
      <c r="L318">
        <f>Koond_kulud!L343</f>
        <v>4500</v>
      </c>
      <c r="M318" t="str">
        <f>Koond_kulud!M343</f>
        <v>45</v>
      </c>
      <c r="N318" t="str">
        <f>Koond_kulud!N343</f>
        <v>Antavad toetused tegevuskuludeks</v>
      </c>
      <c r="O318" t="str">
        <f>Koond_kulud!O343</f>
        <v>Sihtotstarbelised toetused tegevuskuludeks</v>
      </c>
      <c r="P318" t="str">
        <f>Koond_kulud!P343</f>
        <v>Põhitegevuse kulu</v>
      </c>
      <c r="Q318">
        <f>Koond_kulud!Q343</f>
        <v>0</v>
      </c>
    </row>
    <row r="319" spans="1:17" hidden="1" x14ac:dyDescent="0.25">
      <c r="A319" t="str">
        <f>Koond_kulud!A344</f>
        <v>08</v>
      </c>
      <c r="B319" t="str">
        <f>Koond_kulud!B344</f>
        <v>0810704</v>
      </c>
      <c r="C319" t="str">
        <f>Koond_kulud!C344</f>
        <v xml:space="preserve"> Lastelaagrid</v>
      </c>
      <c r="D319" t="str">
        <f>Koond_kulud!D344</f>
        <v>Noorsootöö ja noortekeskused</v>
      </c>
      <c r="E319" t="str">
        <f>Koond_kulud!E344</f>
        <v>Vabaaeg, kultuur ja religioon</v>
      </c>
      <c r="F319" t="str">
        <f>Koond_kulud!F344</f>
        <v>Noorsoo- ja spordinõunik</v>
      </c>
      <c r="G319" t="str">
        <f>Koond_kulud!G344</f>
        <v>Laste töö- ja puhkelaagri toitlustuskulud</v>
      </c>
      <c r="H319">
        <f>Koond_kulud!H344</f>
        <v>1500</v>
      </c>
      <c r="I319">
        <f>Koond_kulud!I344</f>
        <v>0</v>
      </c>
      <c r="J319">
        <f>Koond_kulud!J344</f>
        <v>5521</v>
      </c>
      <c r="K319" t="str">
        <f>Koond_kulud!K344</f>
        <v>Toiduained ja toitlustusteenused</v>
      </c>
      <c r="L319">
        <f>Koond_kulud!L344</f>
        <v>55</v>
      </c>
      <c r="M319" t="str">
        <f>Koond_kulud!M344</f>
        <v>55</v>
      </c>
      <c r="N319" t="str">
        <f>Koond_kulud!N344</f>
        <v>Muud tegevuskulud</v>
      </c>
      <c r="O319" t="str">
        <f>Koond_kulud!O344</f>
        <v>Majandamiskulud</v>
      </c>
      <c r="P319" t="str">
        <f>Koond_kulud!P344</f>
        <v>Põhitegevuse kulu</v>
      </c>
      <c r="Q319">
        <f>Koond_kulud!Q344</f>
        <v>0</v>
      </c>
    </row>
    <row r="320" spans="1:17" hidden="1" x14ac:dyDescent="0.25">
      <c r="A320" t="str">
        <f>Koond_kulud!A345</f>
        <v>08</v>
      </c>
      <c r="B320" t="str">
        <f>Koond_kulud!B345</f>
        <v>0810704</v>
      </c>
      <c r="C320" t="str">
        <f>Koond_kulud!C345</f>
        <v xml:space="preserve"> Lastelaagrid</v>
      </c>
      <c r="D320" t="str">
        <f>Koond_kulud!D345</f>
        <v>Noorsootöö ja noortekeskused</v>
      </c>
      <c r="E320" t="str">
        <f>Koond_kulud!E345</f>
        <v>Vabaaeg, kultuur ja religioon</v>
      </c>
      <c r="F320" t="str">
        <f>Koond_kulud!F345</f>
        <v>Noorsoo- ja spordinõunik</v>
      </c>
      <c r="G320" t="str">
        <f>Koond_kulud!G345</f>
        <v>Laste töö- ja puhkelaagri elektrikulud</v>
      </c>
      <c r="H320">
        <f>Koond_kulud!H345</f>
        <v>700</v>
      </c>
      <c r="I320">
        <f>Koond_kulud!I345</f>
        <v>0</v>
      </c>
      <c r="J320">
        <f>Koond_kulud!J345</f>
        <v>5511</v>
      </c>
      <c r="K320" t="str">
        <f>Koond_kulud!K345</f>
        <v>Kinnistute, hoonete ja ruumide majandamiskulud</v>
      </c>
      <c r="L320">
        <f>Koond_kulud!L345</f>
        <v>55</v>
      </c>
      <c r="M320" t="str">
        <f>Koond_kulud!M345</f>
        <v>55</v>
      </c>
      <c r="N320" t="str">
        <f>Koond_kulud!N345</f>
        <v>Muud tegevuskulud</v>
      </c>
      <c r="O320" t="str">
        <f>Koond_kulud!O345</f>
        <v>Majandamiskulud</v>
      </c>
      <c r="P320" t="str">
        <f>Koond_kulud!P345</f>
        <v>Põhitegevuse kulu</v>
      </c>
      <c r="Q320">
        <f>Koond_kulud!Q345</f>
        <v>0</v>
      </c>
    </row>
    <row r="321" spans="1:17" hidden="1" x14ac:dyDescent="0.25">
      <c r="A321" t="str">
        <f>Koond_kulud!A346</f>
        <v>08</v>
      </c>
      <c r="B321" t="str">
        <f>Koond_kulud!B346</f>
        <v>0810705</v>
      </c>
      <c r="C321" t="str">
        <f>Koond_kulud!C346</f>
        <v xml:space="preserve"> Vinni Valla Noored MTÜ</v>
      </c>
      <c r="D321" t="str">
        <f>Koond_kulud!D346</f>
        <v>Noorsootöö ja noortekeskused</v>
      </c>
      <c r="E321" t="str">
        <f>Koond_kulud!E346</f>
        <v>Vabaaeg, kultuur ja religioon</v>
      </c>
      <c r="F321" t="str">
        <f>Koond_kulud!F346</f>
        <v>Noorsoo- ja spordinõunik</v>
      </c>
      <c r="G321" t="str">
        <f>Koond_kulud!G346</f>
        <v>Vinni Valla Noored MTÜ</v>
      </c>
      <c r="H321">
        <f>Koond_kulud!H346</f>
        <v>87252</v>
      </c>
      <c r="I321">
        <f>Koond_kulud!I346</f>
        <v>0</v>
      </c>
      <c r="J321">
        <f>Koond_kulud!J346</f>
        <v>4500</v>
      </c>
      <c r="K321" t="str">
        <f>Koond_kulud!K346</f>
        <v>Sihtotstarbelised eraldised jooksvateks kuludeks</v>
      </c>
      <c r="L321">
        <f>Koond_kulud!L346</f>
        <v>4500</v>
      </c>
      <c r="M321" t="str">
        <f>Koond_kulud!M346</f>
        <v>45</v>
      </c>
      <c r="N321" t="str">
        <f>Koond_kulud!N346</f>
        <v>Antavad toetused tegevuskuludeks</v>
      </c>
      <c r="O321" t="str">
        <f>Koond_kulud!O346</f>
        <v>Sihtotstarbelised toetused tegevuskuludeks</v>
      </c>
      <c r="P321" t="str">
        <f>Koond_kulud!P346</f>
        <v>Põhitegevuse kulu</v>
      </c>
      <c r="Q321">
        <f>Koond_kulud!Q346</f>
        <v>0</v>
      </c>
    </row>
    <row r="322" spans="1:17" hidden="1" x14ac:dyDescent="0.25">
      <c r="A322" t="str">
        <f>Koond_kulud!A347</f>
        <v>08</v>
      </c>
      <c r="B322" t="str">
        <f>Koond_kulud!B347</f>
        <v xml:space="preserve">0810903         </v>
      </c>
      <c r="C322" t="str">
        <f>Koond_kulud!C347</f>
        <v xml:space="preserve"> Valla üritused</v>
      </c>
      <c r="D322" t="str">
        <f>Koond_kulud!D347</f>
        <v>Vaba aja üritused</v>
      </c>
      <c r="E322" t="str">
        <f>Koond_kulud!E347</f>
        <v>Vabaaeg, kultuur ja religioon</v>
      </c>
      <c r="F322" t="str">
        <f>Koond_kulud!F347</f>
        <v>Vallavanem</v>
      </c>
      <c r="G322" t="str">
        <f>Koond_kulud!G347</f>
        <v>Vinni Vald 30</v>
      </c>
      <c r="H322">
        <f>Koond_kulud!H347</f>
        <v>21000</v>
      </c>
      <c r="I322">
        <f>Koond_kulud!I347</f>
        <v>0</v>
      </c>
      <c r="J322">
        <f>Koond_kulud!J347</f>
        <v>5525</v>
      </c>
      <c r="K322" t="str">
        <f>Koond_kulud!K347</f>
        <v>Kommunikatsiooni-, kultuuri- ja vaba aja sisustamise kulud</v>
      </c>
      <c r="L322">
        <f>Koond_kulud!L347</f>
        <v>55</v>
      </c>
      <c r="M322" t="str">
        <f>Koond_kulud!M347</f>
        <v>55</v>
      </c>
      <c r="N322" t="str">
        <f>Koond_kulud!N347</f>
        <v>Muud tegevuskulud</v>
      </c>
      <c r="O322" t="str">
        <f>Koond_kulud!O347</f>
        <v>Majandamiskulud</v>
      </c>
      <c r="P322" t="str">
        <f>Koond_kulud!P347</f>
        <v>Põhitegevuse kulu</v>
      </c>
      <c r="Q322">
        <f>Koond_kulud!Q347</f>
        <v>0</v>
      </c>
    </row>
    <row r="323" spans="1:17" hidden="1" x14ac:dyDescent="0.25">
      <c r="A323" t="str">
        <f>Koond_kulud!A348</f>
        <v>08</v>
      </c>
      <c r="B323" t="str">
        <f>Koond_kulud!B348</f>
        <v xml:space="preserve">0810903         </v>
      </c>
      <c r="C323" t="str">
        <f>Koond_kulud!C348</f>
        <v xml:space="preserve"> Valla üritused</v>
      </c>
      <c r="D323" t="str">
        <f>Koond_kulud!D348</f>
        <v>Vaba aja üritused</v>
      </c>
      <c r="E323" t="str">
        <f>Koond_kulud!E348</f>
        <v>Vabaaeg, kultuur ja religioon</v>
      </c>
      <c r="F323" t="str">
        <f>Koond_kulud!F348</f>
        <v>Vallavanem</v>
      </c>
      <c r="G323" t="str">
        <f>Koond_kulud!G348</f>
        <v>Vabariigi aastapäev</v>
      </c>
      <c r="H323">
        <f>Koond_kulud!H348</f>
        <v>5000</v>
      </c>
      <c r="I323">
        <f>Koond_kulud!I348</f>
        <v>0</v>
      </c>
      <c r="J323">
        <f>Koond_kulud!J348</f>
        <v>5525</v>
      </c>
      <c r="K323" t="str">
        <f>Koond_kulud!K348</f>
        <v>Kommunikatsiooni-, kultuuri- ja vaba aja sisustamise kulud</v>
      </c>
      <c r="L323">
        <f>Koond_kulud!L348</f>
        <v>55</v>
      </c>
      <c r="M323" t="str">
        <f>Koond_kulud!M348</f>
        <v>55</v>
      </c>
      <c r="N323" t="str">
        <f>Koond_kulud!N348</f>
        <v>Muud tegevuskulud</v>
      </c>
      <c r="O323" t="str">
        <f>Koond_kulud!O348</f>
        <v>Majandamiskulud</v>
      </c>
      <c r="P323" t="str">
        <f>Koond_kulud!P348</f>
        <v>Põhitegevuse kulu</v>
      </c>
      <c r="Q323">
        <f>Koond_kulud!Q348</f>
        <v>0</v>
      </c>
    </row>
    <row r="324" spans="1:17" hidden="1" x14ac:dyDescent="0.25">
      <c r="A324" t="str">
        <f>Koond_kulud!A349</f>
        <v>08</v>
      </c>
      <c r="B324" t="str">
        <f>Koond_kulud!B349</f>
        <v xml:space="preserve">0810903         </v>
      </c>
      <c r="C324" t="str">
        <f>Koond_kulud!C349</f>
        <v xml:space="preserve"> Valla üritused</v>
      </c>
      <c r="D324" t="str">
        <f>Koond_kulud!D349</f>
        <v>Vaba aja üritused</v>
      </c>
      <c r="E324" t="str">
        <f>Koond_kulud!E349</f>
        <v>Vabaaeg, kultuur ja religioon</v>
      </c>
      <c r="F324" t="str">
        <f>Koond_kulud!F349</f>
        <v>Pajusti klubi</v>
      </c>
      <c r="G324" t="str">
        <f>Koond_kulud!G349</f>
        <v>Vinni Filharmoonikud, advendikingitus</v>
      </c>
      <c r="H324">
        <f>Koond_kulud!H349</f>
        <v>4500</v>
      </c>
      <c r="I324">
        <f>Koond_kulud!I349</f>
        <v>0</v>
      </c>
      <c r="J324">
        <f>Koond_kulud!J349</f>
        <v>5525</v>
      </c>
      <c r="K324" t="str">
        <f>Koond_kulud!K349</f>
        <v>Kommunikatsiooni-, kultuuri- ja vaba aja sisustamise kulud</v>
      </c>
      <c r="L324">
        <f>Koond_kulud!L349</f>
        <v>55</v>
      </c>
      <c r="M324" t="str">
        <f>Koond_kulud!M349</f>
        <v>55</v>
      </c>
      <c r="N324" t="str">
        <f>Koond_kulud!N349</f>
        <v>Muud tegevuskulud</v>
      </c>
      <c r="O324" t="str">
        <f>Koond_kulud!O349</f>
        <v>Majandamiskulud</v>
      </c>
      <c r="P324" t="str">
        <f>Koond_kulud!P349</f>
        <v>Põhitegevuse kulu</v>
      </c>
      <c r="Q324">
        <f>Koond_kulud!Q349</f>
        <v>0</v>
      </c>
    </row>
    <row r="325" spans="1:17" hidden="1" x14ac:dyDescent="0.25">
      <c r="A325" t="str">
        <f>Koond_kulud!A350</f>
        <v>08</v>
      </c>
      <c r="B325" t="str">
        <f>Koond_kulud!B350</f>
        <v xml:space="preserve">0810903         </v>
      </c>
      <c r="C325" t="str">
        <f>Koond_kulud!C350</f>
        <v xml:space="preserve"> Valla üritused</v>
      </c>
      <c r="D325" t="str">
        <f>Koond_kulud!D350</f>
        <v>Vaba aja üritused</v>
      </c>
      <c r="E325" t="str">
        <f>Koond_kulud!E350</f>
        <v>Vabaaeg, kultuur ja religioon</v>
      </c>
      <c r="F325" t="str">
        <f>Koond_kulud!F350</f>
        <v>Vallavanem</v>
      </c>
      <c r="G325" t="str">
        <f>Koond_kulud!G350</f>
        <v>Töötajate juubelid</v>
      </c>
      <c r="H325">
        <f>Koond_kulud!H350</f>
        <v>1500</v>
      </c>
      <c r="I325">
        <f>Koond_kulud!I350</f>
        <v>0</v>
      </c>
      <c r="J325">
        <f>Koond_kulud!J350</f>
        <v>5525</v>
      </c>
      <c r="K325" t="str">
        <f>Koond_kulud!K350</f>
        <v>Kommunikatsiooni-, kultuuri- ja vaba aja sisustamise kulud</v>
      </c>
      <c r="L325">
        <f>Koond_kulud!L350</f>
        <v>55</v>
      </c>
      <c r="M325" t="str">
        <f>Koond_kulud!M350</f>
        <v>55</v>
      </c>
      <c r="N325" t="str">
        <f>Koond_kulud!N350</f>
        <v>Muud tegevuskulud</v>
      </c>
      <c r="O325" t="str">
        <f>Koond_kulud!O350</f>
        <v>Majandamiskulud</v>
      </c>
      <c r="P325" t="str">
        <f>Koond_kulud!P350</f>
        <v>Põhitegevuse kulu</v>
      </c>
      <c r="Q325">
        <f>Koond_kulud!Q350</f>
        <v>0</v>
      </c>
    </row>
    <row r="326" spans="1:17" hidden="1" x14ac:dyDescent="0.25">
      <c r="A326" t="str">
        <f>Koond_kulud!A351</f>
        <v>08</v>
      </c>
      <c r="B326" t="str">
        <f>Koond_kulud!B351</f>
        <v xml:space="preserve">0810904         </v>
      </c>
      <c r="C326" t="str">
        <f>Koond_kulud!C351</f>
        <v xml:space="preserve"> Toetused MTÜ-le</v>
      </c>
      <c r="D326" t="str">
        <f>Koond_kulud!D351</f>
        <v>Vaba aja üritused</v>
      </c>
      <c r="E326" t="str">
        <f>Koond_kulud!E351</f>
        <v>Vabaaeg, kultuur ja religioon</v>
      </c>
      <c r="F326" t="str">
        <f>Koond_kulud!F351</f>
        <v>Kultuurinõunik</v>
      </c>
      <c r="G326" t="str">
        <f>Koond_kulud!G351</f>
        <v>Kultuuri MTÜ-de toetused</v>
      </c>
      <c r="H326">
        <f>Koond_kulud!H351</f>
        <v>12360</v>
      </c>
      <c r="I326">
        <f>Koond_kulud!I351</f>
        <v>0</v>
      </c>
      <c r="J326">
        <f>Koond_kulud!J351</f>
        <v>45008</v>
      </c>
      <c r="K326" t="str">
        <f>Koond_kulud!K351</f>
        <v>Sihtotstarbelised eraldised muudele residentidele</v>
      </c>
      <c r="L326">
        <f>Koond_kulud!L351</f>
        <v>4500</v>
      </c>
      <c r="M326" t="str">
        <f>Koond_kulud!M351</f>
        <v>45</v>
      </c>
      <c r="N326" t="str">
        <f>Koond_kulud!N351</f>
        <v>Antavad toetused tegevuskuludeks</v>
      </c>
      <c r="O326" t="str">
        <f>Koond_kulud!O351</f>
        <v>Sihtotstarbelised toetused tegevuskuludeks</v>
      </c>
      <c r="P326" t="str">
        <f>Koond_kulud!P351</f>
        <v>Põhitegevuse kulu</v>
      </c>
      <c r="Q326">
        <f>Koond_kulud!Q351</f>
        <v>0</v>
      </c>
    </row>
    <row r="327" spans="1:17" hidden="1" x14ac:dyDescent="0.25">
      <c r="A327" t="str">
        <f>Koond_kulud!A352</f>
        <v>08</v>
      </c>
      <c r="B327" t="str">
        <f>Koond_kulud!B352</f>
        <v xml:space="preserve">0810904         </v>
      </c>
      <c r="C327" t="str">
        <f>Koond_kulud!C352</f>
        <v xml:space="preserve"> Toetused MTÜ-le</v>
      </c>
      <c r="D327" t="str">
        <f>Koond_kulud!D352</f>
        <v>Vaba aja üritused</v>
      </c>
      <c r="E327" t="str">
        <f>Koond_kulud!E352</f>
        <v>Vabaaeg, kultuur ja religioon</v>
      </c>
      <c r="F327" t="str">
        <f>Koond_kulud!F352</f>
        <v>Kultuurinõunik</v>
      </c>
      <c r="G327" t="str">
        <f>Koond_kulud!G352</f>
        <v>Kultuuri MTÜ-de toetuste reserv</v>
      </c>
      <c r="H327">
        <f>Koond_kulud!H352</f>
        <v>1250</v>
      </c>
      <c r="I327" t="str">
        <f>Koond_kulud!I352</f>
        <v>10% kultuuri MTÜ-de kogumahust</v>
      </c>
      <c r="J327">
        <f>Koond_kulud!J352</f>
        <v>45008</v>
      </c>
      <c r="K327" t="str">
        <f>Koond_kulud!K352</f>
        <v>Sihtotstarbelised eraldised muudele residentidele</v>
      </c>
      <c r="L327">
        <f>Koond_kulud!L352</f>
        <v>4500</v>
      </c>
      <c r="M327" t="str">
        <f>Koond_kulud!M352</f>
        <v>45</v>
      </c>
      <c r="N327" t="str">
        <f>Koond_kulud!N352</f>
        <v>Antavad toetused tegevuskuludeks</v>
      </c>
      <c r="O327" t="str">
        <f>Koond_kulud!O352</f>
        <v>Sihtotstarbelised toetused tegevuskuludeks</v>
      </c>
      <c r="P327" t="str">
        <f>Koond_kulud!P352</f>
        <v>Põhitegevuse kulu</v>
      </c>
      <c r="Q327">
        <f>Koond_kulud!Q352</f>
        <v>0</v>
      </c>
    </row>
    <row r="328" spans="1:17" hidden="1" x14ac:dyDescent="0.25">
      <c r="A328" t="str">
        <f>Koond_kulud!A353</f>
        <v>08</v>
      </c>
      <c r="B328" t="str">
        <f>Koond_kulud!B353</f>
        <v xml:space="preserve">0810905         </v>
      </c>
      <c r="C328" t="str">
        <f>Koond_kulud!C353</f>
        <v xml:space="preserve"> Kergliiklusteed</v>
      </c>
      <c r="D328" t="str">
        <f>Koond_kulud!D353</f>
        <v>Vaba aja üritused</v>
      </c>
      <c r="E328" t="str">
        <f>Koond_kulud!E353</f>
        <v>Vabaaeg, kultuur ja religioon</v>
      </c>
      <c r="F328" t="str">
        <f>Koond_kulud!F353</f>
        <v>Ehitusnõunik</v>
      </c>
      <c r="G328" t="str">
        <f>Koond_kulud!G353</f>
        <v>Muud kulud</v>
      </c>
      <c r="H328">
        <f>Koond_kulud!H353</f>
        <v>1500</v>
      </c>
      <c r="I328">
        <f>Koond_kulud!I353</f>
        <v>0</v>
      </c>
      <c r="J328">
        <f>Koond_kulud!J353</f>
        <v>5512</v>
      </c>
      <c r="K328" t="str">
        <f>Koond_kulud!K353</f>
        <v>Rajatiste majandamiskulud</v>
      </c>
      <c r="L328">
        <f>Koond_kulud!L353</f>
        <v>55</v>
      </c>
      <c r="M328" t="str">
        <f>Koond_kulud!M353</f>
        <v>55</v>
      </c>
      <c r="N328" t="str">
        <f>Koond_kulud!N353</f>
        <v>Muud tegevuskulud</v>
      </c>
      <c r="O328" t="str">
        <f>Koond_kulud!O353</f>
        <v>Majandamiskulud</v>
      </c>
      <c r="P328" t="str">
        <f>Koond_kulud!P353</f>
        <v>Põhitegevuse kulu</v>
      </c>
      <c r="Q328">
        <f>Koond_kulud!Q353</f>
        <v>0</v>
      </c>
    </row>
    <row r="329" spans="1:17" hidden="1" x14ac:dyDescent="0.25">
      <c r="A329" t="str">
        <f>Koond_kulud!A354</f>
        <v>08</v>
      </c>
      <c r="B329" t="str">
        <f>Koond_kulud!B354</f>
        <v xml:space="preserve">0810905         </v>
      </c>
      <c r="C329" t="str">
        <f>Koond_kulud!C354</f>
        <v xml:space="preserve"> Kergliiklusteed</v>
      </c>
      <c r="D329" t="str">
        <f>Koond_kulud!D354</f>
        <v>Vaba aja üritused</v>
      </c>
      <c r="E329" t="str">
        <f>Koond_kulud!E354</f>
        <v>Vabaaeg, kultuur ja religioon</v>
      </c>
      <c r="F329" t="str">
        <f>Koond_kulud!F354</f>
        <v>Ehitusnõunik</v>
      </c>
      <c r="G329" t="str">
        <f>Koond_kulud!G354</f>
        <v>Elekter</v>
      </c>
      <c r="H329">
        <f>Koond_kulud!H354</f>
        <v>3000</v>
      </c>
      <c r="I329">
        <f>Koond_kulud!I354</f>
        <v>0</v>
      </c>
      <c r="J329">
        <f>Koond_kulud!J354</f>
        <v>5512</v>
      </c>
      <c r="K329" t="str">
        <f>Koond_kulud!K354</f>
        <v>Rajatiste majandamiskulud</v>
      </c>
      <c r="L329">
        <f>Koond_kulud!L354</f>
        <v>55</v>
      </c>
      <c r="M329" t="str">
        <f>Koond_kulud!M354</f>
        <v>55</v>
      </c>
      <c r="N329" t="str">
        <f>Koond_kulud!N354</f>
        <v>Muud tegevuskulud</v>
      </c>
      <c r="O329" t="str">
        <f>Koond_kulud!O354</f>
        <v>Majandamiskulud</v>
      </c>
      <c r="P329" t="str">
        <f>Koond_kulud!P354</f>
        <v>Põhitegevuse kulu</v>
      </c>
      <c r="Q329">
        <f>Koond_kulud!Q354</f>
        <v>0</v>
      </c>
    </row>
    <row r="330" spans="1:17" hidden="1" x14ac:dyDescent="0.25">
      <c r="A330" t="str">
        <f>Koond_kulud!A357</f>
        <v>08</v>
      </c>
      <c r="B330" t="str">
        <f>Koond_kulud!B357</f>
        <v xml:space="preserve">0810907         </v>
      </c>
      <c r="C330" t="str">
        <f>Koond_kulud!C357</f>
        <v xml:space="preserve"> Vilde kirjanduspreemia</v>
      </c>
      <c r="D330" t="str">
        <f>Koond_kulud!D357</f>
        <v>Vaba aja üritused</v>
      </c>
      <c r="E330" t="str">
        <f>Koond_kulud!E357</f>
        <v>Vabaaeg, kultuur ja religioon</v>
      </c>
      <c r="F330" t="str">
        <f>Koond_kulud!F357</f>
        <v>Pajusti klubi</v>
      </c>
      <c r="G330" t="str">
        <f>Koond_kulud!G357</f>
        <v>Raamatud, lilled, külaliste vastuvõtt jms</v>
      </c>
      <c r="H330">
        <f>Koond_kulud!H357</f>
        <v>1000</v>
      </c>
      <c r="I330">
        <f>Koond_kulud!I357</f>
        <v>0</v>
      </c>
      <c r="J330">
        <f>Koond_kulud!J357</f>
        <v>5500</v>
      </c>
      <c r="K330" t="str">
        <f>Koond_kulud!K357</f>
        <v>Administreerimiskulud</v>
      </c>
      <c r="L330">
        <f>Koond_kulud!L357</f>
        <v>55</v>
      </c>
      <c r="M330" t="str">
        <f>Koond_kulud!M357</f>
        <v>55</v>
      </c>
      <c r="N330" t="str">
        <f>Koond_kulud!N357</f>
        <v>Muud tegevuskulud</v>
      </c>
      <c r="O330" t="str">
        <f>Koond_kulud!O357</f>
        <v>Majandamiskulud</v>
      </c>
      <c r="P330" t="str">
        <f>Koond_kulud!P357</f>
        <v>Põhitegevuse kulu</v>
      </c>
      <c r="Q330">
        <f>Koond_kulud!Q357</f>
        <v>0</v>
      </c>
    </row>
    <row r="331" spans="1:17" hidden="1" x14ac:dyDescent="0.25">
      <c r="A331" t="str">
        <f>Koond_kulud!A358</f>
        <v>08</v>
      </c>
      <c r="B331" t="str">
        <f>Koond_kulud!B358</f>
        <v xml:space="preserve">0810908         </v>
      </c>
      <c r="C331" t="str">
        <f>Koond_kulud!C358</f>
        <v>Kultuuri projektide kaasfinantseerimised</v>
      </c>
      <c r="D331" t="str">
        <f>Koond_kulud!D358</f>
        <v>Vaba aja üritused</v>
      </c>
      <c r="E331" t="str">
        <f>Koond_kulud!E358</f>
        <v>Vabaaeg, kultuur ja religioon</v>
      </c>
      <c r="F331" t="str">
        <f>Koond_kulud!F358</f>
        <v>Kultuurinõunik</v>
      </c>
      <c r="G331" t="str">
        <f>Koond_kulud!G358</f>
        <v>Kultuuri projektide kaasfinantseerimised 2020.a</v>
      </c>
      <c r="H331">
        <f>Koond_kulud!H358</f>
        <v>8000</v>
      </c>
      <c r="I331">
        <f>Koond_kulud!I358</f>
        <v>0</v>
      </c>
      <c r="J331">
        <f>Koond_kulud!J358</f>
        <v>45008</v>
      </c>
      <c r="K331" t="str">
        <f>Koond_kulud!K358</f>
        <v>Sihtotstarbelised eraldised muudele residentidele</v>
      </c>
      <c r="L331">
        <f>Koond_kulud!L358</f>
        <v>4500</v>
      </c>
      <c r="M331" t="str">
        <f>Koond_kulud!M358</f>
        <v>45</v>
      </c>
      <c r="N331" t="str">
        <f>Koond_kulud!N358</f>
        <v>Antavad toetused tegevuskuludeks</v>
      </c>
      <c r="O331" t="str">
        <f>Koond_kulud!O358</f>
        <v>Sihtotstarbelised toetused tegevuskuludeks</v>
      </c>
      <c r="P331" t="str">
        <f>Koond_kulud!P358</f>
        <v>Põhitegevuse kulu</v>
      </c>
      <c r="Q331">
        <f>Koond_kulud!Q358</f>
        <v>0</v>
      </c>
    </row>
    <row r="332" spans="1:17" hidden="1" x14ac:dyDescent="0.25">
      <c r="A332" t="str">
        <f>Koond_kulud!A359</f>
        <v>08</v>
      </c>
      <c r="B332" t="str">
        <f>Koond_kulud!B359</f>
        <v xml:space="preserve">0820101         </v>
      </c>
      <c r="C332" t="str">
        <f>Koond_kulud!C359</f>
        <v>Vinni-Pajusti Rahvaraamatukogu</v>
      </c>
      <c r="D332" t="str">
        <f>Koond_kulud!D359</f>
        <v>Raamatukogud</v>
      </c>
      <c r="E332" t="str">
        <f>Koond_kulud!E359</f>
        <v>Vabaaeg, kultuur ja religioon</v>
      </c>
      <c r="F332" t="str">
        <f>Koond_kulud!F359</f>
        <v>Vinni-Pajusti raamatukogu</v>
      </c>
      <c r="G332" t="str">
        <f>Koond_kulud!G359</f>
        <v>Soojus</v>
      </c>
      <c r="H332">
        <f>Koond_kulud!H359</f>
        <v>9000</v>
      </c>
      <c r="I332">
        <f>Koond_kulud!I359</f>
        <v>0</v>
      </c>
      <c r="J332">
        <f>Koond_kulud!J359</f>
        <v>5511</v>
      </c>
      <c r="K332" t="str">
        <f>Koond_kulud!K359</f>
        <v>Kinnistute, hoonete ja ruumide majandamiskulud</v>
      </c>
      <c r="L332">
        <f>Koond_kulud!L359</f>
        <v>55</v>
      </c>
      <c r="M332" t="str">
        <f>Koond_kulud!M359</f>
        <v>55</v>
      </c>
      <c r="N332" t="str">
        <f>Koond_kulud!N359</f>
        <v>Muud tegevuskulud</v>
      </c>
      <c r="O332" t="str">
        <f>Koond_kulud!O359</f>
        <v>Majandamiskulud</v>
      </c>
      <c r="P332" t="str">
        <f>Koond_kulud!P359</f>
        <v>Põhitegevuse kulu</v>
      </c>
      <c r="Q332">
        <f>Koond_kulud!Q359</f>
        <v>0</v>
      </c>
    </row>
    <row r="333" spans="1:17" hidden="1" x14ac:dyDescent="0.25">
      <c r="A333" t="str">
        <f>Koond_kulud!A360</f>
        <v>08</v>
      </c>
      <c r="B333" t="str">
        <f>Koond_kulud!B360</f>
        <v xml:space="preserve">0820101         </v>
      </c>
      <c r="C333" t="str">
        <f>Koond_kulud!C360</f>
        <v>Vinni-Pajusti Rahvaraamatukogu</v>
      </c>
      <c r="D333" t="str">
        <f>Koond_kulud!D360</f>
        <v>Raamatukogud</v>
      </c>
      <c r="E333" t="str">
        <f>Koond_kulud!E360</f>
        <v>Vabaaeg, kultuur ja religioon</v>
      </c>
      <c r="F333" t="str">
        <f>Koond_kulud!F360</f>
        <v>Vinni-Pajusti raamatukogu</v>
      </c>
      <c r="G333" t="str">
        <f>Koond_kulud!G360</f>
        <v>Elekter</v>
      </c>
      <c r="H333">
        <f>Koond_kulud!H360</f>
        <v>2000</v>
      </c>
      <c r="I333">
        <f>Koond_kulud!I360</f>
        <v>0</v>
      </c>
      <c r="J333">
        <f>Koond_kulud!J360</f>
        <v>5511</v>
      </c>
      <c r="K333" t="str">
        <f>Koond_kulud!K360</f>
        <v>Kinnistute, hoonete ja ruumide majandamiskulud</v>
      </c>
      <c r="L333">
        <f>Koond_kulud!L360</f>
        <v>55</v>
      </c>
      <c r="M333" t="str">
        <f>Koond_kulud!M360</f>
        <v>55</v>
      </c>
      <c r="N333" t="str">
        <f>Koond_kulud!N360</f>
        <v>Muud tegevuskulud</v>
      </c>
      <c r="O333" t="str">
        <f>Koond_kulud!O360</f>
        <v>Majandamiskulud</v>
      </c>
      <c r="P333" t="str">
        <f>Koond_kulud!P360</f>
        <v>Põhitegevuse kulu</v>
      </c>
      <c r="Q333">
        <f>Koond_kulud!Q360</f>
        <v>0</v>
      </c>
    </row>
    <row r="334" spans="1:17" hidden="1" x14ac:dyDescent="0.25">
      <c r="A334" t="str">
        <f>Koond_kulud!A361</f>
        <v>08</v>
      </c>
      <c r="B334" t="str">
        <f>Koond_kulud!B361</f>
        <v xml:space="preserve">0820101         </v>
      </c>
      <c r="C334" t="str">
        <f>Koond_kulud!C361</f>
        <v>Vinni-Pajusti Rahvaraamatukogu</v>
      </c>
      <c r="D334" t="str">
        <f>Koond_kulud!D361</f>
        <v>Raamatukogud</v>
      </c>
      <c r="E334" t="str">
        <f>Koond_kulud!E361</f>
        <v>Vabaaeg, kultuur ja religioon</v>
      </c>
      <c r="F334" t="str">
        <f>Koond_kulud!F361</f>
        <v>Vinni-Pajusti raamatukogu</v>
      </c>
      <c r="G334" t="str">
        <f>Koond_kulud!G361</f>
        <v>Vesi</v>
      </c>
      <c r="H334">
        <f>Koond_kulud!H361</f>
        <v>120</v>
      </c>
      <c r="I334">
        <f>Koond_kulud!I361</f>
        <v>0</v>
      </c>
      <c r="J334">
        <f>Koond_kulud!J361</f>
        <v>5511</v>
      </c>
      <c r="K334" t="str">
        <f>Koond_kulud!K361</f>
        <v>Kinnistute, hoonete ja ruumide majandamiskulud</v>
      </c>
      <c r="L334">
        <f>Koond_kulud!L361</f>
        <v>55</v>
      </c>
      <c r="M334" t="str">
        <f>Koond_kulud!M361</f>
        <v>55</v>
      </c>
      <c r="N334" t="str">
        <f>Koond_kulud!N361</f>
        <v>Muud tegevuskulud</v>
      </c>
      <c r="O334" t="str">
        <f>Koond_kulud!O361</f>
        <v>Majandamiskulud</v>
      </c>
      <c r="P334" t="str">
        <f>Koond_kulud!P361</f>
        <v>Põhitegevuse kulu</v>
      </c>
      <c r="Q334">
        <f>Koond_kulud!Q361</f>
        <v>0</v>
      </c>
    </row>
    <row r="335" spans="1:17" hidden="1" x14ac:dyDescent="0.25">
      <c r="A335" t="str">
        <f>Koond_kulud!A362</f>
        <v>08</v>
      </c>
      <c r="B335" t="str">
        <f>Koond_kulud!B362</f>
        <v xml:space="preserve">0820101         </v>
      </c>
      <c r="C335" t="str">
        <f>Koond_kulud!C362</f>
        <v>Vinni-Pajusti Rahvaraamatukogu</v>
      </c>
      <c r="D335" t="str">
        <f>Koond_kulud!D362</f>
        <v>Raamatukogud</v>
      </c>
      <c r="E335" t="str">
        <f>Koond_kulud!E362</f>
        <v>Vabaaeg, kultuur ja religioon</v>
      </c>
      <c r="F335" t="str">
        <f>Koond_kulud!F362</f>
        <v>Vinni-Pajusti raamatukogu</v>
      </c>
      <c r="G335" t="str">
        <f>Koond_kulud!G362</f>
        <v>Hooldusvahendid, tualettpaber</v>
      </c>
      <c r="H335">
        <f>Koond_kulud!H362</f>
        <v>200</v>
      </c>
      <c r="I335">
        <f>Koond_kulud!I362</f>
        <v>0</v>
      </c>
      <c r="J335">
        <f>Koond_kulud!J362</f>
        <v>5511</v>
      </c>
      <c r="K335" t="str">
        <f>Koond_kulud!K362</f>
        <v>Kinnistute, hoonete ja ruumide majandamiskulud</v>
      </c>
      <c r="L335">
        <f>Koond_kulud!L362</f>
        <v>55</v>
      </c>
      <c r="M335" t="str">
        <f>Koond_kulud!M362</f>
        <v>55</v>
      </c>
      <c r="N335" t="str">
        <f>Koond_kulud!N362</f>
        <v>Muud tegevuskulud</v>
      </c>
      <c r="O335" t="str">
        <f>Koond_kulud!O362</f>
        <v>Majandamiskulud</v>
      </c>
      <c r="P335" t="str">
        <f>Koond_kulud!P362</f>
        <v>Põhitegevuse kulu</v>
      </c>
      <c r="Q335">
        <f>Koond_kulud!Q362</f>
        <v>0</v>
      </c>
    </row>
    <row r="336" spans="1:17" hidden="1" x14ac:dyDescent="0.25">
      <c r="A336" t="str">
        <f>Koond_kulud!A363</f>
        <v>08</v>
      </c>
      <c r="B336" t="str">
        <f>Koond_kulud!B363</f>
        <v xml:space="preserve">0820101         </v>
      </c>
      <c r="C336" t="str">
        <f>Koond_kulud!C363</f>
        <v>Vinni-Pajusti Rahvaraamatukogu</v>
      </c>
      <c r="D336" t="str">
        <f>Koond_kulud!D363</f>
        <v>Raamatukogud</v>
      </c>
      <c r="E336" t="str">
        <f>Koond_kulud!E363</f>
        <v>Vabaaeg, kultuur ja religioon</v>
      </c>
      <c r="F336" t="str">
        <f>Koond_kulud!F363</f>
        <v>Vinni-Pajusti raamatukogu</v>
      </c>
      <c r="G336" t="str">
        <f>Koond_kulud!G363</f>
        <v>Prügi</v>
      </c>
      <c r="H336">
        <f>Koond_kulud!H363</f>
        <v>100</v>
      </c>
      <c r="I336" t="str">
        <f>Koond_kulud!I363</f>
        <v>200l -rk oma, õues 600l -küla oma, meie eelarves</v>
      </c>
      <c r="J336">
        <f>Koond_kulud!J363</f>
        <v>5511</v>
      </c>
      <c r="K336" t="str">
        <f>Koond_kulud!K363</f>
        <v>Kinnistute, hoonete ja ruumide majandamiskulud</v>
      </c>
      <c r="L336">
        <f>Koond_kulud!L363</f>
        <v>55</v>
      </c>
      <c r="M336" t="str">
        <f>Koond_kulud!M363</f>
        <v>55</v>
      </c>
      <c r="N336" t="str">
        <f>Koond_kulud!N363</f>
        <v>Muud tegevuskulud</v>
      </c>
      <c r="O336" t="str">
        <f>Koond_kulud!O363</f>
        <v>Majandamiskulud</v>
      </c>
      <c r="P336" t="str">
        <f>Koond_kulud!P363</f>
        <v>Põhitegevuse kulu</v>
      </c>
      <c r="Q336">
        <f>Koond_kulud!Q363</f>
        <v>0</v>
      </c>
    </row>
    <row r="337" spans="1:17" hidden="1" x14ac:dyDescent="0.25">
      <c r="A337" t="str">
        <f>Koond_kulud!A364</f>
        <v>08</v>
      </c>
      <c r="B337" t="str">
        <f>Koond_kulud!B364</f>
        <v xml:space="preserve">0820101         </v>
      </c>
      <c r="C337" t="str">
        <f>Koond_kulud!C364</f>
        <v>Vinni-Pajusti Rahvaraamatukogu</v>
      </c>
      <c r="D337" t="str">
        <f>Koond_kulud!D364</f>
        <v>Raamatukogud</v>
      </c>
      <c r="E337" t="str">
        <f>Koond_kulud!E364</f>
        <v>Vabaaeg, kultuur ja religioon</v>
      </c>
      <c r="F337" t="str">
        <f>Koond_kulud!F364</f>
        <v>Vinni-Pajusti raamatukogu</v>
      </c>
      <c r="G337" t="str">
        <f>Koond_kulud!G364</f>
        <v>Vaip</v>
      </c>
      <c r="H337">
        <f>Koond_kulud!H364</f>
        <v>100</v>
      </c>
      <c r="I337">
        <f>Koond_kulud!I364</f>
        <v>0</v>
      </c>
      <c r="J337">
        <f>Koond_kulud!J364</f>
        <v>5511</v>
      </c>
      <c r="K337" t="str">
        <f>Koond_kulud!K364</f>
        <v>Kinnistute, hoonete ja ruumide majandamiskulud</v>
      </c>
      <c r="L337">
        <f>Koond_kulud!L364</f>
        <v>55</v>
      </c>
      <c r="M337" t="str">
        <f>Koond_kulud!M364</f>
        <v>55</v>
      </c>
      <c r="N337" t="str">
        <f>Koond_kulud!N364</f>
        <v>Muud tegevuskulud</v>
      </c>
      <c r="O337" t="str">
        <f>Koond_kulud!O364</f>
        <v>Majandamiskulud</v>
      </c>
      <c r="P337" t="str">
        <f>Koond_kulud!P364</f>
        <v>Põhitegevuse kulu</v>
      </c>
      <c r="Q337">
        <f>Koond_kulud!Q364</f>
        <v>0</v>
      </c>
    </row>
    <row r="338" spans="1:17" hidden="1" x14ac:dyDescent="0.25">
      <c r="A338" t="str">
        <f>Koond_kulud!A365</f>
        <v>08</v>
      </c>
      <c r="B338" t="str">
        <f>Koond_kulud!B365</f>
        <v xml:space="preserve">0820101         </v>
      </c>
      <c r="C338" t="str">
        <f>Koond_kulud!C365</f>
        <v>Vinni-Pajusti Rahvaraamatukogu</v>
      </c>
      <c r="D338" t="str">
        <f>Koond_kulud!D365</f>
        <v>Raamatukogud</v>
      </c>
      <c r="E338" t="str">
        <f>Koond_kulud!E365</f>
        <v>Vabaaeg, kultuur ja religioon</v>
      </c>
      <c r="F338" t="str">
        <f>Koond_kulud!F365</f>
        <v>Vinni-Pajusti raamatukogu</v>
      </c>
      <c r="G338" t="str">
        <f>Koond_kulud!G365</f>
        <v>Paber</v>
      </c>
      <c r="H338">
        <f>Koond_kulud!H365</f>
        <v>100</v>
      </c>
      <c r="I338">
        <f>Koond_kulud!I365</f>
        <v>0</v>
      </c>
      <c r="J338">
        <f>Koond_kulud!J365</f>
        <v>5500</v>
      </c>
      <c r="K338" t="str">
        <f>Koond_kulud!K365</f>
        <v>Administreerimiskulud</v>
      </c>
      <c r="L338">
        <f>Koond_kulud!L365</f>
        <v>55</v>
      </c>
      <c r="M338" t="str">
        <f>Koond_kulud!M365</f>
        <v>55</v>
      </c>
      <c r="N338" t="str">
        <f>Koond_kulud!N365</f>
        <v>Muud tegevuskulud</v>
      </c>
      <c r="O338" t="str">
        <f>Koond_kulud!O365</f>
        <v>Majandamiskulud</v>
      </c>
      <c r="P338" t="str">
        <f>Koond_kulud!P365</f>
        <v>Põhitegevuse kulu</v>
      </c>
      <c r="Q338">
        <f>Koond_kulud!Q365</f>
        <v>0</v>
      </c>
    </row>
    <row r="339" spans="1:17" hidden="1" x14ac:dyDescent="0.25">
      <c r="A339" t="str">
        <f>Koond_kulud!A366</f>
        <v>08</v>
      </c>
      <c r="B339" t="str">
        <f>Koond_kulud!B366</f>
        <v xml:space="preserve">0820101         </v>
      </c>
      <c r="C339" t="str">
        <f>Koond_kulud!C366</f>
        <v>Vinni-Pajusti Rahvaraamatukogu</v>
      </c>
      <c r="D339" t="str">
        <f>Koond_kulud!D366</f>
        <v>Raamatukogud</v>
      </c>
      <c r="E339" t="str">
        <f>Koond_kulud!E366</f>
        <v>Vabaaeg, kultuur ja religioon</v>
      </c>
      <c r="F339" t="str">
        <f>Koond_kulud!F366</f>
        <v>Vinni-Pajusti raamatukogu</v>
      </c>
      <c r="G339" t="str">
        <f>Koond_kulud!G366</f>
        <v>Raamatukile</v>
      </c>
      <c r="H339">
        <f>Koond_kulud!H366</f>
        <v>190</v>
      </c>
      <c r="I339">
        <f>Koond_kulud!I366</f>
        <v>0</v>
      </c>
      <c r="J339">
        <f>Koond_kulud!J366</f>
        <v>5500</v>
      </c>
      <c r="K339" t="str">
        <f>Koond_kulud!K366</f>
        <v>Administreerimiskulud</v>
      </c>
      <c r="L339">
        <f>Koond_kulud!L366</f>
        <v>55</v>
      </c>
      <c r="M339" t="str">
        <f>Koond_kulud!M366</f>
        <v>55</v>
      </c>
      <c r="N339" t="str">
        <f>Koond_kulud!N366</f>
        <v>Muud tegevuskulud</v>
      </c>
      <c r="O339" t="str">
        <f>Koond_kulud!O366</f>
        <v>Majandamiskulud</v>
      </c>
      <c r="P339" t="str">
        <f>Koond_kulud!P366</f>
        <v>Põhitegevuse kulu</v>
      </c>
      <c r="Q339">
        <f>Koond_kulud!Q366</f>
        <v>0</v>
      </c>
    </row>
    <row r="340" spans="1:17" hidden="1" x14ac:dyDescent="0.25">
      <c r="A340" t="str">
        <f>Koond_kulud!A367</f>
        <v>08</v>
      </c>
      <c r="B340" t="str">
        <f>Koond_kulud!B367</f>
        <v xml:space="preserve">0820101         </v>
      </c>
      <c r="C340" t="str">
        <f>Koond_kulud!C367</f>
        <v>Vinni-Pajusti Rahvaraamatukogu</v>
      </c>
      <c r="D340" t="str">
        <f>Koond_kulud!D367</f>
        <v>Raamatukogud</v>
      </c>
      <c r="E340" t="str">
        <f>Koond_kulud!E367</f>
        <v>Vabaaeg, kultuur ja religioon</v>
      </c>
      <c r="F340" t="str">
        <f>Koond_kulud!F367</f>
        <v>Vinni-Pajusti raamatukogu</v>
      </c>
      <c r="G340" t="str">
        <f>Koond_kulud!G367</f>
        <v>Raamatuetiketid</v>
      </c>
      <c r="H340">
        <f>Koond_kulud!H367</f>
        <v>120</v>
      </c>
      <c r="I340">
        <f>Koond_kulud!I367</f>
        <v>0</v>
      </c>
      <c r="J340">
        <f>Koond_kulud!J367</f>
        <v>5500</v>
      </c>
      <c r="K340" t="str">
        <f>Koond_kulud!K367</f>
        <v>Administreerimiskulud</v>
      </c>
      <c r="L340">
        <f>Koond_kulud!L367</f>
        <v>55</v>
      </c>
      <c r="M340" t="str">
        <f>Koond_kulud!M367</f>
        <v>55</v>
      </c>
      <c r="N340" t="str">
        <f>Koond_kulud!N367</f>
        <v>Muud tegevuskulud</v>
      </c>
      <c r="O340" t="str">
        <f>Koond_kulud!O367</f>
        <v>Majandamiskulud</v>
      </c>
      <c r="P340" t="str">
        <f>Koond_kulud!P367</f>
        <v>Põhitegevuse kulu</v>
      </c>
      <c r="Q340">
        <f>Koond_kulud!Q367</f>
        <v>0</v>
      </c>
    </row>
    <row r="341" spans="1:17" hidden="1" x14ac:dyDescent="0.25">
      <c r="A341" t="str">
        <f>Koond_kulud!A368</f>
        <v>08</v>
      </c>
      <c r="B341" t="str">
        <f>Koond_kulud!B368</f>
        <v xml:space="preserve">0820101         </v>
      </c>
      <c r="C341" t="str">
        <f>Koond_kulud!C368</f>
        <v>Vinni-Pajusti Rahvaraamatukogu</v>
      </c>
      <c r="D341" t="str">
        <f>Koond_kulud!D368</f>
        <v>Raamatukogud</v>
      </c>
      <c r="E341" t="str">
        <f>Koond_kulud!E368</f>
        <v>Vabaaeg, kultuur ja religioon</v>
      </c>
      <c r="F341" t="str">
        <f>Koond_kulud!F368</f>
        <v>Vinni-Pajusti raamatukogu</v>
      </c>
      <c r="G341" t="str">
        <f>Koond_kulud!G368</f>
        <v>Perioodika</v>
      </c>
      <c r="H341">
        <f>Koond_kulud!H368</f>
        <v>2000</v>
      </c>
      <c r="I341">
        <f>Koond_kulud!I368</f>
        <v>0</v>
      </c>
      <c r="J341">
        <f>Koond_kulud!J368</f>
        <v>5500</v>
      </c>
      <c r="K341" t="str">
        <f>Koond_kulud!K368</f>
        <v>Administreerimiskulud</v>
      </c>
      <c r="L341">
        <f>Koond_kulud!L368</f>
        <v>55</v>
      </c>
      <c r="M341" t="str">
        <f>Koond_kulud!M368</f>
        <v>55</v>
      </c>
      <c r="N341" t="str">
        <f>Koond_kulud!N368</f>
        <v>Muud tegevuskulud</v>
      </c>
      <c r="O341" t="str">
        <f>Koond_kulud!O368</f>
        <v>Majandamiskulud</v>
      </c>
      <c r="P341" t="str">
        <f>Koond_kulud!P368</f>
        <v>Põhitegevuse kulu</v>
      </c>
      <c r="Q341">
        <f>Koond_kulud!Q368</f>
        <v>0</v>
      </c>
    </row>
    <row r="342" spans="1:17" hidden="1" x14ac:dyDescent="0.25">
      <c r="A342" t="str">
        <f>Koond_kulud!A369</f>
        <v>08</v>
      </c>
      <c r="B342" t="str">
        <f>Koond_kulud!B369</f>
        <v xml:space="preserve">0820101         </v>
      </c>
      <c r="C342" t="str">
        <f>Koond_kulud!C369</f>
        <v>Vinni-Pajusti Rahvaraamatukogu</v>
      </c>
      <c r="D342" t="str">
        <f>Koond_kulud!D369</f>
        <v>Raamatukogud</v>
      </c>
      <c r="E342" t="str">
        <f>Koond_kulud!E369</f>
        <v>Vabaaeg, kultuur ja religioon</v>
      </c>
      <c r="F342" t="str">
        <f>Koond_kulud!F369</f>
        <v>Vinni-Pajusti raamatukogu</v>
      </c>
      <c r="G342" t="str">
        <f>Koond_kulud!G369</f>
        <v>Tooner</v>
      </c>
      <c r="H342">
        <f>Koond_kulud!H369</f>
        <v>150</v>
      </c>
      <c r="I342">
        <f>Koond_kulud!I369</f>
        <v>0</v>
      </c>
      <c r="J342">
        <f>Koond_kulud!J369</f>
        <v>5500</v>
      </c>
      <c r="K342" t="str">
        <f>Koond_kulud!K369</f>
        <v>Administreerimiskulud</v>
      </c>
      <c r="L342">
        <f>Koond_kulud!L369</f>
        <v>55</v>
      </c>
      <c r="M342" t="str">
        <f>Koond_kulud!M369</f>
        <v>55</v>
      </c>
      <c r="N342" t="str">
        <f>Koond_kulud!N369</f>
        <v>Muud tegevuskulud</v>
      </c>
      <c r="O342" t="str">
        <f>Koond_kulud!O369</f>
        <v>Majandamiskulud</v>
      </c>
      <c r="P342" t="str">
        <f>Koond_kulud!P369</f>
        <v>Põhitegevuse kulu</v>
      </c>
      <c r="Q342">
        <f>Koond_kulud!Q369</f>
        <v>0</v>
      </c>
    </row>
    <row r="343" spans="1:17" hidden="1" x14ac:dyDescent="0.25">
      <c r="A343" t="str">
        <f>Koond_kulud!A370</f>
        <v>08</v>
      </c>
      <c r="B343" t="str">
        <f>Koond_kulud!B370</f>
        <v xml:space="preserve">0820101         </v>
      </c>
      <c r="C343" t="str">
        <f>Koond_kulud!C370</f>
        <v>Vinni-Pajusti Rahvaraamatukogu</v>
      </c>
      <c r="D343" t="str">
        <f>Koond_kulud!D370</f>
        <v>Raamatukogud</v>
      </c>
      <c r="E343" t="str">
        <f>Koond_kulud!E370</f>
        <v>Vabaaeg, kultuur ja religioon</v>
      </c>
      <c r="F343" t="str">
        <f>Koond_kulud!F370</f>
        <v>Vinni-Pajusti raamatukogu</v>
      </c>
      <c r="G343" t="str">
        <f>Koond_kulud!G370</f>
        <v>Telefon+internet</v>
      </c>
      <c r="H343">
        <f>Koond_kulud!H370</f>
        <v>800</v>
      </c>
      <c r="I343">
        <f>Koond_kulud!I370</f>
        <v>0</v>
      </c>
      <c r="J343">
        <f>Koond_kulud!J370</f>
        <v>5500</v>
      </c>
      <c r="K343" t="str">
        <f>Koond_kulud!K370</f>
        <v>Administreerimiskulud</v>
      </c>
      <c r="L343">
        <f>Koond_kulud!L370</f>
        <v>55</v>
      </c>
      <c r="M343" t="str">
        <f>Koond_kulud!M370</f>
        <v>55</v>
      </c>
      <c r="N343" t="str">
        <f>Koond_kulud!N370</f>
        <v>Muud tegevuskulud</v>
      </c>
      <c r="O343" t="str">
        <f>Koond_kulud!O370</f>
        <v>Majandamiskulud</v>
      </c>
      <c r="P343" t="str">
        <f>Koond_kulud!P370</f>
        <v>Põhitegevuse kulu</v>
      </c>
      <c r="Q343">
        <f>Koond_kulud!Q370</f>
        <v>0</v>
      </c>
    </row>
    <row r="344" spans="1:17" hidden="1" x14ac:dyDescent="0.25">
      <c r="A344" t="str">
        <f>Koond_kulud!A371</f>
        <v>08</v>
      </c>
      <c r="B344" t="str">
        <f>Koond_kulud!B371</f>
        <v xml:space="preserve">0820101         </v>
      </c>
      <c r="C344" t="str">
        <f>Koond_kulud!C371</f>
        <v>Vinni-Pajusti Rahvaraamatukogu</v>
      </c>
      <c r="D344" t="str">
        <f>Koond_kulud!D371</f>
        <v>Raamatukogud</v>
      </c>
      <c r="E344" t="str">
        <f>Koond_kulud!E371</f>
        <v>Vabaaeg, kultuur ja religioon</v>
      </c>
      <c r="F344" t="str">
        <f>Koond_kulud!F371</f>
        <v>Vinni-Pajusti raamatukogu</v>
      </c>
      <c r="G344" t="str">
        <f>Koond_kulud!G371</f>
        <v>Markerid, pastakad, kleepsud, märkmepaber jmt</v>
      </c>
      <c r="H344">
        <f>Koond_kulud!H371</f>
        <v>100</v>
      </c>
      <c r="I344">
        <f>Koond_kulud!I371</f>
        <v>0</v>
      </c>
      <c r="J344">
        <f>Koond_kulud!J371</f>
        <v>5500</v>
      </c>
      <c r="K344" t="str">
        <f>Koond_kulud!K371</f>
        <v>Administreerimiskulud</v>
      </c>
      <c r="L344">
        <f>Koond_kulud!L371</f>
        <v>55</v>
      </c>
      <c r="M344" t="str">
        <f>Koond_kulud!M371</f>
        <v>55</v>
      </c>
      <c r="N344" t="str">
        <f>Koond_kulud!N371</f>
        <v>Muud tegevuskulud</v>
      </c>
      <c r="O344" t="str">
        <f>Koond_kulud!O371</f>
        <v>Majandamiskulud</v>
      </c>
      <c r="P344" t="str">
        <f>Koond_kulud!P371</f>
        <v>Põhitegevuse kulu</v>
      </c>
      <c r="Q344">
        <f>Koond_kulud!Q371</f>
        <v>0</v>
      </c>
    </row>
    <row r="345" spans="1:17" hidden="1" x14ac:dyDescent="0.25">
      <c r="A345" t="str">
        <f>Koond_kulud!A372</f>
        <v>08</v>
      </c>
      <c r="B345" t="str">
        <f>Koond_kulud!B372</f>
        <v xml:space="preserve">0820101         </v>
      </c>
      <c r="C345" t="str">
        <f>Koond_kulud!C372</f>
        <v>Vinni-Pajusti Rahvaraamatukogu</v>
      </c>
      <c r="D345" t="str">
        <f>Koond_kulud!D372</f>
        <v>Raamatukogud</v>
      </c>
      <c r="E345" t="str">
        <f>Koond_kulud!E372</f>
        <v>Vabaaeg, kultuur ja religioon</v>
      </c>
      <c r="F345" t="str">
        <f>Koond_kulud!F372</f>
        <v>Vinni-Pajusti raamatukogu</v>
      </c>
      <c r="G345" t="str">
        <f>Koond_kulud!G372</f>
        <v>Koolituskulud</v>
      </c>
      <c r="H345">
        <f>Koond_kulud!H372</f>
        <v>500</v>
      </c>
      <c r="I345" t="str">
        <f>Koond_kulud!I372</f>
        <v>Muud koolitused (sh Lääne-Virumaa KRK korraldatud)</v>
      </c>
      <c r="J345">
        <f>Koond_kulud!J372</f>
        <v>5504</v>
      </c>
      <c r="K345" t="str">
        <f>Koond_kulud!K372</f>
        <v>Koolituskulud</v>
      </c>
      <c r="L345">
        <f>Koond_kulud!L372</f>
        <v>55</v>
      </c>
      <c r="M345" t="str">
        <f>Koond_kulud!M372</f>
        <v>55</v>
      </c>
      <c r="N345" t="str">
        <f>Koond_kulud!N372</f>
        <v>Muud tegevuskulud</v>
      </c>
      <c r="O345" t="str">
        <f>Koond_kulud!O372</f>
        <v>Majandamiskulud</v>
      </c>
      <c r="P345" t="str">
        <f>Koond_kulud!P372</f>
        <v>Põhitegevuse kulu</v>
      </c>
      <c r="Q345">
        <f>Koond_kulud!Q372</f>
        <v>0</v>
      </c>
    </row>
    <row r="346" spans="1:17" hidden="1" x14ac:dyDescent="0.25">
      <c r="A346" t="str">
        <f>Koond_kulud!A373</f>
        <v>08</v>
      </c>
      <c r="B346" t="str">
        <f>Koond_kulud!B373</f>
        <v xml:space="preserve">0820101         </v>
      </c>
      <c r="C346" t="str">
        <f>Koond_kulud!C373</f>
        <v>Vinni-Pajusti Rahvaraamatukogu</v>
      </c>
      <c r="D346" t="str">
        <f>Koond_kulud!D373</f>
        <v>Raamatukogud</v>
      </c>
      <c r="E346" t="str">
        <f>Koond_kulud!E373</f>
        <v>Vabaaeg, kultuur ja religioon</v>
      </c>
      <c r="F346" t="str">
        <f>Koond_kulud!F373</f>
        <v>Vinni-Pajusti raamatukogu</v>
      </c>
      <c r="G346" t="str">
        <f>Koond_kulud!G373</f>
        <v>Lähetuskulud</v>
      </c>
      <c r="H346">
        <f>Koond_kulud!H373</f>
        <v>100</v>
      </c>
      <c r="I346" t="str">
        <f>Koond_kulud!I373</f>
        <v>Laager Saaremaal; õppereis Soome Oodi raamatukokku</v>
      </c>
      <c r="J346">
        <f>Koond_kulud!J373</f>
        <v>5504</v>
      </c>
      <c r="K346" t="str">
        <f>Koond_kulud!K373</f>
        <v>Koolituskulud</v>
      </c>
      <c r="L346">
        <f>Koond_kulud!L373</f>
        <v>55</v>
      </c>
      <c r="M346" t="str">
        <f>Koond_kulud!M373</f>
        <v>55</v>
      </c>
      <c r="N346" t="str">
        <f>Koond_kulud!N373</f>
        <v>Muud tegevuskulud</v>
      </c>
      <c r="O346" t="str">
        <f>Koond_kulud!O373</f>
        <v>Majandamiskulud</v>
      </c>
      <c r="P346" t="str">
        <f>Koond_kulud!P373</f>
        <v>Põhitegevuse kulu</v>
      </c>
      <c r="Q346">
        <f>Koond_kulud!Q373</f>
        <v>0</v>
      </c>
    </row>
    <row r="347" spans="1:17" hidden="1" x14ac:dyDescent="0.25">
      <c r="A347" t="str">
        <f>Koond_kulud!A374</f>
        <v>08</v>
      </c>
      <c r="B347" t="str">
        <f>Koond_kulud!B374</f>
        <v xml:space="preserve">0820101         </v>
      </c>
      <c r="C347" t="str">
        <f>Koond_kulud!C374</f>
        <v>Vinni-Pajusti Rahvaraamatukogu</v>
      </c>
      <c r="D347" t="str">
        <f>Koond_kulud!D374</f>
        <v>Raamatukogud</v>
      </c>
      <c r="E347" t="str">
        <f>Koond_kulud!E374</f>
        <v>Vabaaeg, kultuur ja religioon</v>
      </c>
      <c r="F347" t="str">
        <f>Koond_kulud!F374</f>
        <v>Vinni-Pajusti raamatukogu</v>
      </c>
      <c r="G347" t="str">
        <f>Koond_kulud!G374</f>
        <v>Tulekahju signalisatsiooni hooldus</v>
      </c>
      <c r="H347">
        <f>Koond_kulud!H374</f>
        <v>450</v>
      </c>
      <c r="I347">
        <f>Koond_kulud!I374</f>
        <v>0</v>
      </c>
      <c r="J347">
        <f>Koond_kulud!J374</f>
        <v>5511</v>
      </c>
      <c r="K347" t="str">
        <f>Koond_kulud!K374</f>
        <v>Kinnistute, hoonete ja ruumide majandamiskulud</v>
      </c>
      <c r="L347">
        <f>Koond_kulud!L374</f>
        <v>55</v>
      </c>
      <c r="M347" t="str">
        <f>Koond_kulud!M374</f>
        <v>55</v>
      </c>
      <c r="N347" t="str">
        <f>Koond_kulud!N374</f>
        <v>Muud tegevuskulud</v>
      </c>
      <c r="O347" t="str">
        <f>Koond_kulud!O374</f>
        <v>Majandamiskulud</v>
      </c>
      <c r="P347" t="str">
        <f>Koond_kulud!P374</f>
        <v>Põhitegevuse kulu</v>
      </c>
      <c r="Q347">
        <f>Koond_kulud!Q374</f>
        <v>0</v>
      </c>
    </row>
    <row r="348" spans="1:17" hidden="1" x14ac:dyDescent="0.25">
      <c r="A348" t="str">
        <f>Koond_kulud!A375</f>
        <v>08</v>
      </c>
      <c r="B348" t="str">
        <f>Koond_kulud!B375</f>
        <v xml:space="preserve">0820101         </v>
      </c>
      <c r="C348" t="str">
        <f>Koond_kulud!C375</f>
        <v>Vinni-Pajusti Rahvaraamatukogu</v>
      </c>
      <c r="D348" t="str">
        <f>Koond_kulud!D375</f>
        <v>Raamatukogud</v>
      </c>
      <c r="E348" t="str">
        <f>Koond_kulud!E375</f>
        <v>Vabaaeg, kultuur ja religioon</v>
      </c>
      <c r="F348" t="str">
        <f>Koond_kulud!F375</f>
        <v>Vinni-Pajusti raamatukogu</v>
      </c>
      <c r="G348" t="str">
        <f>Koond_kulud!G375</f>
        <v>Kindlustus</v>
      </c>
      <c r="H348">
        <f>Koond_kulud!H375</f>
        <v>125</v>
      </c>
      <c r="I348">
        <f>Koond_kulud!I375</f>
        <v>0</v>
      </c>
      <c r="J348">
        <f>Koond_kulud!J375</f>
        <v>5511</v>
      </c>
      <c r="K348" t="str">
        <f>Koond_kulud!K375</f>
        <v>Kinnistute, hoonete ja ruumide majandamiskulud</v>
      </c>
      <c r="L348">
        <f>Koond_kulud!L375</f>
        <v>55</v>
      </c>
      <c r="M348" t="str">
        <f>Koond_kulud!M375</f>
        <v>55</v>
      </c>
      <c r="N348" t="str">
        <f>Koond_kulud!N375</f>
        <v>Muud tegevuskulud</v>
      </c>
      <c r="O348" t="str">
        <f>Koond_kulud!O375</f>
        <v>Majandamiskulud</v>
      </c>
      <c r="P348" t="str">
        <f>Koond_kulud!P375</f>
        <v>Põhitegevuse kulu</v>
      </c>
      <c r="Q348">
        <f>Koond_kulud!Q375</f>
        <v>0</v>
      </c>
    </row>
    <row r="349" spans="1:17" hidden="1" x14ac:dyDescent="0.25">
      <c r="A349" t="str">
        <f>Koond_kulud!A376</f>
        <v>08</v>
      </c>
      <c r="B349" t="str">
        <f>Koond_kulud!B376</f>
        <v xml:space="preserve">0820101         </v>
      </c>
      <c r="C349" t="str">
        <f>Koond_kulud!C376</f>
        <v>Vinni-Pajusti Rahvaraamatukogu</v>
      </c>
      <c r="D349" t="str">
        <f>Koond_kulud!D376</f>
        <v>Raamatukogud</v>
      </c>
      <c r="E349" t="str">
        <f>Koond_kulud!E376</f>
        <v>Vabaaeg, kultuur ja religioon</v>
      </c>
      <c r="F349" t="str">
        <f>Koond_kulud!F376</f>
        <v>Vinni-Pajusti raamatukogu</v>
      </c>
      <c r="G349" t="str">
        <f>Koond_kulud!G376</f>
        <v>Valgustus, lampide vahetus</v>
      </c>
      <c r="H349">
        <f>Koond_kulud!H376</f>
        <v>200</v>
      </c>
      <c r="I349">
        <f>Koond_kulud!I376</f>
        <v>0</v>
      </c>
      <c r="J349">
        <f>Koond_kulud!J376</f>
        <v>5511</v>
      </c>
      <c r="K349" t="str">
        <f>Koond_kulud!K376</f>
        <v>Kinnistute, hoonete ja ruumide majandamiskulud</v>
      </c>
      <c r="L349">
        <f>Koond_kulud!L376</f>
        <v>55</v>
      </c>
      <c r="M349" t="str">
        <f>Koond_kulud!M376</f>
        <v>55</v>
      </c>
      <c r="N349" t="str">
        <f>Koond_kulud!N376</f>
        <v>Muud tegevuskulud</v>
      </c>
      <c r="O349" t="str">
        <f>Koond_kulud!O376</f>
        <v>Majandamiskulud</v>
      </c>
      <c r="P349" t="str">
        <f>Koond_kulud!P376</f>
        <v>Põhitegevuse kulu</v>
      </c>
      <c r="Q349">
        <f>Koond_kulud!Q376</f>
        <v>0</v>
      </c>
    </row>
    <row r="350" spans="1:17" hidden="1" x14ac:dyDescent="0.25">
      <c r="A350" t="str">
        <f>Koond_kulud!A377</f>
        <v>08</v>
      </c>
      <c r="B350" t="str">
        <f>Koond_kulud!B377</f>
        <v xml:space="preserve">0820101         </v>
      </c>
      <c r="C350" t="str">
        <f>Koond_kulud!C377</f>
        <v>Vinni-Pajusti Rahvaraamatukogu</v>
      </c>
      <c r="D350" t="str">
        <f>Koond_kulud!D377</f>
        <v>Raamatukogud</v>
      </c>
      <c r="E350" t="str">
        <f>Koond_kulud!E377</f>
        <v>Vabaaeg, kultuur ja religioon</v>
      </c>
      <c r="F350" t="str">
        <f>Koond_kulud!F377</f>
        <v>Vinni-Pajusti raamatukogu</v>
      </c>
      <c r="G350" t="str">
        <f>Koond_kulud!G377</f>
        <v xml:space="preserve">Autohüvitis </v>
      </c>
      <c r="H350">
        <f>Koond_kulud!H377</f>
        <v>400</v>
      </c>
      <c r="I350" t="str">
        <f>Koond_kulud!I377</f>
        <v>Kadilas laenutamine iga nädal 1x + linnast raamatute toomine, majandustarvikute toomine</v>
      </c>
      <c r="J350">
        <f>Koond_kulud!J377</f>
        <v>5513</v>
      </c>
      <c r="K350" t="str">
        <f>Koond_kulud!K377</f>
        <v>Sõidukite ülalpidamise kulud</v>
      </c>
      <c r="L350">
        <f>Koond_kulud!L377</f>
        <v>55</v>
      </c>
      <c r="M350" t="str">
        <f>Koond_kulud!M377</f>
        <v>55</v>
      </c>
      <c r="N350" t="str">
        <f>Koond_kulud!N377</f>
        <v>Muud tegevuskulud</v>
      </c>
      <c r="O350" t="str">
        <f>Koond_kulud!O377</f>
        <v>Majandamiskulud</v>
      </c>
      <c r="P350" t="str">
        <f>Koond_kulud!P377</f>
        <v>Põhitegevuse kulu</v>
      </c>
      <c r="Q350">
        <f>Koond_kulud!Q377</f>
        <v>0</v>
      </c>
    </row>
    <row r="351" spans="1:17" hidden="1" x14ac:dyDescent="0.25">
      <c r="A351" t="str">
        <f>Koond_kulud!A378</f>
        <v>08</v>
      </c>
      <c r="B351" t="str">
        <f>Koond_kulud!B378</f>
        <v xml:space="preserve">0820101         </v>
      </c>
      <c r="C351" t="str">
        <f>Koond_kulud!C378</f>
        <v>Vinni-Pajusti Rahvaraamatukogu</v>
      </c>
      <c r="D351" t="str">
        <f>Koond_kulud!D378</f>
        <v>Raamatukogud</v>
      </c>
      <c r="E351" t="str">
        <f>Koond_kulud!E378</f>
        <v>Vabaaeg, kultuur ja religioon</v>
      </c>
      <c r="F351" t="str">
        <f>Koond_kulud!F378</f>
        <v>Vinni-Pajusti raamatukogu</v>
      </c>
      <c r="G351" t="str">
        <f>Koond_kulud!G378</f>
        <v>Töötervishoid</v>
      </c>
      <c r="H351">
        <f>Koond_kulud!H378</f>
        <v>200</v>
      </c>
      <c r="I351">
        <f>Koond_kulud!I378</f>
        <v>0</v>
      </c>
      <c r="J351">
        <f>Koond_kulud!J378</f>
        <v>5522</v>
      </c>
      <c r="K351" t="str">
        <f>Koond_kulud!K378</f>
        <v>Meditsiinikulud ja hügieenitarbed</v>
      </c>
      <c r="L351">
        <f>Koond_kulud!L378</f>
        <v>55</v>
      </c>
      <c r="M351" t="str">
        <f>Koond_kulud!M378</f>
        <v>55</v>
      </c>
      <c r="N351" t="str">
        <f>Koond_kulud!N378</f>
        <v>Muud tegevuskulud</v>
      </c>
      <c r="O351" t="str">
        <f>Koond_kulud!O378</f>
        <v>Majandamiskulud</v>
      </c>
      <c r="P351" t="str">
        <f>Koond_kulud!P378</f>
        <v>Põhitegevuse kulu</v>
      </c>
      <c r="Q351">
        <f>Koond_kulud!Q378</f>
        <v>0</v>
      </c>
    </row>
    <row r="352" spans="1:17" hidden="1" x14ac:dyDescent="0.25">
      <c r="A352" t="str">
        <f>Koond_kulud!A379</f>
        <v>08</v>
      </c>
      <c r="B352" t="str">
        <f>Koond_kulud!B379</f>
        <v xml:space="preserve">0820101         </v>
      </c>
      <c r="C352" t="str">
        <f>Koond_kulud!C379</f>
        <v>Vinni-Pajusti Rahvaraamatukogu</v>
      </c>
      <c r="D352" t="str">
        <f>Koond_kulud!D379</f>
        <v>Raamatukogud</v>
      </c>
      <c r="E352" t="str">
        <f>Koond_kulud!E379</f>
        <v>Vabaaeg, kultuur ja religioon</v>
      </c>
      <c r="F352" t="str">
        <f>Koond_kulud!F379</f>
        <v>Vinni-Pajusti raamatukogu</v>
      </c>
      <c r="G352" t="str">
        <f>Koond_kulud!G379</f>
        <v>Raamatud</v>
      </c>
      <c r="H352">
        <f>Koond_kulud!H379</f>
        <v>7200</v>
      </c>
      <c r="I352">
        <f>Koond_kulud!I379</f>
        <v>0</v>
      </c>
      <c r="J352">
        <f>Koond_kulud!J379</f>
        <v>5523</v>
      </c>
      <c r="K352" t="str">
        <f>Koond_kulud!K379</f>
        <v>Teavikud ja kunstiesemed</v>
      </c>
      <c r="L352">
        <f>Koond_kulud!L379</f>
        <v>55</v>
      </c>
      <c r="M352" t="str">
        <f>Koond_kulud!M379</f>
        <v>55</v>
      </c>
      <c r="N352" t="str">
        <f>Koond_kulud!N379</f>
        <v>Muud tegevuskulud</v>
      </c>
      <c r="O352" t="str">
        <f>Koond_kulud!O379</f>
        <v>Majandamiskulud</v>
      </c>
      <c r="P352" t="str">
        <f>Koond_kulud!P379</f>
        <v>Põhitegevuse kulu</v>
      </c>
      <c r="Q352">
        <f>Koond_kulud!Q379</f>
        <v>0</v>
      </c>
    </row>
    <row r="353" spans="1:17" hidden="1" x14ac:dyDescent="0.25">
      <c r="A353" t="str">
        <f>Koond_kulud!A380</f>
        <v>08</v>
      </c>
      <c r="B353" t="str">
        <f>Koond_kulud!B380</f>
        <v xml:space="preserve">0820101         </v>
      </c>
      <c r="C353" t="str">
        <f>Koond_kulud!C380</f>
        <v>Vinni-Pajusti Rahvaraamatukogu</v>
      </c>
      <c r="D353" t="str">
        <f>Koond_kulud!D380</f>
        <v>Raamatukogud</v>
      </c>
      <c r="E353" t="str">
        <f>Koond_kulud!E380</f>
        <v>Vabaaeg, kultuur ja religioon</v>
      </c>
      <c r="F353" t="str">
        <f>Koond_kulud!F380</f>
        <v>Vinni-Pajusti raamatukogu</v>
      </c>
      <c r="G353" t="str">
        <f>Koond_kulud!G380</f>
        <v>Auhinnad raamatutundides, suvises lugemisprogrammis</v>
      </c>
      <c r="H353">
        <f>Koond_kulud!H380</f>
        <v>600</v>
      </c>
      <c r="I353">
        <f>Koond_kulud!I380</f>
        <v>0</v>
      </c>
      <c r="J353">
        <f>Koond_kulud!J380</f>
        <v>5525</v>
      </c>
      <c r="K353" t="str">
        <f>Koond_kulud!K380</f>
        <v>Kommunikatsiooni-, kultuuri- ja vaba aja sisustamise kulud</v>
      </c>
      <c r="L353">
        <f>Koond_kulud!L380</f>
        <v>55</v>
      </c>
      <c r="M353" t="str">
        <f>Koond_kulud!M380</f>
        <v>55</v>
      </c>
      <c r="N353" t="str">
        <f>Koond_kulud!N380</f>
        <v>Muud tegevuskulud</v>
      </c>
      <c r="O353" t="str">
        <f>Koond_kulud!O380</f>
        <v>Majandamiskulud</v>
      </c>
      <c r="P353" t="str">
        <f>Koond_kulud!P380</f>
        <v>Põhitegevuse kulu</v>
      </c>
      <c r="Q353">
        <f>Koond_kulud!Q380</f>
        <v>0</v>
      </c>
    </row>
    <row r="354" spans="1:17" hidden="1" x14ac:dyDescent="0.25">
      <c r="A354" t="str">
        <f>Koond_kulud!A381</f>
        <v>08</v>
      </c>
      <c r="B354" t="str">
        <f>Koond_kulud!B381</f>
        <v xml:space="preserve">0820101         </v>
      </c>
      <c r="C354" t="str">
        <f>Koond_kulud!C381</f>
        <v>Vinni-Pajusti Rahvaraamatukogu</v>
      </c>
      <c r="D354" t="str">
        <f>Koond_kulud!D381</f>
        <v>Raamatukogud</v>
      </c>
      <c r="E354" t="str">
        <f>Koond_kulud!E381</f>
        <v>Vabaaeg, kultuur ja religioon</v>
      </c>
      <c r="F354" t="str">
        <f>Koond_kulud!F381</f>
        <v>Vinni-Pajusti raamatukogu</v>
      </c>
      <c r="G354" t="str">
        <f>Koond_kulud!G381</f>
        <v>Postkast Kadilasse</v>
      </c>
      <c r="H354">
        <f>Koond_kulud!H381</f>
        <v>50</v>
      </c>
      <c r="I354">
        <f>Koond_kulud!I381</f>
        <v>0</v>
      </c>
      <c r="J354">
        <f>Koond_kulud!J381</f>
        <v>5515</v>
      </c>
      <c r="K354" t="str">
        <f>Koond_kulud!K381</f>
        <v>Inventari kulud, v.a infotehnoloogia ja kaitseotstarbelised kulud</v>
      </c>
      <c r="L354">
        <f>Koond_kulud!L381</f>
        <v>55</v>
      </c>
      <c r="M354" t="str">
        <f>Koond_kulud!M381</f>
        <v>55</v>
      </c>
      <c r="N354" t="str">
        <f>Koond_kulud!N381</f>
        <v>Muud tegevuskulud</v>
      </c>
      <c r="O354" t="str">
        <f>Koond_kulud!O381</f>
        <v>Majandamiskulud</v>
      </c>
      <c r="P354" t="str">
        <f>Koond_kulud!P381</f>
        <v>Põhitegevuse kulu</v>
      </c>
      <c r="Q354">
        <f>Koond_kulud!Q381</f>
        <v>0</v>
      </c>
    </row>
    <row r="355" spans="1:17" hidden="1" x14ac:dyDescent="0.25">
      <c r="A355" t="str">
        <f>Koond_kulud!A382</f>
        <v>08</v>
      </c>
      <c r="B355" t="str">
        <f>Koond_kulud!B382</f>
        <v xml:space="preserve">0820101         </v>
      </c>
      <c r="C355" t="str">
        <f>Koond_kulud!C382</f>
        <v>Vinni-Pajusti Rahvaraamatukogu</v>
      </c>
      <c r="D355" t="str">
        <f>Koond_kulud!D382</f>
        <v>Raamatukogud</v>
      </c>
      <c r="E355" t="str">
        <f>Koond_kulud!E382</f>
        <v>Vabaaeg, kultuur ja religioon</v>
      </c>
      <c r="F355" t="str">
        <f>Koond_kulud!F382</f>
        <v>Vinni-Pajusti raamatukogu</v>
      </c>
      <c r="G355" t="str">
        <f>Koond_kulud!G382</f>
        <v>Ettenägematud kulud</v>
      </c>
      <c r="H355">
        <f>Koond_kulud!H382</f>
        <v>89.91</v>
      </c>
      <c r="I355">
        <f>Koond_kulud!I382</f>
        <v>0</v>
      </c>
      <c r="J355">
        <f>Koond_kulud!J382</f>
        <v>5540</v>
      </c>
      <c r="K355" t="str">
        <f>Koond_kulud!K382</f>
        <v>Mitmesugused majanduskulud</v>
      </c>
      <c r="L355">
        <f>Koond_kulud!L382</f>
        <v>55</v>
      </c>
      <c r="M355" t="str">
        <f>Koond_kulud!M382</f>
        <v>55</v>
      </c>
      <c r="N355" t="str">
        <f>Koond_kulud!N382</f>
        <v>Muud tegevuskulud</v>
      </c>
      <c r="O355" t="str">
        <f>Koond_kulud!O382</f>
        <v>Majandamiskulud</v>
      </c>
      <c r="P355" t="str">
        <f>Koond_kulud!P382</f>
        <v>Põhitegevuse kulu</v>
      </c>
      <c r="Q355">
        <f>Koond_kulud!Q382</f>
        <v>0</v>
      </c>
    </row>
    <row r="356" spans="1:17" hidden="1" x14ac:dyDescent="0.25">
      <c r="A356" t="str">
        <f>Koond_kulud!A383</f>
        <v>08</v>
      </c>
      <c r="B356" t="str">
        <f>Koond_kulud!B383</f>
        <v xml:space="preserve">0820101         </v>
      </c>
      <c r="C356" t="str">
        <f>Koond_kulud!C383</f>
        <v>Vinni-Pajusti Rahvaraamatukogu</v>
      </c>
      <c r="D356" t="str">
        <f>Koond_kulud!D383</f>
        <v>Raamatukogud</v>
      </c>
      <c r="E356" t="str">
        <f>Koond_kulud!E383</f>
        <v>Vabaaeg, kultuur ja religioon</v>
      </c>
      <c r="F356" t="str">
        <f>Koond_kulud!F383</f>
        <v>Vinni-Pajusti raamatukogu</v>
      </c>
      <c r="G356" t="str">
        <f>Koond_kulud!G383</f>
        <v>Tarkvara hooldusleping</v>
      </c>
      <c r="H356">
        <f>Koond_kulud!H383</f>
        <v>480</v>
      </c>
      <c r="I356" t="str">
        <f>Koond_kulud!I383</f>
        <v>Kadila + Vinni, programm Urram</v>
      </c>
      <c r="J356">
        <f>Koond_kulud!J383</f>
        <v>5514</v>
      </c>
      <c r="K356" t="str">
        <f>Koond_kulud!K383</f>
        <v>Info- ja kommunikatsioonitehnoliigised kulud</v>
      </c>
      <c r="L356">
        <f>Koond_kulud!L383</f>
        <v>55</v>
      </c>
      <c r="M356" t="str">
        <f>Koond_kulud!M383</f>
        <v>55</v>
      </c>
      <c r="N356" t="str">
        <f>Koond_kulud!N383</f>
        <v>Muud tegevuskulud</v>
      </c>
      <c r="O356" t="str">
        <f>Koond_kulud!O383</f>
        <v>Majandamiskulud</v>
      </c>
      <c r="P356" t="str">
        <f>Koond_kulud!P383</f>
        <v>Põhitegevuse kulu</v>
      </c>
      <c r="Q356">
        <f>Koond_kulud!Q383</f>
        <v>0</v>
      </c>
    </row>
    <row r="357" spans="1:17" hidden="1" x14ac:dyDescent="0.25">
      <c r="A357" t="str">
        <f>Koond_kulud!A384</f>
        <v>08</v>
      </c>
      <c r="B357" t="str">
        <f>Koond_kulud!B384</f>
        <v xml:space="preserve">0820101         </v>
      </c>
      <c r="C357" t="str">
        <f>Koond_kulud!C384</f>
        <v>Vinni-Pajusti Rahvaraamatukogu</v>
      </c>
      <c r="D357" t="str">
        <f>Koond_kulud!D384</f>
        <v>Raamatukogud</v>
      </c>
      <c r="E357" t="str">
        <f>Koond_kulud!E384</f>
        <v>Vabaaeg, kultuur ja religioon</v>
      </c>
      <c r="F357" t="str">
        <f>Koond_kulud!F384</f>
        <v>Vinni-Pajusti raamatukogu</v>
      </c>
      <c r="G357" t="str">
        <f>Koond_kulud!G384</f>
        <v>Värviprinter</v>
      </c>
      <c r="H357">
        <f>Koond_kulud!H384</f>
        <v>500</v>
      </c>
      <c r="I357">
        <f>Koond_kulud!I384</f>
        <v>0</v>
      </c>
      <c r="J357">
        <f>Koond_kulud!J384</f>
        <v>5514</v>
      </c>
      <c r="K357" t="str">
        <f>Koond_kulud!K384</f>
        <v>Info- ja kommunikatsioonitehnoliigised kulud</v>
      </c>
      <c r="L357">
        <f>Koond_kulud!L384</f>
        <v>55</v>
      </c>
      <c r="M357" t="str">
        <f>Koond_kulud!M384</f>
        <v>55</v>
      </c>
      <c r="N357" t="str">
        <f>Koond_kulud!N384</f>
        <v>Muud tegevuskulud</v>
      </c>
      <c r="O357" t="str">
        <f>Koond_kulud!O384</f>
        <v>Majandamiskulud</v>
      </c>
      <c r="P357" t="str">
        <f>Koond_kulud!P384</f>
        <v>Põhitegevuse kulu</v>
      </c>
      <c r="Q357">
        <f>Koond_kulud!Q384</f>
        <v>0</v>
      </c>
    </row>
    <row r="358" spans="1:17" hidden="1" x14ac:dyDescent="0.25">
      <c r="A358" t="str">
        <f>Koond_kulud!A385</f>
        <v>08</v>
      </c>
      <c r="B358" t="str">
        <f>Koond_kulud!B385</f>
        <v xml:space="preserve">0820101         </v>
      </c>
      <c r="C358" t="str">
        <f>Koond_kulud!C385</f>
        <v>Vinni-Pajusti Rahvaraamatukogu</v>
      </c>
      <c r="D358" t="str">
        <f>Koond_kulud!D385</f>
        <v>Raamatukogud</v>
      </c>
      <c r="E358" t="str">
        <f>Koond_kulud!E385</f>
        <v>Vabaaeg, kultuur ja religioon</v>
      </c>
      <c r="F358" t="str">
        <f>Koond_kulud!F385</f>
        <v>Vinni-Pajusti raamatukogu</v>
      </c>
      <c r="G358" t="str">
        <f>Koond_kulud!G385</f>
        <v>Lisaruumide san.remont vms renoveerimine</v>
      </c>
      <c r="H358">
        <f>Koond_kulud!H385</f>
        <v>5000</v>
      </c>
      <c r="I358" t="str">
        <f>Koond_kulud!I385</f>
        <v>Rauno</v>
      </c>
      <c r="J358">
        <f>Koond_kulud!J385</f>
        <v>5511</v>
      </c>
      <c r="K358" t="str">
        <f>Koond_kulud!K385</f>
        <v>Kinnistute, hoonete ja ruumide majandamiskulud</v>
      </c>
      <c r="L358">
        <f>Koond_kulud!L385</f>
        <v>55</v>
      </c>
      <c r="M358" t="str">
        <f>Koond_kulud!M385</f>
        <v>55</v>
      </c>
      <c r="N358" t="str">
        <f>Koond_kulud!N385</f>
        <v>Muud tegevuskulud</v>
      </c>
      <c r="O358" t="str">
        <f>Koond_kulud!O385</f>
        <v>Majandamiskulud</v>
      </c>
      <c r="P358" t="str">
        <f>Koond_kulud!P385</f>
        <v>Põhitegevuse kulu</v>
      </c>
      <c r="Q358">
        <f>Koond_kulud!Q385</f>
        <v>0</v>
      </c>
    </row>
    <row r="359" spans="1:17" hidden="1" x14ac:dyDescent="0.25">
      <c r="A359" t="str">
        <f>Koond_kulud!A386</f>
        <v>08</v>
      </c>
      <c r="B359" t="str">
        <f>Koond_kulud!B386</f>
        <v xml:space="preserve">0820101         </v>
      </c>
      <c r="C359" t="str">
        <f>Koond_kulud!C386</f>
        <v>Vinni-Pajusti Rahvaraamatukogu</v>
      </c>
      <c r="D359" t="str">
        <f>Koond_kulud!D386</f>
        <v>Raamatukogud</v>
      </c>
      <c r="E359" t="str">
        <f>Koond_kulud!E386</f>
        <v>Vabaaeg, kultuur ja religioon</v>
      </c>
      <c r="F359" t="str">
        <f>Koond_kulud!F386</f>
        <v>Vinni-Pajusti raamatukogu</v>
      </c>
      <c r="G359" t="str">
        <f>Koond_kulud!G386</f>
        <v>Tagastuskast raamatukogu välisukse juurde.</v>
      </c>
      <c r="H359">
        <f>Koond_kulud!H386</f>
        <v>300</v>
      </c>
      <c r="I359">
        <f>Koond_kulud!I386</f>
        <v>0</v>
      </c>
      <c r="J359">
        <f>Koond_kulud!J386</f>
        <v>5515</v>
      </c>
      <c r="K359" t="str">
        <f>Koond_kulud!K386</f>
        <v>Inventari kulud, v.a infotehnoloogia ja kaitseotstarbelised kulud</v>
      </c>
      <c r="L359">
        <f>Koond_kulud!L386</f>
        <v>55</v>
      </c>
      <c r="M359" t="str">
        <f>Koond_kulud!M386</f>
        <v>55</v>
      </c>
      <c r="N359" t="str">
        <f>Koond_kulud!N386</f>
        <v>Muud tegevuskulud</v>
      </c>
      <c r="O359" t="str">
        <f>Koond_kulud!O386</f>
        <v>Majandamiskulud</v>
      </c>
      <c r="P359" t="str">
        <f>Koond_kulud!P386</f>
        <v>Põhitegevuse kulu</v>
      </c>
      <c r="Q359">
        <f>Koond_kulud!Q386</f>
        <v>0</v>
      </c>
    </row>
    <row r="360" spans="1:17" hidden="1" x14ac:dyDescent="0.25">
      <c r="A360" t="str">
        <f>Koond_kulud!A388</f>
        <v>08</v>
      </c>
      <c r="B360" t="str">
        <f>Koond_kulud!B388</f>
        <v xml:space="preserve">0820102         </v>
      </c>
      <c r="C360" t="str">
        <f>Koond_kulud!C388</f>
        <v>Viru-Jaagupi Rahvaraamatukogu</v>
      </c>
      <c r="D360" t="str">
        <f>Koond_kulud!D388</f>
        <v>Raamatukogud</v>
      </c>
      <c r="E360" t="str">
        <f>Koond_kulud!E388</f>
        <v>Vabaaeg, kultuur ja religioon</v>
      </c>
      <c r="F360" t="str">
        <f>Koond_kulud!F388</f>
        <v>Viru-Jaagupi raamatukogu</v>
      </c>
      <c r="G360" t="str">
        <f>Koond_kulud!G388</f>
        <v>korrashoiuvahendid(puh.vahendid,prügikotid jne), k.a.muuseumi jaoks</v>
      </c>
      <c r="H360">
        <f>Koond_kulud!H388</f>
        <v>80</v>
      </c>
      <c r="I360">
        <f>Koond_kulud!I388</f>
        <v>0</v>
      </c>
      <c r="J360">
        <f>Koond_kulud!J388</f>
        <v>5511</v>
      </c>
      <c r="K360" t="str">
        <f>Koond_kulud!K388</f>
        <v>Kinnistute, hoonete ja ruumide majandamiskulud</v>
      </c>
      <c r="L360">
        <f>Koond_kulud!L388</f>
        <v>55</v>
      </c>
      <c r="M360" t="str">
        <f>Koond_kulud!M388</f>
        <v>55</v>
      </c>
      <c r="N360" t="str">
        <f>Koond_kulud!N388</f>
        <v>Muud tegevuskulud</v>
      </c>
      <c r="O360" t="str">
        <f>Koond_kulud!O388</f>
        <v>Majandamiskulud</v>
      </c>
      <c r="P360" t="str">
        <f>Koond_kulud!P388</f>
        <v>Põhitegevuse kulu</v>
      </c>
      <c r="Q360">
        <f>Koond_kulud!Q388</f>
        <v>0</v>
      </c>
    </row>
    <row r="361" spans="1:17" hidden="1" x14ac:dyDescent="0.25">
      <c r="A361" t="str">
        <f>Koond_kulud!A389</f>
        <v>08</v>
      </c>
      <c r="B361" t="str">
        <f>Koond_kulud!B389</f>
        <v xml:space="preserve">0820102         </v>
      </c>
      <c r="C361" t="str">
        <f>Koond_kulud!C389</f>
        <v>Viru-Jaagupi Rahvaraamatukogu</v>
      </c>
      <c r="D361" t="str">
        <f>Koond_kulud!D389</f>
        <v>Raamatukogud</v>
      </c>
      <c r="E361" t="str">
        <f>Koond_kulud!E389</f>
        <v>Vabaaeg, kultuur ja religioon</v>
      </c>
      <c r="F361" t="str">
        <f>Koond_kulud!F389</f>
        <v>Viru-Jaagupi raamatukogu</v>
      </c>
      <c r="G361" t="str">
        <f>Koond_kulud!G389</f>
        <v>raamatukogu telefon, ajalehed,ajakirjad, print.tahm(ka kultuuriürituste kuulutused)</v>
      </c>
      <c r="H361">
        <f>Koond_kulud!H389</f>
        <v>1380</v>
      </c>
      <c r="I361">
        <f>Koond_kulud!I389</f>
        <v>0</v>
      </c>
      <c r="J361">
        <f>Koond_kulud!J389</f>
        <v>5500</v>
      </c>
      <c r="K361" t="str">
        <f>Koond_kulud!K389</f>
        <v>Administreerimiskulud</v>
      </c>
      <c r="L361">
        <f>Koond_kulud!L389</f>
        <v>55</v>
      </c>
      <c r="M361" t="str">
        <f>Koond_kulud!M389</f>
        <v>55</v>
      </c>
      <c r="N361" t="str">
        <f>Koond_kulud!N389</f>
        <v>Muud tegevuskulud</v>
      </c>
      <c r="O361" t="str">
        <f>Koond_kulud!O389</f>
        <v>Majandamiskulud</v>
      </c>
      <c r="P361" t="str">
        <f>Koond_kulud!P389</f>
        <v>Põhitegevuse kulu</v>
      </c>
      <c r="Q361">
        <f>Koond_kulud!Q389</f>
        <v>0</v>
      </c>
    </row>
    <row r="362" spans="1:17" hidden="1" x14ac:dyDescent="0.25">
      <c r="A362" t="str">
        <f>Koond_kulud!A390</f>
        <v>08</v>
      </c>
      <c r="B362" t="str">
        <f>Koond_kulud!B390</f>
        <v xml:space="preserve">0820102         </v>
      </c>
      <c r="C362" t="str">
        <f>Koond_kulud!C390</f>
        <v>Viru-Jaagupi Rahvaraamatukogu</v>
      </c>
      <c r="D362" t="str">
        <f>Koond_kulud!D390</f>
        <v>Raamatukogud</v>
      </c>
      <c r="E362" t="str">
        <f>Koond_kulud!E390</f>
        <v>Vabaaeg, kultuur ja religioon</v>
      </c>
      <c r="F362" t="str">
        <f>Koond_kulud!F390</f>
        <v>Viru-Jaagupi raamatukogu</v>
      </c>
      <c r="G362" t="str">
        <f>Koond_kulud!G390</f>
        <v>koolitused</v>
      </c>
      <c r="H362">
        <f>Koond_kulud!H390</f>
        <v>50</v>
      </c>
      <c r="I362">
        <f>Koond_kulud!I390</f>
        <v>0</v>
      </c>
      <c r="J362">
        <f>Koond_kulud!J390</f>
        <v>5504</v>
      </c>
      <c r="K362" t="str">
        <f>Koond_kulud!K390</f>
        <v>Koolituskulud</v>
      </c>
      <c r="L362">
        <f>Koond_kulud!L390</f>
        <v>55</v>
      </c>
      <c r="M362" t="str">
        <f>Koond_kulud!M390</f>
        <v>55</v>
      </c>
      <c r="N362" t="str">
        <f>Koond_kulud!N390</f>
        <v>Muud tegevuskulud</v>
      </c>
      <c r="O362" t="str">
        <f>Koond_kulud!O390</f>
        <v>Majandamiskulud</v>
      </c>
      <c r="P362" t="str">
        <f>Koond_kulud!P390</f>
        <v>Põhitegevuse kulu</v>
      </c>
      <c r="Q362">
        <f>Koond_kulud!Q390</f>
        <v>0</v>
      </c>
    </row>
    <row r="363" spans="1:17" hidden="1" x14ac:dyDescent="0.25">
      <c r="A363" t="str">
        <f>Koond_kulud!A391</f>
        <v>08</v>
      </c>
      <c r="B363" t="str">
        <f>Koond_kulud!B391</f>
        <v xml:space="preserve">0820102         </v>
      </c>
      <c r="C363" t="str">
        <f>Koond_kulud!C391</f>
        <v>Viru-Jaagupi Rahvaraamatukogu</v>
      </c>
      <c r="D363" t="str">
        <f>Koond_kulud!D391</f>
        <v>Raamatukogud</v>
      </c>
      <c r="E363" t="str">
        <f>Koond_kulud!E391</f>
        <v>Vabaaeg, kultuur ja religioon</v>
      </c>
      <c r="F363" t="str">
        <f>Koond_kulud!F391</f>
        <v>Viru-Jaagupi raamatukogu</v>
      </c>
      <c r="G363" t="str">
        <f>Koond_kulud!G391</f>
        <v>uued raamatud kogusse</v>
      </c>
      <c r="H363">
        <f>Koond_kulud!H391</f>
        <v>2000</v>
      </c>
      <c r="I363">
        <f>Koond_kulud!I391</f>
        <v>0</v>
      </c>
      <c r="J363">
        <f>Koond_kulud!J391</f>
        <v>5523</v>
      </c>
      <c r="K363" t="str">
        <f>Koond_kulud!K391</f>
        <v>Teavikud ja kunstiesemed</v>
      </c>
      <c r="L363">
        <f>Koond_kulud!L391</f>
        <v>55</v>
      </c>
      <c r="M363" t="str">
        <f>Koond_kulud!M391</f>
        <v>55</v>
      </c>
      <c r="N363" t="str">
        <f>Koond_kulud!N391</f>
        <v>Muud tegevuskulud</v>
      </c>
      <c r="O363" t="str">
        <f>Koond_kulud!O391</f>
        <v>Majandamiskulud</v>
      </c>
      <c r="P363" t="str">
        <f>Koond_kulud!P391</f>
        <v>Põhitegevuse kulu</v>
      </c>
      <c r="Q363">
        <f>Koond_kulud!Q391</f>
        <v>0</v>
      </c>
    </row>
    <row r="364" spans="1:17" hidden="1" x14ac:dyDescent="0.25">
      <c r="A364" t="str">
        <f>Koond_kulud!A392</f>
        <v>08</v>
      </c>
      <c r="B364" t="str">
        <f>Koond_kulud!B392</f>
        <v xml:space="preserve">0820102         </v>
      </c>
      <c r="C364" t="str">
        <f>Koond_kulud!C392</f>
        <v>Viru-Jaagupi Rahvaraamatukogu</v>
      </c>
      <c r="D364" t="str">
        <f>Koond_kulud!D392</f>
        <v>Raamatukogud</v>
      </c>
      <c r="E364" t="str">
        <f>Koond_kulud!E392</f>
        <v>Vabaaeg, kultuur ja religioon</v>
      </c>
      <c r="F364" t="str">
        <f>Koond_kulud!F392</f>
        <v>Viru-Jaagupi raamatukogu</v>
      </c>
      <c r="G364" t="str">
        <f>Koond_kulud!G392</f>
        <v>planeeritud kultuuriüritused,mida korraldab. raamatukogu koostöös muuseumiga</v>
      </c>
      <c r="H364">
        <f>Koond_kulud!H392</f>
        <v>300</v>
      </c>
      <c r="I364">
        <f>Koond_kulud!I392</f>
        <v>0</v>
      </c>
      <c r="J364">
        <f>Koond_kulud!J392</f>
        <v>5525</v>
      </c>
      <c r="K364" t="str">
        <f>Koond_kulud!K392</f>
        <v>Kommunikatsiooni-, kultuuri- ja vaba aja sisustamise kulud</v>
      </c>
      <c r="L364">
        <f>Koond_kulud!L392</f>
        <v>55</v>
      </c>
      <c r="M364" t="str">
        <f>Koond_kulud!M392</f>
        <v>55</v>
      </c>
      <c r="N364" t="str">
        <f>Koond_kulud!N392</f>
        <v>Muud tegevuskulud</v>
      </c>
      <c r="O364" t="str">
        <f>Koond_kulud!O392</f>
        <v>Majandamiskulud</v>
      </c>
      <c r="P364" t="str">
        <f>Koond_kulud!P392</f>
        <v>Põhitegevuse kulu</v>
      </c>
      <c r="Q364">
        <f>Koond_kulud!Q392</f>
        <v>0</v>
      </c>
    </row>
    <row r="365" spans="1:17" hidden="1" x14ac:dyDescent="0.25">
      <c r="A365" t="str">
        <f>Koond_kulud!A393</f>
        <v>08</v>
      </c>
      <c r="B365" t="str">
        <f>Koond_kulud!B393</f>
        <v xml:space="preserve">0820102         </v>
      </c>
      <c r="C365" t="str">
        <f>Koond_kulud!C393</f>
        <v>Viru-Jaagupi Rahvaraamatukogu</v>
      </c>
      <c r="D365" t="str">
        <f>Koond_kulud!D393</f>
        <v>Raamatukogud</v>
      </c>
      <c r="E365" t="str">
        <f>Koond_kulud!E393</f>
        <v>Vabaaeg, kultuur ja religioon</v>
      </c>
      <c r="F365" t="str">
        <f>Koond_kulud!F393</f>
        <v>Viru-Jaagupi raamatukogu</v>
      </c>
      <c r="G365" t="str">
        <f>Koond_kulud!G393</f>
        <v>riiulitele teavikute kohasildid</v>
      </c>
      <c r="H365">
        <f>Koond_kulud!H393</f>
        <v>100</v>
      </c>
      <c r="I365" t="str">
        <f>Koond_kulud!I393</f>
        <v>jäi osadele riiulitele 2019 puudu! s.h.lastefondile)</v>
      </c>
      <c r="J365">
        <f>Koond_kulud!J393</f>
        <v>5500</v>
      </c>
      <c r="K365" t="str">
        <f>Koond_kulud!K393</f>
        <v>Administreerimiskulud</v>
      </c>
      <c r="L365">
        <f>Koond_kulud!L393</f>
        <v>55</v>
      </c>
      <c r="M365" t="str">
        <f>Koond_kulud!M393</f>
        <v>55</v>
      </c>
      <c r="N365" t="str">
        <f>Koond_kulud!N393</f>
        <v>Muud tegevuskulud</v>
      </c>
      <c r="O365" t="str">
        <f>Koond_kulud!O393</f>
        <v>Majandamiskulud</v>
      </c>
      <c r="P365" t="str">
        <f>Koond_kulud!P393</f>
        <v>Põhitegevuse kulu</v>
      </c>
      <c r="Q365">
        <f>Koond_kulud!Q393</f>
        <v>0</v>
      </c>
    </row>
    <row r="366" spans="1:17" hidden="1" x14ac:dyDescent="0.25">
      <c r="A366" t="str">
        <f>Koond_kulud!A394</f>
        <v>08</v>
      </c>
      <c r="B366" t="str">
        <f>Koond_kulud!B394</f>
        <v xml:space="preserve">0820102         </v>
      </c>
      <c r="C366" t="str">
        <f>Koond_kulud!C394</f>
        <v>Viru-Jaagupi Rahvaraamatukogu</v>
      </c>
      <c r="D366" t="str">
        <f>Koond_kulud!D394</f>
        <v>Raamatukogud</v>
      </c>
      <c r="E366" t="str">
        <f>Koond_kulud!E394</f>
        <v>Vabaaeg, kultuur ja religioon</v>
      </c>
      <c r="F366" t="str">
        <f>Koond_kulud!F394</f>
        <v>Viru-Jaagupi raamatukogu</v>
      </c>
      <c r="G366" t="str">
        <f>Koond_kulud!G394</f>
        <v>Urrami programmi igakuine hooldustasu 20.-x 12 k</v>
      </c>
      <c r="H366">
        <f>Koond_kulud!H394</f>
        <v>240</v>
      </c>
      <c r="I366">
        <f>Koond_kulud!I394</f>
        <v>0</v>
      </c>
      <c r="J366">
        <f>Koond_kulud!J394</f>
        <v>5514</v>
      </c>
      <c r="K366" t="str">
        <f>Koond_kulud!K394</f>
        <v>Info- ja kommunikatsioonitehnoliigised kulud</v>
      </c>
      <c r="L366">
        <f>Koond_kulud!L394</f>
        <v>55</v>
      </c>
      <c r="M366" t="str">
        <f>Koond_kulud!M394</f>
        <v>55</v>
      </c>
      <c r="N366" t="str">
        <f>Koond_kulud!N394</f>
        <v>Muud tegevuskulud</v>
      </c>
      <c r="O366" t="str">
        <f>Koond_kulud!O394</f>
        <v>Majandamiskulud</v>
      </c>
      <c r="P366" t="str">
        <f>Koond_kulud!P394</f>
        <v>Põhitegevuse kulu</v>
      </c>
      <c r="Q366">
        <f>Koond_kulud!Q394</f>
        <v>0</v>
      </c>
    </row>
    <row r="367" spans="1:17" hidden="1" x14ac:dyDescent="0.25">
      <c r="A367" t="str">
        <f>Koond_kulud!A395</f>
        <v>08</v>
      </c>
      <c r="B367" t="str">
        <f>Koond_kulud!B395</f>
        <v xml:space="preserve">0820102         </v>
      </c>
      <c r="C367" t="str">
        <f>Koond_kulud!C395</f>
        <v>Viru-Jaagupi Rahvaraamatukogu</v>
      </c>
      <c r="D367" t="str">
        <f>Koond_kulud!D395</f>
        <v>Raamatukogud</v>
      </c>
      <c r="E367" t="str">
        <f>Koond_kulud!E395</f>
        <v>Vabaaeg, kultuur ja religioon</v>
      </c>
      <c r="F367" t="str">
        <f>Koond_kulud!F395</f>
        <v>Viru-Jaagupi raamatukogu</v>
      </c>
      <c r="G367" t="str">
        <f>Koond_kulud!G395</f>
        <v>Lugejaarvuti</v>
      </c>
      <c r="H367">
        <f>Koond_kulud!H395</f>
        <v>400</v>
      </c>
      <c r="I367" t="str">
        <f>Koond_kulud!I395</f>
        <v>raamatukogul ei ole ainsana valla raamatukogudest lugeja toimivat lugejaarvutit, ehkki igal aastal on vajadus eelarvesse märgitud lugeja kasutab vajadusel raamatukogutöötaja tööarvutit</v>
      </c>
      <c r="J367">
        <f>Koond_kulud!J395</f>
        <v>5514</v>
      </c>
      <c r="K367" t="str">
        <f>Koond_kulud!K395</f>
        <v>Info- ja kommunikatsioonitehnoliigised kulud</v>
      </c>
      <c r="L367">
        <f>Koond_kulud!L395</f>
        <v>55</v>
      </c>
      <c r="M367" t="str">
        <f>Koond_kulud!M395</f>
        <v>55</v>
      </c>
      <c r="N367" t="str">
        <f>Koond_kulud!N395</f>
        <v>Muud tegevuskulud</v>
      </c>
      <c r="O367" t="str">
        <f>Koond_kulud!O395</f>
        <v>Majandamiskulud</v>
      </c>
      <c r="P367" t="str">
        <f>Koond_kulud!P395</f>
        <v>Põhitegevuse kulu</v>
      </c>
      <c r="Q367">
        <f>Koond_kulud!Q395</f>
        <v>0</v>
      </c>
    </row>
    <row r="368" spans="1:17" hidden="1" x14ac:dyDescent="0.25">
      <c r="A368" t="str">
        <f>Koond_kulud!A396</f>
        <v>08</v>
      </c>
      <c r="B368" t="str">
        <f>Koond_kulud!B396</f>
        <v xml:space="preserve">0820103         </v>
      </c>
      <c r="C368" t="str">
        <f>Koond_kulud!C396</f>
        <v>Roela Rahvaraamatukogu</v>
      </c>
      <c r="D368" t="str">
        <f>Koond_kulud!D396</f>
        <v>Raamatukogud</v>
      </c>
      <c r="E368" t="str">
        <f>Koond_kulud!E396</f>
        <v>Vabaaeg, kultuur ja religioon</v>
      </c>
      <c r="F368" t="str">
        <f>Koond_kulud!F396</f>
        <v>Roela Raamatukogu</v>
      </c>
      <c r="G368" t="str">
        <f>Koond_kulud!G396</f>
        <v>paber,tahm</v>
      </c>
      <c r="H368">
        <f>Koond_kulud!H396</f>
        <v>120</v>
      </c>
      <c r="I368">
        <f>Koond_kulud!I396</f>
        <v>0</v>
      </c>
      <c r="J368">
        <f>Koond_kulud!J396</f>
        <v>5500</v>
      </c>
      <c r="K368" t="str">
        <f>Koond_kulud!K396</f>
        <v>Administreerimiskulud</v>
      </c>
      <c r="L368">
        <f>Koond_kulud!L396</f>
        <v>55</v>
      </c>
      <c r="M368" t="str">
        <f>Koond_kulud!M396</f>
        <v>55</v>
      </c>
      <c r="N368" t="str">
        <f>Koond_kulud!N396</f>
        <v>Muud tegevuskulud</v>
      </c>
      <c r="O368" t="str">
        <f>Koond_kulud!O396</f>
        <v>Majandamiskulud</v>
      </c>
      <c r="P368" t="str">
        <f>Koond_kulud!P396</f>
        <v>Põhitegevuse kulu</v>
      </c>
      <c r="Q368">
        <f>Koond_kulud!Q396</f>
        <v>0</v>
      </c>
    </row>
    <row r="369" spans="1:17" hidden="1" x14ac:dyDescent="0.25">
      <c r="A369" t="str">
        <f>Koond_kulud!A397</f>
        <v>08</v>
      </c>
      <c r="B369" t="str">
        <f>Koond_kulud!B397</f>
        <v xml:space="preserve">0820103         </v>
      </c>
      <c r="C369" t="str">
        <f>Koond_kulud!C397</f>
        <v>Roela Rahvaraamatukogu</v>
      </c>
      <c r="D369" t="str">
        <f>Koond_kulud!D397</f>
        <v>Raamatukogud</v>
      </c>
      <c r="E369" t="str">
        <f>Koond_kulud!E397</f>
        <v>Vabaaeg, kultuur ja religioon</v>
      </c>
      <c r="F369" t="str">
        <f>Koond_kulud!F397</f>
        <v>Roela Raamatukogu</v>
      </c>
      <c r="G369" t="str">
        <f>Koond_kulud!G397</f>
        <v>Koolituskulud</v>
      </c>
      <c r="H369">
        <f>Koond_kulud!H397</f>
        <v>350</v>
      </c>
      <c r="I369">
        <f>Koond_kulud!I397</f>
        <v>0</v>
      </c>
      <c r="J369">
        <f>Koond_kulud!J397</f>
        <v>5504</v>
      </c>
      <c r="K369" t="str">
        <f>Koond_kulud!K397</f>
        <v>Koolituskulud</v>
      </c>
      <c r="L369">
        <f>Koond_kulud!L397</f>
        <v>55</v>
      </c>
      <c r="M369" t="str">
        <f>Koond_kulud!M397</f>
        <v>55</v>
      </c>
      <c r="N369" t="str">
        <f>Koond_kulud!N397</f>
        <v>Muud tegevuskulud</v>
      </c>
      <c r="O369" t="str">
        <f>Koond_kulud!O397</f>
        <v>Majandamiskulud</v>
      </c>
      <c r="P369" t="str">
        <f>Koond_kulud!P397</f>
        <v>Põhitegevuse kulu</v>
      </c>
      <c r="Q369">
        <f>Koond_kulud!Q397</f>
        <v>0</v>
      </c>
    </row>
    <row r="370" spans="1:17" hidden="1" x14ac:dyDescent="0.25">
      <c r="A370" t="str">
        <f>Koond_kulud!A398</f>
        <v>08</v>
      </c>
      <c r="B370" t="str">
        <f>Koond_kulud!B398</f>
        <v xml:space="preserve">0820103         </v>
      </c>
      <c r="C370" t="str">
        <f>Koond_kulud!C398</f>
        <v>Roela Rahvaraamatukogu</v>
      </c>
      <c r="D370" t="str">
        <f>Koond_kulud!D398</f>
        <v>Raamatukogud</v>
      </c>
      <c r="E370" t="str">
        <f>Koond_kulud!E398</f>
        <v>Vabaaeg, kultuur ja religioon</v>
      </c>
      <c r="F370" t="str">
        <f>Koond_kulud!F398</f>
        <v>Roela Raamatukogu</v>
      </c>
      <c r="G370" t="str">
        <f>Koond_kulud!G398</f>
        <v>diivan</v>
      </c>
      <c r="H370">
        <f>Koond_kulud!H398</f>
        <v>150</v>
      </c>
      <c r="I370" t="str">
        <f>Koond_kulud!I398</f>
        <v>täiendav vajadus</v>
      </c>
      <c r="J370">
        <f>Koond_kulud!J398</f>
        <v>5515</v>
      </c>
      <c r="K370" t="str">
        <f>Koond_kulud!K398</f>
        <v>Inventari kulud, v.a infotehnoloogia ja kaitseotstarbelised kulud</v>
      </c>
      <c r="L370">
        <f>Koond_kulud!L398</f>
        <v>55</v>
      </c>
      <c r="M370" t="str">
        <f>Koond_kulud!M398</f>
        <v>55</v>
      </c>
      <c r="N370" t="str">
        <f>Koond_kulud!N398</f>
        <v>Muud tegevuskulud</v>
      </c>
      <c r="O370" t="str">
        <f>Koond_kulud!O398</f>
        <v>Majandamiskulud</v>
      </c>
      <c r="P370" t="str">
        <f>Koond_kulud!P398</f>
        <v>Põhitegevuse kulu</v>
      </c>
      <c r="Q370">
        <f>Koond_kulud!Q398</f>
        <v>0</v>
      </c>
    </row>
    <row r="371" spans="1:17" hidden="1" x14ac:dyDescent="0.25">
      <c r="A371" t="str">
        <f>Koond_kulud!A399</f>
        <v>08</v>
      </c>
      <c r="B371" t="str">
        <f>Koond_kulud!B399</f>
        <v xml:space="preserve">0820103         </v>
      </c>
      <c r="C371" t="str">
        <f>Koond_kulud!C399</f>
        <v>Roela Rahvaraamatukogu</v>
      </c>
      <c r="D371" t="str">
        <f>Koond_kulud!D399</f>
        <v>Raamatukogud</v>
      </c>
      <c r="E371" t="str">
        <f>Koond_kulud!E399</f>
        <v>Vabaaeg, kultuur ja religioon</v>
      </c>
      <c r="F371" t="str">
        <f>Koond_kulud!F399</f>
        <v>Roela Raamatukogu</v>
      </c>
      <c r="G371" t="str">
        <f>Koond_kulud!G399</f>
        <v>liigieraldajad</v>
      </c>
      <c r="H371">
        <f>Koond_kulud!H399</f>
        <v>200</v>
      </c>
      <c r="I371" t="str">
        <f>Koond_kulud!I399</f>
        <v>täiendav vajadus</v>
      </c>
      <c r="J371">
        <f>Koond_kulud!J399</f>
        <v>5515</v>
      </c>
      <c r="K371" t="str">
        <f>Koond_kulud!K399</f>
        <v>Inventari kulud, v.a infotehnoloogia ja kaitseotstarbelised kulud</v>
      </c>
      <c r="L371">
        <f>Koond_kulud!L399</f>
        <v>55</v>
      </c>
      <c r="M371" t="str">
        <f>Koond_kulud!M399</f>
        <v>55</v>
      </c>
      <c r="N371" t="str">
        <f>Koond_kulud!N399</f>
        <v>Muud tegevuskulud</v>
      </c>
      <c r="O371" t="str">
        <f>Koond_kulud!O399</f>
        <v>Majandamiskulud</v>
      </c>
      <c r="P371" t="str">
        <f>Koond_kulud!P399</f>
        <v>Põhitegevuse kulu</v>
      </c>
      <c r="Q371">
        <f>Koond_kulud!Q399</f>
        <v>0</v>
      </c>
    </row>
    <row r="372" spans="1:17" hidden="1" x14ac:dyDescent="0.25">
      <c r="A372" t="str">
        <f>Koond_kulud!A400</f>
        <v>08</v>
      </c>
      <c r="B372" t="str">
        <f>Koond_kulud!B400</f>
        <v xml:space="preserve">0820103         </v>
      </c>
      <c r="C372" t="str">
        <f>Koond_kulud!C400</f>
        <v>Roela Rahvaraamatukogu</v>
      </c>
      <c r="D372" t="str">
        <f>Koond_kulud!D400</f>
        <v>Raamatukogud</v>
      </c>
      <c r="E372" t="str">
        <f>Koond_kulud!E400</f>
        <v>Vabaaeg, kultuur ja religioon</v>
      </c>
      <c r="F372" t="str">
        <f>Koond_kulud!F400</f>
        <v>Roela Raamatukogu</v>
      </c>
      <c r="G372" t="str">
        <f>Koond_kulud!G400</f>
        <v>raamatud</v>
      </c>
      <c r="H372">
        <f>Koond_kulud!H400</f>
        <v>4000</v>
      </c>
      <c r="I372">
        <f>Koond_kulud!I400</f>
        <v>0</v>
      </c>
      <c r="J372">
        <f>Koond_kulud!J400</f>
        <v>5523</v>
      </c>
      <c r="K372" t="str">
        <f>Koond_kulud!K400</f>
        <v>Teavikud ja kunstiesemed</v>
      </c>
      <c r="L372">
        <f>Koond_kulud!L400</f>
        <v>55</v>
      </c>
      <c r="M372" t="str">
        <f>Koond_kulud!M400</f>
        <v>55</v>
      </c>
      <c r="N372" t="str">
        <f>Koond_kulud!N400</f>
        <v>Muud tegevuskulud</v>
      </c>
      <c r="O372" t="str">
        <f>Koond_kulud!O400</f>
        <v>Majandamiskulud</v>
      </c>
      <c r="P372" t="str">
        <f>Koond_kulud!P400</f>
        <v>Põhitegevuse kulu</v>
      </c>
      <c r="Q372">
        <f>Koond_kulud!Q400</f>
        <v>0</v>
      </c>
    </row>
    <row r="373" spans="1:17" hidden="1" x14ac:dyDescent="0.25">
      <c r="A373" t="str">
        <f>Koond_kulud!A401</f>
        <v>08</v>
      </c>
      <c r="B373" t="str">
        <f>Koond_kulud!B401</f>
        <v xml:space="preserve">0820103         </v>
      </c>
      <c r="C373" t="str">
        <f>Koond_kulud!C401</f>
        <v>Roela Rahvaraamatukogu</v>
      </c>
      <c r="D373" t="str">
        <f>Koond_kulud!D401</f>
        <v>Raamatukogud</v>
      </c>
      <c r="E373" t="str">
        <f>Koond_kulud!E401</f>
        <v>Vabaaeg, kultuur ja religioon</v>
      </c>
      <c r="F373" t="str">
        <f>Koond_kulud!F401</f>
        <v>Roela Raamatukogu</v>
      </c>
      <c r="G373" t="str">
        <f>Koond_kulud!G401</f>
        <v>perioodika</v>
      </c>
      <c r="H373">
        <f>Koond_kulud!H401</f>
        <v>1000</v>
      </c>
      <c r="I373">
        <f>Koond_kulud!I401</f>
        <v>0</v>
      </c>
      <c r="J373">
        <f>Koond_kulud!J401</f>
        <v>5500</v>
      </c>
      <c r="K373" t="str">
        <f>Koond_kulud!K401</f>
        <v>Administreerimiskulud</v>
      </c>
      <c r="L373">
        <f>Koond_kulud!L401</f>
        <v>55</v>
      </c>
      <c r="M373" t="str">
        <f>Koond_kulud!M401</f>
        <v>55</v>
      </c>
      <c r="N373" t="str">
        <f>Koond_kulud!N401</f>
        <v>Muud tegevuskulud</v>
      </c>
      <c r="O373" t="str">
        <f>Koond_kulud!O401</f>
        <v>Majandamiskulud</v>
      </c>
      <c r="P373" t="str">
        <f>Koond_kulud!P401</f>
        <v>Põhitegevuse kulu</v>
      </c>
      <c r="Q373">
        <f>Koond_kulud!Q401</f>
        <v>0</v>
      </c>
    </row>
    <row r="374" spans="1:17" hidden="1" x14ac:dyDescent="0.25">
      <c r="A374" t="str">
        <f>Koond_kulud!A402</f>
        <v>08</v>
      </c>
      <c r="B374" t="str">
        <f>Koond_kulud!B402</f>
        <v xml:space="preserve">0820103         </v>
      </c>
      <c r="C374" t="str">
        <f>Koond_kulud!C402</f>
        <v>Roela Rahvaraamatukogu</v>
      </c>
      <c r="D374" t="str">
        <f>Koond_kulud!D402</f>
        <v>Raamatukogud</v>
      </c>
      <c r="E374" t="str">
        <f>Koond_kulud!E402</f>
        <v>Vabaaeg, kultuur ja religioon</v>
      </c>
      <c r="F374" t="str">
        <f>Koond_kulud!F402</f>
        <v>Roela Raamatukogu</v>
      </c>
      <c r="G374" t="str">
        <f>Koond_kulud!G402</f>
        <v>Üritused lastele</v>
      </c>
      <c r="H374">
        <f>Koond_kulud!H402</f>
        <v>170</v>
      </c>
      <c r="I374">
        <f>Koond_kulud!I402</f>
        <v>0</v>
      </c>
      <c r="J374">
        <f>Koond_kulud!J402</f>
        <v>5525</v>
      </c>
      <c r="K374" t="str">
        <f>Koond_kulud!K402</f>
        <v>Kommunikatsiooni-, kultuuri- ja vaba aja sisustamise kulud</v>
      </c>
      <c r="L374">
        <f>Koond_kulud!L402</f>
        <v>55</v>
      </c>
      <c r="M374" t="str">
        <f>Koond_kulud!M402</f>
        <v>55</v>
      </c>
      <c r="N374" t="str">
        <f>Koond_kulud!N402</f>
        <v>Muud tegevuskulud</v>
      </c>
      <c r="O374" t="str">
        <f>Koond_kulud!O402</f>
        <v>Majandamiskulud</v>
      </c>
      <c r="P374" t="str">
        <f>Koond_kulud!P402</f>
        <v>Põhitegevuse kulu</v>
      </c>
      <c r="Q374">
        <f>Koond_kulud!Q402</f>
        <v>0</v>
      </c>
    </row>
    <row r="375" spans="1:17" hidden="1" x14ac:dyDescent="0.25">
      <c r="A375" t="str">
        <f>Koond_kulud!A403</f>
        <v>08</v>
      </c>
      <c r="B375" t="str">
        <f>Koond_kulud!B403</f>
        <v xml:space="preserve">0820103         </v>
      </c>
      <c r="C375" t="str">
        <f>Koond_kulud!C403</f>
        <v>Roela Rahvaraamatukogu</v>
      </c>
      <c r="D375" t="str">
        <f>Koond_kulud!D403</f>
        <v>Raamatukogud</v>
      </c>
      <c r="E375" t="str">
        <f>Koond_kulud!E403</f>
        <v>Vabaaeg, kultuur ja religioon</v>
      </c>
      <c r="F375" t="str">
        <f>Koond_kulud!F403</f>
        <v>Roela Raamatukogu</v>
      </c>
      <c r="G375" t="str">
        <f>Koond_kulud!G403</f>
        <v>üritused täiskasvanutele</v>
      </c>
      <c r="H375">
        <f>Koond_kulud!H403</f>
        <v>170</v>
      </c>
      <c r="I375">
        <f>Koond_kulud!I403</f>
        <v>0</v>
      </c>
      <c r="J375">
        <f>Koond_kulud!J403</f>
        <v>5525</v>
      </c>
      <c r="K375" t="str">
        <f>Koond_kulud!K403</f>
        <v>Kommunikatsiooni-, kultuuri- ja vaba aja sisustamise kulud</v>
      </c>
      <c r="L375">
        <f>Koond_kulud!L403</f>
        <v>55</v>
      </c>
      <c r="M375" t="str">
        <f>Koond_kulud!M403</f>
        <v>55</v>
      </c>
      <c r="N375" t="str">
        <f>Koond_kulud!N403</f>
        <v>Muud tegevuskulud</v>
      </c>
      <c r="O375" t="str">
        <f>Koond_kulud!O403</f>
        <v>Majandamiskulud</v>
      </c>
      <c r="P375" t="str">
        <f>Koond_kulud!P403</f>
        <v>Põhitegevuse kulu</v>
      </c>
      <c r="Q375">
        <f>Koond_kulud!Q403</f>
        <v>0</v>
      </c>
    </row>
    <row r="376" spans="1:17" hidden="1" x14ac:dyDescent="0.25">
      <c r="A376" t="str">
        <f>Koond_kulud!A404</f>
        <v>08</v>
      </c>
      <c r="B376" t="str">
        <f>Koond_kulud!B404</f>
        <v xml:space="preserve">0820103         </v>
      </c>
      <c r="C376" t="str">
        <f>Koond_kulud!C404</f>
        <v>Roela Rahvaraamatukogu</v>
      </c>
      <c r="D376" t="str">
        <f>Koond_kulud!D404</f>
        <v>Raamatukogud</v>
      </c>
      <c r="E376" t="str">
        <f>Koond_kulud!E404</f>
        <v>Vabaaeg, kultuur ja religioon</v>
      </c>
      <c r="F376" t="str">
        <f>Koond_kulud!F404</f>
        <v>Roela Raamatukogu</v>
      </c>
      <c r="G376" t="str">
        <f>Koond_kulud!G404</f>
        <v>arvutiprogrammide hooldused</v>
      </c>
      <c r="H376">
        <f>Koond_kulud!H404</f>
        <v>240</v>
      </c>
      <c r="I376">
        <f>Koond_kulud!I404</f>
        <v>0</v>
      </c>
      <c r="J376">
        <f>Koond_kulud!J404</f>
        <v>5514</v>
      </c>
      <c r="K376" t="str">
        <f>Koond_kulud!K404</f>
        <v>Info- ja kommunikatsioonitehnoliigised kulud</v>
      </c>
      <c r="L376">
        <f>Koond_kulud!L404</f>
        <v>55</v>
      </c>
      <c r="M376" t="str">
        <f>Koond_kulud!M404</f>
        <v>55</v>
      </c>
      <c r="N376" t="str">
        <f>Koond_kulud!N404</f>
        <v>Muud tegevuskulud</v>
      </c>
      <c r="O376" t="str">
        <f>Koond_kulud!O404</f>
        <v>Majandamiskulud</v>
      </c>
      <c r="P376" t="str">
        <f>Koond_kulud!P404</f>
        <v>Põhitegevuse kulu</v>
      </c>
      <c r="Q376">
        <f>Koond_kulud!Q404</f>
        <v>0</v>
      </c>
    </row>
    <row r="377" spans="1:17" hidden="1" x14ac:dyDescent="0.25">
      <c r="A377" t="str">
        <f>Koond_kulud!A405</f>
        <v>08</v>
      </c>
      <c r="B377" t="str">
        <f>Koond_kulud!B405</f>
        <v xml:space="preserve">0820103         </v>
      </c>
      <c r="C377" t="str">
        <f>Koond_kulud!C405</f>
        <v>Roela Rahvaraamatukogu</v>
      </c>
      <c r="D377" t="str">
        <f>Koond_kulud!D405</f>
        <v>Raamatukogud</v>
      </c>
      <c r="E377" t="str">
        <f>Koond_kulud!E405</f>
        <v>Vabaaeg, kultuur ja religioon</v>
      </c>
      <c r="F377" t="str">
        <f>Koond_kulud!F405</f>
        <v>Roela Raamatukogu</v>
      </c>
      <c r="G377" t="str">
        <f>Koond_kulud!G405</f>
        <v>printer</v>
      </c>
      <c r="H377">
        <f>Koond_kulud!H405</f>
        <v>200</v>
      </c>
      <c r="I377" t="str">
        <f>Koond_kulud!I405</f>
        <v>täiendav vajadus</v>
      </c>
      <c r="J377">
        <f>Koond_kulud!J405</f>
        <v>5514</v>
      </c>
      <c r="K377" t="str">
        <f>Koond_kulud!K405</f>
        <v>Info- ja kommunikatsioonitehnoliigised kulud</v>
      </c>
      <c r="L377">
        <f>Koond_kulud!L405</f>
        <v>55</v>
      </c>
      <c r="M377" t="str">
        <f>Koond_kulud!M405</f>
        <v>55</v>
      </c>
      <c r="N377" t="str">
        <f>Koond_kulud!N405</f>
        <v>Muud tegevuskulud</v>
      </c>
      <c r="O377" t="str">
        <f>Koond_kulud!O405</f>
        <v>Majandamiskulud</v>
      </c>
      <c r="P377" t="str">
        <f>Koond_kulud!P405</f>
        <v>Põhitegevuse kulu</v>
      </c>
      <c r="Q377">
        <f>Koond_kulud!Q405</f>
        <v>0</v>
      </c>
    </row>
    <row r="378" spans="1:17" hidden="1" x14ac:dyDescent="0.25">
      <c r="A378" t="str">
        <f>Koond_kulud!A406</f>
        <v>08</v>
      </c>
      <c r="B378" t="str">
        <f>Koond_kulud!B406</f>
        <v xml:space="preserve">0820103         </v>
      </c>
      <c r="C378" t="str">
        <f>Koond_kulud!C406</f>
        <v>Roela Rahvaraamatukogu</v>
      </c>
      <c r="D378" t="str">
        <f>Koond_kulud!D406</f>
        <v>Raamatukogud</v>
      </c>
      <c r="E378" t="str">
        <f>Koond_kulud!E406</f>
        <v>Vabaaeg, kultuur ja religioon</v>
      </c>
      <c r="F378" t="str">
        <f>Koond_kulud!F406</f>
        <v>Roela Raamatukogu</v>
      </c>
      <c r="G378" t="str">
        <f>Koond_kulud!G406</f>
        <v>sanremondi materjalid(pahtel,värv)</v>
      </c>
      <c r="H378">
        <f>Koond_kulud!H406</f>
        <v>500</v>
      </c>
      <c r="I378">
        <f>Koond_kulud!I406</f>
        <v>0</v>
      </c>
      <c r="J378">
        <f>Koond_kulud!J406</f>
        <v>5511</v>
      </c>
      <c r="K378" t="str">
        <f>Koond_kulud!K406</f>
        <v>Kinnistute, hoonete ja ruumide majandamiskulud</v>
      </c>
      <c r="L378">
        <f>Koond_kulud!L406</f>
        <v>55</v>
      </c>
      <c r="M378" t="str">
        <f>Koond_kulud!M406</f>
        <v>55</v>
      </c>
      <c r="N378" t="str">
        <f>Koond_kulud!N406</f>
        <v>Muud tegevuskulud</v>
      </c>
      <c r="O378" t="str">
        <f>Koond_kulud!O406</f>
        <v>Majandamiskulud</v>
      </c>
      <c r="P378" t="str">
        <f>Koond_kulud!P406</f>
        <v>Põhitegevuse kulu</v>
      </c>
      <c r="Q378">
        <f>Koond_kulud!Q406</f>
        <v>0</v>
      </c>
    </row>
    <row r="379" spans="1:17" hidden="1" x14ac:dyDescent="0.25">
      <c r="A379" t="str">
        <f>Koond_kulud!A407</f>
        <v>08</v>
      </c>
      <c r="B379" t="str">
        <f>Koond_kulud!B407</f>
        <v xml:space="preserve">0820103         </v>
      </c>
      <c r="C379" t="str">
        <f>Koond_kulud!C407</f>
        <v>Roela Rahvaraamatukogu</v>
      </c>
      <c r="D379" t="str">
        <f>Koond_kulud!D407</f>
        <v>Raamatukogud</v>
      </c>
      <c r="E379" t="str">
        <f>Koond_kulud!E407</f>
        <v>Vabaaeg, kultuur ja religioon</v>
      </c>
      <c r="F379" t="str">
        <f>Koond_kulud!F407</f>
        <v>Roela Raamatukogu</v>
      </c>
      <c r="G379" t="str">
        <f>Koond_kulud!G407</f>
        <v>korrashoiuvahendid</v>
      </c>
      <c r="H379">
        <f>Koond_kulud!H407</f>
        <v>100</v>
      </c>
      <c r="I379" t="str">
        <f>Koond_kulud!I407</f>
        <v>wc paber,kätekuivatuspaber</v>
      </c>
      <c r="J379">
        <f>Koond_kulud!J407</f>
        <v>5511</v>
      </c>
      <c r="K379" t="str">
        <f>Koond_kulud!K407</f>
        <v>Kinnistute, hoonete ja ruumide majandamiskulud</v>
      </c>
      <c r="L379">
        <f>Koond_kulud!L407</f>
        <v>55</v>
      </c>
      <c r="M379" t="str">
        <f>Koond_kulud!M407</f>
        <v>55</v>
      </c>
      <c r="N379" t="str">
        <f>Koond_kulud!N407</f>
        <v>Muud tegevuskulud</v>
      </c>
      <c r="O379" t="str">
        <f>Koond_kulud!O407</f>
        <v>Majandamiskulud</v>
      </c>
      <c r="P379" t="str">
        <f>Koond_kulud!P407</f>
        <v>Põhitegevuse kulu</v>
      </c>
      <c r="Q379">
        <f>Koond_kulud!Q407</f>
        <v>0</v>
      </c>
    </row>
    <row r="380" spans="1:17" hidden="1" x14ac:dyDescent="0.25">
      <c r="A380" t="str">
        <f>Koond_kulud!A408</f>
        <v>08</v>
      </c>
      <c r="B380" t="str">
        <f>Koond_kulud!B408</f>
        <v xml:space="preserve">0820104         </v>
      </c>
      <c r="C380" t="str">
        <f>Koond_kulud!C408</f>
        <v>Tudu Rahvaraamatukogu</v>
      </c>
      <c r="D380" t="str">
        <f>Koond_kulud!D408</f>
        <v>Raamatukogud</v>
      </c>
      <c r="E380" t="str">
        <f>Koond_kulud!E408</f>
        <v>Vabaaeg, kultuur ja religioon</v>
      </c>
      <c r="F380" t="str">
        <f>Koond_kulud!F408</f>
        <v>Tudu raamatukogu</v>
      </c>
      <c r="G380" t="str">
        <f>Koond_kulud!G408</f>
        <v>telefon ja internet</v>
      </c>
      <c r="H380">
        <f>Koond_kulud!H408</f>
        <v>660</v>
      </c>
      <c r="I380" t="str">
        <f>Koond_kulud!I408</f>
        <v>tel 3235645 kõned ja kuutasu + interneti kuutasu</v>
      </c>
      <c r="J380">
        <f>Koond_kulud!J408</f>
        <v>5500</v>
      </c>
      <c r="K380" t="str">
        <f>Koond_kulud!K408</f>
        <v>Administreerimiskulud</v>
      </c>
      <c r="L380">
        <f>Koond_kulud!L408</f>
        <v>55</v>
      </c>
      <c r="M380" t="str">
        <f>Koond_kulud!M408</f>
        <v>55</v>
      </c>
      <c r="N380" t="str">
        <f>Koond_kulud!N408</f>
        <v>Muud tegevuskulud</v>
      </c>
      <c r="O380" t="str">
        <f>Koond_kulud!O408</f>
        <v>Majandamiskulud</v>
      </c>
      <c r="P380" t="str">
        <f>Koond_kulud!P408</f>
        <v>Põhitegevuse kulu</v>
      </c>
      <c r="Q380">
        <f>Koond_kulud!Q408</f>
        <v>0</v>
      </c>
    </row>
    <row r="381" spans="1:17" hidden="1" x14ac:dyDescent="0.25">
      <c r="A381" t="str">
        <f>Koond_kulud!A409</f>
        <v>08</v>
      </c>
      <c r="B381" t="str">
        <f>Koond_kulud!B409</f>
        <v xml:space="preserve">0820104         </v>
      </c>
      <c r="C381" t="str">
        <f>Koond_kulud!C409</f>
        <v>Tudu Rahvaraamatukogu</v>
      </c>
      <c r="D381" t="str">
        <f>Koond_kulud!D409</f>
        <v>Raamatukogud</v>
      </c>
      <c r="E381" t="str">
        <f>Koond_kulud!E409</f>
        <v>Vabaaeg, kultuur ja religioon</v>
      </c>
      <c r="F381" t="str">
        <f>Koond_kulud!F409</f>
        <v>Tudu raamatukogu</v>
      </c>
      <c r="G381" t="str">
        <f>Koond_kulud!G409</f>
        <v>perioodika</v>
      </c>
      <c r="H381">
        <f>Koond_kulud!H409</f>
        <v>500</v>
      </c>
      <c r="I381" t="str">
        <f>Koond_kulud!I409</f>
        <v>ajakirjade arv jääb samaks nagu 2019.a.</v>
      </c>
      <c r="J381">
        <f>Koond_kulud!J409</f>
        <v>5500</v>
      </c>
      <c r="K381" t="str">
        <f>Koond_kulud!K409</f>
        <v>Administreerimiskulud</v>
      </c>
      <c r="L381">
        <f>Koond_kulud!L409</f>
        <v>55</v>
      </c>
      <c r="M381" t="str">
        <f>Koond_kulud!M409</f>
        <v>55</v>
      </c>
      <c r="N381" t="str">
        <f>Koond_kulud!N409</f>
        <v>Muud tegevuskulud</v>
      </c>
      <c r="O381" t="str">
        <f>Koond_kulud!O409</f>
        <v>Majandamiskulud</v>
      </c>
      <c r="P381" t="str">
        <f>Koond_kulud!P409</f>
        <v>Põhitegevuse kulu</v>
      </c>
      <c r="Q381">
        <f>Koond_kulud!Q409</f>
        <v>0</v>
      </c>
    </row>
    <row r="382" spans="1:17" hidden="1" x14ac:dyDescent="0.25">
      <c r="A382" t="str">
        <f>Koond_kulud!A410</f>
        <v>08</v>
      </c>
      <c r="B382" t="str">
        <f>Koond_kulud!B410</f>
        <v xml:space="preserve">0820104         </v>
      </c>
      <c r="C382" t="str">
        <f>Koond_kulud!C410</f>
        <v>Tudu Rahvaraamatukogu</v>
      </c>
      <c r="D382" t="str">
        <f>Koond_kulud!D410</f>
        <v>Raamatukogud</v>
      </c>
      <c r="E382" t="str">
        <f>Koond_kulud!E410</f>
        <v>Vabaaeg, kultuur ja religioon</v>
      </c>
      <c r="F382" t="str">
        <f>Koond_kulud!F410</f>
        <v>Tudu raamatukogu</v>
      </c>
      <c r="G382" t="str">
        <f>Koond_kulud!G410</f>
        <v>raamatud</v>
      </c>
      <c r="H382">
        <f>Koond_kulud!H410</f>
        <v>1570</v>
      </c>
      <c r="I382">
        <f>Koond_kulud!I410</f>
        <v>0</v>
      </c>
      <c r="J382">
        <f>Koond_kulud!J410</f>
        <v>5523</v>
      </c>
      <c r="K382" t="str">
        <f>Koond_kulud!K410</f>
        <v>Teavikud ja kunstiesemed</v>
      </c>
      <c r="L382">
        <f>Koond_kulud!L410</f>
        <v>55</v>
      </c>
      <c r="M382" t="str">
        <f>Koond_kulud!M410</f>
        <v>55</v>
      </c>
      <c r="N382" t="str">
        <f>Koond_kulud!N410</f>
        <v>Muud tegevuskulud</v>
      </c>
      <c r="O382" t="str">
        <f>Koond_kulud!O410</f>
        <v>Majandamiskulud</v>
      </c>
      <c r="P382" t="str">
        <f>Koond_kulud!P410</f>
        <v>Põhitegevuse kulu</v>
      </c>
      <c r="Q382">
        <f>Koond_kulud!Q410</f>
        <v>0</v>
      </c>
    </row>
    <row r="383" spans="1:17" hidden="1" x14ac:dyDescent="0.25">
      <c r="A383" t="str">
        <f>Koond_kulud!A411</f>
        <v>08</v>
      </c>
      <c r="B383" t="str">
        <f>Koond_kulud!B411</f>
        <v xml:space="preserve">0820104         </v>
      </c>
      <c r="C383" t="str">
        <f>Koond_kulud!C411</f>
        <v>Tudu Rahvaraamatukogu</v>
      </c>
      <c r="D383" t="str">
        <f>Koond_kulud!D411</f>
        <v>Raamatukogud</v>
      </c>
      <c r="E383" t="str">
        <f>Koond_kulud!E411</f>
        <v>Vabaaeg, kultuur ja religioon</v>
      </c>
      <c r="F383" t="str">
        <f>Koond_kulud!F411</f>
        <v>Tudu raamatukogu</v>
      </c>
      <c r="G383" t="str">
        <f>Koond_kulud!G411</f>
        <v>koolituste plaan</v>
      </c>
      <c r="H383">
        <f>Koond_kulud!H411</f>
        <v>30</v>
      </c>
      <c r="I383">
        <f>Koond_kulud!I411</f>
        <v>0</v>
      </c>
      <c r="J383">
        <f>Koond_kulud!J411</f>
        <v>5504</v>
      </c>
      <c r="K383" t="str">
        <f>Koond_kulud!K411</f>
        <v>Koolituskulud</v>
      </c>
      <c r="L383">
        <f>Koond_kulud!L411</f>
        <v>55</v>
      </c>
      <c r="M383" t="str">
        <f>Koond_kulud!M411</f>
        <v>55</v>
      </c>
      <c r="N383" t="str">
        <f>Koond_kulud!N411</f>
        <v>Muud tegevuskulud</v>
      </c>
      <c r="O383" t="str">
        <f>Koond_kulud!O411</f>
        <v>Majandamiskulud</v>
      </c>
      <c r="P383" t="str">
        <f>Koond_kulud!P411</f>
        <v>Põhitegevuse kulu</v>
      </c>
      <c r="Q383">
        <f>Koond_kulud!Q411</f>
        <v>0</v>
      </c>
    </row>
    <row r="384" spans="1:17" hidden="1" x14ac:dyDescent="0.25">
      <c r="A384" t="str">
        <f>Koond_kulud!A412</f>
        <v>08</v>
      </c>
      <c r="B384" t="str">
        <f>Koond_kulud!B412</f>
        <v xml:space="preserve">0820104         </v>
      </c>
      <c r="C384" t="str">
        <f>Koond_kulud!C412</f>
        <v>Tudu Rahvaraamatukogu</v>
      </c>
      <c r="D384" t="str">
        <f>Koond_kulud!D412</f>
        <v>Raamatukogud</v>
      </c>
      <c r="E384" t="str">
        <f>Koond_kulud!E412</f>
        <v>Vabaaeg, kultuur ja religioon</v>
      </c>
      <c r="F384" t="str">
        <f>Koond_kulud!F412</f>
        <v>Tudu raamatukogu</v>
      </c>
      <c r="G384" t="str">
        <f>Koond_kulud!G412</f>
        <v>kantseleikaup,paber,tahm</v>
      </c>
      <c r="H384">
        <f>Koond_kulud!H412</f>
        <v>30</v>
      </c>
      <c r="I384">
        <f>Koond_kulud!I412</f>
        <v>0</v>
      </c>
      <c r="J384">
        <f>Koond_kulud!J412</f>
        <v>5500</v>
      </c>
      <c r="K384" t="str">
        <f>Koond_kulud!K412</f>
        <v>Administreerimiskulud</v>
      </c>
      <c r="L384">
        <f>Koond_kulud!L412</f>
        <v>55</v>
      </c>
      <c r="M384" t="str">
        <f>Koond_kulud!M412</f>
        <v>55</v>
      </c>
      <c r="N384" t="str">
        <f>Koond_kulud!N412</f>
        <v>Muud tegevuskulud</v>
      </c>
      <c r="O384" t="str">
        <f>Koond_kulud!O412</f>
        <v>Majandamiskulud</v>
      </c>
      <c r="P384" t="str">
        <f>Koond_kulud!P412</f>
        <v>Põhitegevuse kulu</v>
      </c>
      <c r="Q384">
        <f>Koond_kulud!Q412</f>
        <v>0</v>
      </c>
    </row>
    <row r="385" spans="1:17" hidden="1" x14ac:dyDescent="0.25">
      <c r="A385" t="str">
        <f>Koond_kulud!A413</f>
        <v>08</v>
      </c>
      <c r="B385" t="str">
        <f>Koond_kulud!B413</f>
        <v xml:space="preserve">0820104         </v>
      </c>
      <c r="C385" t="str">
        <f>Koond_kulud!C413</f>
        <v>Tudu Rahvaraamatukogu</v>
      </c>
      <c r="D385" t="str">
        <f>Koond_kulud!D413</f>
        <v>Raamatukogud</v>
      </c>
      <c r="E385" t="str">
        <f>Koond_kulud!E413</f>
        <v>Vabaaeg, kultuur ja religioon</v>
      </c>
      <c r="F385" t="str">
        <f>Koond_kulud!F413</f>
        <v>Tudu raamatukogu</v>
      </c>
      <c r="G385" t="str">
        <f>Koond_kulud!G413</f>
        <v>urrami programmihooldus 20.- x12 kuud</v>
      </c>
      <c r="H385">
        <f>Koond_kulud!H413</f>
        <v>240</v>
      </c>
      <c r="I385">
        <f>Koond_kulud!I413</f>
        <v>0</v>
      </c>
      <c r="J385">
        <f>Koond_kulud!J413</f>
        <v>5514</v>
      </c>
      <c r="K385" t="str">
        <f>Koond_kulud!K413</f>
        <v>Info- ja kommunikatsioonitehnoliigised kulud</v>
      </c>
      <c r="L385">
        <f>Koond_kulud!L413</f>
        <v>55</v>
      </c>
      <c r="M385" t="str">
        <f>Koond_kulud!M413</f>
        <v>55</v>
      </c>
      <c r="N385" t="str">
        <f>Koond_kulud!N413</f>
        <v>Muud tegevuskulud</v>
      </c>
      <c r="O385" t="str">
        <f>Koond_kulud!O413</f>
        <v>Majandamiskulud</v>
      </c>
      <c r="P385" t="str">
        <f>Koond_kulud!P413</f>
        <v>Põhitegevuse kulu</v>
      </c>
      <c r="Q385">
        <f>Koond_kulud!Q413</f>
        <v>0</v>
      </c>
    </row>
    <row r="386" spans="1:17" hidden="1" x14ac:dyDescent="0.25">
      <c r="A386" t="str">
        <f>Koond_kulud!A414</f>
        <v>08</v>
      </c>
      <c r="B386" t="str">
        <f>Koond_kulud!B414</f>
        <v xml:space="preserve">0820104         </v>
      </c>
      <c r="C386" t="str">
        <f>Koond_kulud!C414</f>
        <v>Tudu Rahvaraamatukogu</v>
      </c>
      <c r="D386" t="str">
        <f>Koond_kulud!D414</f>
        <v>Raamatukogud</v>
      </c>
      <c r="E386" t="str">
        <f>Koond_kulud!E414</f>
        <v>Vabaaeg, kultuur ja religioon</v>
      </c>
      <c r="F386" t="str">
        <f>Koond_kulud!F414</f>
        <v>Tudu raamatukogu</v>
      </c>
      <c r="G386" t="str">
        <f>Koond_kulud!G414</f>
        <v>Saku Läte</v>
      </c>
      <c r="H386">
        <f>Koond_kulud!H414</f>
        <v>135</v>
      </c>
      <c r="I386">
        <f>Koond_kulud!I414</f>
        <v>0</v>
      </c>
      <c r="J386">
        <f>Koond_kulud!J414</f>
        <v>5511</v>
      </c>
      <c r="K386" t="str">
        <f>Koond_kulud!K414</f>
        <v>Kinnistute, hoonete ja ruumide majandamiskulud</v>
      </c>
      <c r="L386">
        <f>Koond_kulud!L414</f>
        <v>55</v>
      </c>
      <c r="M386" t="str">
        <f>Koond_kulud!M414</f>
        <v>55</v>
      </c>
      <c r="N386" t="str">
        <f>Koond_kulud!N414</f>
        <v>Muud tegevuskulud</v>
      </c>
      <c r="O386" t="str">
        <f>Koond_kulud!O414</f>
        <v>Majandamiskulud</v>
      </c>
      <c r="P386" t="str">
        <f>Koond_kulud!P414</f>
        <v>Põhitegevuse kulu</v>
      </c>
      <c r="Q386">
        <f>Koond_kulud!Q414</f>
        <v>0</v>
      </c>
    </row>
    <row r="387" spans="1:17" hidden="1" x14ac:dyDescent="0.25">
      <c r="A387" t="str">
        <f>Koond_kulud!A415</f>
        <v>08</v>
      </c>
      <c r="B387" t="str">
        <f>Koond_kulud!B415</f>
        <v xml:space="preserve">0820104         </v>
      </c>
      <c r="C387" t="str">
        <f>Koond_kulud!C415</f>
        <v>Tudu Rahvaraamatukogu</v>
      </c>
      <c r="D387" t="str">
        <f>Koond_kulud!D415</f>
        <v>Raamatukogud</v>
      </c>
      <c r="E387" t="str">
        <f>Koond_kulud!E415</f>
        <v>Vabaaeg, kultuur ja religioon</v>
      </c>
      <c r="F387" t="str">
        <f>Koond_kulud!F415</f>
        <v>Tudu raamatukogu</v>
      </c>
      <c r="G387" t="str">
        <f>Koond_kulud!G415</f>
        <v>Hoone kindlustus</v>
      </c>
      <c r="H387">
        <f>Koond_kulud!H415</f>
        <v>150</v>
      </c>
      <c r="I387">
        <f>Koond_kulud!I415</f>
        <v>0</v>
      </c>
      <c r="J387">
        <f>Koond_kulud!J415</f>
        <v>5511</v>
      </c>
      <c r="K387" t="str">
        <f>Koond_kulud!K415</f>
        <v>Kinnistute, hoonete ja ruumide majandamiskulud</v>
      </c>
      <c r="L387">
        <f>Koond_kulud!L415</f>
        <v>55</v>
      </c>
      <c r="M387" t="str">
        <f>Koond_kulud!M415</f>
        <v>55</v>
      </c>
      <c r="N387" t="str">
        <f>Koond_kulud!N415</f>
        <v>Muud tegevuskulud</v>
      </c>
      <c r="O387" t="str">
        <f>Koond_kulud!O415</f>
        <v>Majandamiskulud</v>
      </c>
      <c r="P387" t="str">
        <f>Koond_kulud!P415</f>
        <v>Põhitegevuse kulu</v>
      </c>
      <c r="Q387">
        <f>Koond_kulud!Q415</f>
        <v>0</v>
      </c>
    </row>
    <row r="388" spans="1:17" hidden="1" x14ac:dyDescent="0.25">
      <c r="A388" t="str">
        <f>Koond_kulud!A416</f>
        <v>08</v>
      </c>
      <c r="B388" t="str">
        <f>Koond_kulud!B416</f>
        <v xml:space="preserve">0820104         </v>
      </c>
      <c r="C388" t="str">
        <f>Koond_kulud!C416</f>
        <v>Tudu Rahvaraamatukogu</v>
      </c>
      <c r="D388" t="str">
        <f>Koond_kulud!D416</f>
        <v>Raamatukogud</v>
      </c>
      <c r="E388" t="str">
        <f>Koond_kulud!E416</f>
        <v>Vabaaeg, kultuur ja religioon</v>
      </c>
      <c r="F388" t="str">
        <f>Koond_kulud!F416</f>
        <v>Tudu raamatukogu</v>
      </c>
      <c r="G388" t="str">
        <f>Koond_kulud!G416</f>
        <v>Pisiremondid jms</v>
      </c>
      <c r="H388">
        <f>Koond_kulud!H416</f>
        <v>850</v>
      </c>
      <c r="I388">
        <f>Koond_kulud!I416</f>
        <v>0</v>
      </c>
      <c r="J388">
        <f>Koond_kulud!J416</f>
        <v>5511</v>
      </c>
      <c r="K388" t="str">
        <f>Koond_kulud!K416</f>
        <v>Kinnistute, hoonete ja ruumide majandamiskulud</v>
      </c>
      <c r="L388">
        <f>Koond_kulud!L416</f>
        <v>55</v>
      </c>
      <c r="M388" t="str">
        <f>Koond_kulud!M416</f>
        <v>55</v>
      </c>
      <c r="N388" t="str">
        <f>Koond_kulud!N416</f>
        <v>Muud tegevuskulud</v>
      </c>
      <c r="O388" t="str">
        <f>Koond_kulud!O416</f>
        <v>Majandamiskulud</v>
      </c>
      <c r="P388" t="str">
        <f>Koond_kulud!P416</f>
        <v>Põhitegevuse kulu</v>
      </c>
      <c r="Q388">
        <f>Koond_kulud!Q416</f>
        <v>0</v>
      </c>
    </row>
    <row r="389" spans="1:17" hidden="1" x14ac:dyDescent="0.25">
      <c r="A389" t="str">
        <f>Koond_kulud!A417</f>
        <v>08</v>
      </c>
      <c r="B389" t="str">
        <f>Koond_kulud!B417</f>
        <v xml:space="preserve">0820105         </v>
      </c>
      <c r="C389" t="str">
        <f>Koond_kulud!C417</f>
        <v>Ulvi Raamatukogu</v>
      </c>
      <c r="D389" t="str">
        <f>Koond_kulud!D417</f>
        <v>Raamatukogud</v>
      </c>
      <c r="E389" t="str">
        <f>Koond_kulud!E417</f>
        <v>Vabaaeg, kultuur ja religioon</v>
      </c>
      <c r="F389" t="str">
        <f>Koond_kulud!F417</f>
        <v>Ulvi raamatukogu</v>
      </c>
      <c r="G389" t="str">
        <f>Koond_kulud!G417</f>
        <v>Ulvi mõisamaja turvafirma lepingutasu, korrastusvahendid, puhastusvahendid, paber</v>
      </c>
      <c r="H389">
        <f>Koond_kulud!H417</f>
        <v>400</v>
      </c>
      <c r="I389">
        <f>Koond_kulud!I417</f>
        <v>0</v>
      </c>
      <c r="J389">
        <f>Koond_kulud!J417</f>
        <v>5511</v>
      </c>
      <c r="K389" t="str">
        <f>Koond_kulud!K417</f>
        <v>Kinnistute, hoonete ja ruumide majandamiskulud</v>
      </c>
      <c r="L389">
        <f>Koond_kulud!L417</f>
        <v>55</v>
      </c>
      <c r="M389" t="str">
        <f>Koond_kulud!M417</f>
        <v>55</v>
      </c>
      <c r="N389" t="str">
        <f>Koond_kulud!N417</f>
        <v>Muud tegevuskulud</v>
      </c>
      <c r="O389" t="str">
        <f>Koond_kulud!O417</f>
        <v>Majandamiskulud</v>
      </c>
      <c r="P389" t="str">
        <f>Koond_kulud!P417</f>
        <v>Põhitegevuse kulu</v>
      </c>
      <c r="Q389">
        <f>Koond_kulud!Q417</f>
        <v>0</v>
      </c>
    </row>
    <row r="390" spans="1:17" hidden="1" x14ac:dyDescent="0.25">
      <c r="A390" t="str">
        <f>Koond_kulud!A418</f>
        <v>08</v>
      </c>
      <c r="B390" t="str">
        <f>Koond_kulud!B418</f>
        <v xml:space="preserve">0820105         </v>
      </c>
      <c r="C390" t="str">
        <f>Koond_kulud!C418</f>
        <v>Ulvi Raamatukogu</v>
      </c>
      <c r="D390" t="str">
        <f>Koond_kulud!D418</f>
        <v>Raamatukogud</v>
      </c>
      <c r="E390" t="str">
        <f>Koond_kulud!E418</f>
        <v>Vabaaeg, kultuur ja religioon</v>
      </c>
      <c r="F390" t="str">
        <f>Koond_kulud!F418</f>
        <v>Ulvi raamatukogu</v>
      </c>
      <c r="G390" t="str">
        <f>Koond_kulud!G418</f>
        <v>Telefon, Internet</v>
      </c>
      <c r="H390">
        <f>Koond_kulud!H418</f>
        <v>320</v>
      </c>
      <c r="I390" t="str">
        <f>Koond_kulud!I418</f>
        <v>Interneti püsiühendus, lauatelefon</v>
      </c>
      <c r="J390">
        <f>Koond_kulud!J418</f>
        <v>5500</v>
      </c>
      <c r="K390" t="str">
        <f>Koond_kulud!K418</f>
        <v>Administreerimiskulud</v>
      </c>
      <c r="L390">
        <f>Koond_kulud!L418</f>
        <v>55</v>
      </c>
      <c r="M390" t="str">
        <f>Koond_kulud!M418</f>
        <v>55</v>
      </c>
      <c r="N390" t="str">
        <f>Koond_kulud!N418</f>
        <v>Muud tegevuskulud</v>
      </c>
      <c r="O390" t="str">
        <f>Koond_kulud!O418</f>
        <v>Majandamiskulud</v>
      </c>
      <c r="P390" t="str">
        <f>Koond_kulud!P418</f>
        <v>Põhitegevuse kulu</v>
      </c>
      <c r="Q390">
        <f>Koond_kulud!Q418</f>
        <v>0</v>
      </c>
    </row>
    <row r="391" spans="1:17" hidden="1" x14ac:dyDescent="0.25">
      <c r="A391" t="str">
        <f>Koond_kulud!A419</f>
        <v>08</v>
      </c>
      <c r="B391" t="str">
        <f>Koond_kulud!B419</f>
        <v xml:space="preserve">0820105         </v>
      </c>
      <c r="C391" t="str">
        <f>Koond_kulud!C419</f>
        <v>Ulvi Raamatukogu</v>
      </c>
      <c r="D391" t="str">
        <f>Koond_kulud!D419</f>
        <v>Raamatukogud</v>
      </c>
      <c r="E391" t="str">
        <f>Koond_kulud!E419</f>
        <v>Vabaaeg, kultuur ja religioon</v>
      </c>
      <c r="F391" t="str">
        <f>Koond_kulud!F419</f>
        <v>Ulvi raamatukogu</v>
      </c>
      <c r="G391" t="str">
        <f>Koond_kulud!G419</f>
        <v>kantseleikaup</v>
      </c>
      <c r="H391">
        <f>Koond_kulud!H419</f>
        <v>500</v>
      </c>
      <c r="I391" t="str">
        <f>Koond_kulud!I419</f>
        <v>paber, tahm, raamatukiled, vöötkoodid</v>
      </c>
      <c r="J391">
        <f>Koond_kulud!J419</f>
        <v>5500</v>
      </c>
      <c r="K391" t="str">
        <f>Koond_kulud!K419</f>
        <v>Administreerimiskulud</v>
      </c>
      <c r="L391">
        <f>Koond_kulud!L419</f>
        <v>55</v>
      </c>
      <c r="M391" t="str">
        <f>Koond_kulud!M419</f>
        <v>55</v>
      </c>
      <c r="N391" t="str">
        <f>Koond_kulud!N419</f>
        <v>Muud tegevuskulud</v>
      </c>
      <c r="O391" t="str">
        <f>Koond_kulud!O419</f>
        <v>Majandamiskulud</v>
      </c>
      <c r="P391" t="str">
        <f>Koond_kulud!P419</f>
        <v>Põhitegevuse kulu</v>
      </c>
      <c r="Q391">
        <f>Koond_kulud!Q419</f>
        <v>0</v>
      </c>
    </row>
    <row r="392" spans="1:17" hidden="1" x14ac:dyDescent="0.25">
      <c r="A392" t="str">
        <f>Koond_kulud!A420</f>
        <v>08</v>
      </c>
      <c r="B392" t="str">
        <f>Koond_kulud!B420</f>
        <v xml:space="preserve">0820105         </v>
      </c>
      <c r="C392" t="str">
        <f>Koond_kulud!C420</f>
        <v>Ulvi Raamatukogu</v>
      </c>
      <c r="D392" t="str">
        <f>Koond_kulud!D420</f>
        <v>Raamatukogud</v>
      </c>
      <c r="E392" t="str">
        <f>Koond_kulud!E420</f>
        <v>Vabaaeg, kultuur ja religioon</v>
      </c>
      <c r="F392" t="str">
        <f>Koond_kulud!F420</f>
        <v>Ulvi raamatukogu</v>
      </c>
      <c r="G392" t="str">
        <f>Koond_kulud!G420</f>
        <v>perioodika</v>
      </c>
      <c r="H392">
        <f>Koond_kulud!H420</f>
        <v>1200</v>
      </c>
      <c r="I392" t="str">
        <f>Koond_kulud!I420</f>
        <v>ajalehed,ajakirjad-tellimine 1 kord aastas- novembris</v>
      </c>
      <c r="J392">
        <f>Koond_kulud!J420</f>
        <v>5500</v>
      </c>
      <c r="K392" t="str">
        <f>Koond_kulud!K420</f>
        <v>Administreerimiskulud</v>
      </c>
      <c r="L392">
        <f>Koond_kulud!L420</f>
        <v>55</v>
      </c>
      <c r="M392" t="str">
        <f>Koond_kulud!M420</f>
        <v>55</v>
      </c>
      <c r="N392" t="str">
        <f>Koond_kulud!N420</f>
        <v>Muud tegevuskulud</v>
      </c>
      <c r="O392" t="str">
        <f>Koond_kulud!O420</f>
        <v>Majandamiskulud</v>
      </c>
      <c r="P392" t="str">
        <f>Koond_kulud!P420</f>
        <v>Põhitegevuse kulu</v>
      </c>
      <c r="Q392">
        <f>Koond_kulud!Q420</f>
        <v>0</v>
      </c>
    </row>
    <row r="393" spans="1:17" hidden="1" x14ac:dyDescent="0.25">
      <c r="A393" t="str">
        <f>Koond_kulud!A421</f>
        <v>08</v>
      </c>
      <c r="B393" t="str">
        <f>Koond_kulud!B421</f>
        <v xml:space="preserve">0820105         </v>
      </c>
      <c r="C393" t="str">
        <f>Koond_kulud!C421</f>
        <v>Ulvi Raamatukogu</v>
      </c>
      <c r="D393" t="str">
        <f>Koond_kulud!D421</f>
        <v>Raamatukogud</v>
      </c>
      <c r="E393" t="str">
        <f>Koond_kulud!E421</f>
        <v>Vabaaeg, kultuur ja religioon</v>
      </c>
      <c r="F393" t="str">
        <f>Koond_kulud!F421</f>
        <v>Ulvi raamatukogu</v>
      </c>
      <c r="G393" t="str">
        <f>Koond_kulud!G421</f>
        <v>Koolitused</v>
      </c>
      <c r="H393">
        <f>Koond_kulud!H421</f>
        <v>350</v>
      </c>
      <c r="I393" t="str">
        <f>Koond_kulud!I421</f>
        <v>Erinevad koolitused,seminarid sh maakonna keskraamatukogu korraldatud; Maaraamatukogude suveseminar Saaremaal; Õppereis Soome</v>
      </c>
      <c r="J393">
        <f>Koond_kulud!J421</f>
        <v>5504</v>
      </c>
      <c r="K393" t="str">
        <f>Koond_kulud!K421</f>
        <v>Koolituskulud</v>
      </c>
      <c r="L393">
        <f>Koond_kulud!L421</f>
        <v>55</v>
      </c>
      <c r="M393" t="str">
        <f>Koond_kulud!M421</f>
        <v>55</v>
      </c>
      <c r="N393" t="str">
        <f>Koond_kulud!N421</f>
        <v>Muud tegevuskulud</v>
      </c>
      <c r="O393" t="str">
        <f>Koond_kulud!O421</f>
        <v>Majandamiskulud</v>
      </c>
      <c r="P393" t="str">
        <f>Koond_kulud!P421</f>
        <v>Põhitegevuse kulu</v>
      </c>
      <c r="Q393">
        <f>Koond_kulud!Q421</f>
        <v>0</v>
      </c>
    </row>
    <row r="394" spans="1:17" hidden="1" x14ac:dyDescent="0.25">
      <c r="A394" t="str">
        <f>Koond_kulud!A422</f>
        <v>08</v>
      </c>
      <c r="B394" t="str">
        <f>Koond_kulud!B422</f>
        <v xml:space="preserve">0820105         </v>
      </c>
      <c r="C394" t="str">
        <f>Koond_kulud!C422</f>
        <v>Ulvi Raamatukogu</v>
      </c>
      <c r="D394" t="str">
        <f>Koond_kulud!D422</f>
        <v>Raamatukogud</v>
      </c>
      <c r="E394" t="str">
        <f>Koond_kulud!E422</f>
        <v>Vabaaeg, kultuur ja religioon</v>
      </c>
      <c r="F394" t="str">
        <f>Koond_kulud!F422</f>
        <v>Ulvi raamatukogu</v>
      </c>
      <c r="G394" t="str">
        <f>Koond_kulud!G422</f>
        <v>Isikliku sõiduauto komp.</v>
      </c>
      <c r="H394">
        <f>Koond_kulud!H422</f>
        <v>720</v>
      </c>
      <c r="I394" t="str">
        <f>Koond_kulud!I422</f>
        <v>teavikute transport Rakverest, kojuteenindus, tööga seotud koosolekutest, koolitustest osavõtt</v>
      </c>
      <c r="J394">
        <f>Koond_kulud!J422</f>
        <v>5513</v>
      </c>
      <c r="K394" t="str">
        <f>Koond_kulud!K422</f>
        <v>Sõidukite ülalpidamise kulud</v>
      </c>
      <c r="L394">
        <f>Koond_kulud!L422</f>
        <v>55</v>
      </c>
      <c r="M394" t="str">
        <f>Koond_kulud!M422</f>
        <v>55</v>
      </c>
      <c r="N394" t="str">
        <f>Koond_kulud!N422</f>
        <v>Muud tegevuskulud</v>
      </c>
      <c r="O394" t="str">
        <f>Koond_kulud!O422</f>
        <v>Majandamiskulud</v>
      </c>
      <c r="P394" t="str">
        <f>Koond_kulud!P422</f>
        <v>Põhitegevuse kulu</v>
      </c>
      <c r="Q394">
        <f>Koond_kulud!Q422</f>
        <v>0</v>
      </c>
    </row>
    <row r="395" spans="1:17" hidden="1" x14ac:dyDescent="0.25">
      <c r="A395" t="str">
        <f>Koond_kulud!A423</f>
        <v>08</v>
      </c>
      <c r="B395" t="str">
        <f>Koond_kulud!B423</f>
        <v xml:space="preserve">0820105         </v>
      </c>
      <c r="C395" t="str">
        <f>Koond_kulud!C423</f>
        <v>Ulvi Raamatukogu</v>
      </c>
      <c r="D395" t="str">
        <f>Koond_kulud!D423</f>
        <v>Raamatukogud</v>
      </c>
      <c r="E395" t="str">
        <f>Koond_kulud!E423</f>
        <v>Vabaaeg, kultuur ja religioon</v>
      </c>
      <c r="F395" t="str">
        <f>Koond_kulud!F423</f>
        <v>Ulvi raamatukogu</v>
      </c>
      <c r="G395" t="str">
        <f>Koond_kulud!G423</f>
        <v>prillid</v>
      </c>
      <c r="H395">
        <f>Koond_kulud!H423</f>
        <v>100</v>
      </c>
      <c r="I395">
        <f>Koond_kulud!I423</f>
        <v>0</v>
      </c>
      <c r="J395">
        <f>Koond_kulud!J423</f>
        <v>5522</v>
      </c>
      <c r="K395" t="str">
        <f>Koond_kulud!K423</f>
        <v>Meditsiinikulud ja hügieenitarbed</v>
      </c>
      <c r="L395">
        <f>Koond_kulud!L423</f>
        <v>55</v>
      </c>
      <c r="M395" t="str">
        <f>Koond_kulud!M423</f>
        <v>55</v>
      </c>
      <c r="N395" t="str">
        <f>Koond_kulud!N423</f>
        <v>Muud tegevuskulud</v>
      </c>
      <c r="O395" t="str">
        <f>Koond_kulud!O423</f>
        <v>Majandamiskulud</v>
      </c>
      <c r="P395" t="str">
        <f>Koond_kulud!P423</f>
        <v>Põhitegevuse kulu</v>
      </c>
      <c r="Q395">
        <f>Koond_kulud!Q423</f>
        <v>0</v>
      </c>
    </row>
    <row r="396" spans="1:17" hidden="1" x14ac:dyDescent="0.25">
      <c r="A396" t="str">
        <f>Koond_kulud!A424</f>
        <v>08</v>
      </c>
      <c r="B396" t="str">
        <f>Koond_kulud!B424</f>
        <v xml:space="preserve">0820105         </v>
      </c>
      <c r="C396" t="str">
        <f>Koond_kulud!C424</f>
        <v>Ulvi Raamatukogu</v>
      </c>
      <c r="D396" t="str">
        <f>Koond_kulud!D424</f>
        <v>Raamatukogud</v>
      </c>
      <c r="E396" t="str">
        <f>Koond_kulud!E424</f>
        <v>Vabaaeg, kultuur ja religioon</v>
      </c>
      <c r="F396" t="str">
        <f>Koond_kulud!F424</f>
        <v>Ulvi raamatukogu</v>
      </c>
      <c r="G396" t="str">
        <f>Koond_kulud!G424</f>
        <v>Teavikud</v>
      </c>
      <c r="H396">
        <f>Koond_kulud!H424</f>
        <v>3200</v>
      </c>
      <c r="I396">
        <f>Koond_kulud!I424</f>
        <v>0</v>
      </c>
      <c r="J396">
        <f>Koond_kulud!J424</f>
        <v>5523</v>
      </c>
      <c r="K396" t="str">
        <f>Koond_kulud!K424</f>
        <v>Teavikud ja kunstiesemed</v>
      </c>
      <c r="L396">
        <f>Koond_kulud!L424</f>
        <v>55</v>
      </c>
      <c r="M396" t="str">
        <f>Koond_kulud!M424</f>
        <v>55</v>
      </c>
      <c r="N396" t="str">
        <f>Koond_kulud!N424</f>
        <v>Muud tegevuskulud</v>
      </c>
      <c r="O396" t="str">
        <f>Koond_kulud!O424</f>
        <v>Majandamiskulud</v>
      </c>
      <c r="P396" t="str">
        <f>Koond_kulud!P424</f>
        <v>Põhitegevuse kulu</v>
      </c>
      <c r="Q396">
        <f>Koond_kulud!Q424</f>
        <v>0</v>
      </c>
    </row>
    <row r="397" spans="1:17" hidden="1" x14ac:dyDescent="0.25">
      <c r="A397" t="str">
        <f>Koond_kulud!A425</f>
        <v>08</v>
      </c>
      <c r="B397" t="str">
        <f>Koond_kulud!B425</f>
        <v xml:space="preserve">0820105         </v>
      </c>
      <c r="C397" t="str">
        <f>Koond_kulud!C425</f>
        <v>Ulvi Raamatukogu</v>
      </c>
      <c r="D397" t="str">
        <f>Koond_kulud!D425</f>
        <v>Raamatukogud</v>
      </c>
      <c r="E397" t="str">
        <f>Koond_kulud!E425</f>
        <v>Vabaaeg, kultuur ja religioon</v>
      </c>
      <c r="F397" t="str">
        <f>Koond_kulud!F425</f>
        <v>Ulvi raamatukogu</v>
      </c>
      <c r="G397" t="str">
        <f>Koond_kulud!G425</f>
        <v>teemaõhtud/hommikud, laste lugemistunnid/raamatukogutunnid; 2 korda aastas suurürutus-märts-emakeelepäev, okt-raamatukogunädal</v>
      </c>
      <c r="H397">
        <f>Koond_kulud!H425</f>
        <v>500</v>
      </c>
      <c r="I397">
        <f>Koond_kulud!I425</f>
        <v>0</v>
      </c>
      <c r="J397">
        <f>Koond_kulud!J425</f>
        <v>5525</v>
      </c>
      <c r="K397" t="str">
        <f>Koond_kulud!K425</f>
        <v>Kommunikatsiooni-, kultuuri- ja vaba aja sisustamise kulud</v>
      </c>
      <c r="L397">
        <f>Koond_kulud!L425</f>
        <v>55</v>
      </c>
      <c r="M397" t="str">
        <f>Koond_kulud!M425</f>
        <v>55</v>
      </c>
      <c r="N397" t="str">
        <f>Koond_kulud!N425</f>
        <v>Muud tegevuskulud</v>
      </c>
      <c r="O397" t="str">
        <f>Koond_kulud!O425</f>
        <v>Majandamiskulud</v>
      </c>
      <c r="P397" t="str">
        <f>Koond_kulud!P425</f>
        <v>Põhitegevuse kulu</v>
      </c>
      <c r="Q397">
        <f>Koond_kulud!Q425</f>
        <v>0</v>
      </c>
    </row>
    <row r="398" spans="1:17" hidden="1" x14ac:dyDescent="0.25">
      <c r="A398" t="str">
        <f>Koond_kulud!A426</f>
        <v>08</v>
      </c>
      <c r="B398" t="str">
        <f>Koond_kulud!B426</f>
        <v xml:space="preserve">0820105         </v>
      </c>
      <c r="C398" t="str">
        <f>Koond_kulud!C426</f>
        <v>Ulvi Raamatukogu</v>
      </c>
      <c r="D398" t="str">
        <f>Koond_kulud!D426</f>
        <v>Raamatukogud</v>
      </c>
      <c r="E398" t="str">
        <f>Koond_kulud!E426</f>
        <v>Vabaaeg, kultuur ja religioon</v>
      </c>
      <c r="F398" t="str">
        <f>Koond_kulud!F426</f>
        <v>Ulvi raamatukogu</v>
      </c>
      <c r="G398" t="str">
        <f>Koond_kulud!G426</f>
        <v>raamatukogu tööprogramm</v>
      </c>
      <c r="H398">
        <f>Koond_kulud!H426</f>
        <v>240</v>
      </c>
      <c r="I398" t="str">
        <f>Koond_kulud!I426</f>
        <v>Urram</v>
      </c>
      <c r="J398">
        <f>Koond_kulud!J426</f>
        <v>5514</v>
      </c>
      <c r="K398" t="str">
        <f>Koond_kulud!K426</f>
        <v>Info- ja kommunikatsioonitehnoliigised kulud</v>
      </c>
      <c r="L398">
        <f>Koond_kulud!L426</f>
        <v>55</v>
      </c>
      <c r="M398" t="str">
        <f>Koond_kulud!M426</f>
        <v>55</v>
      </c>
      <c r="N398" t="str">
        <f>Koond_kulud!N426</f>
        <v>Muud tegevuskulud</v>
      </c>
      <c r="O398" t="str">
        <f>Koond_kulud!O426</f>
        <v>Majandamiskulud</v>
      </c>
      <c r="P398" t="str">
        <f>Koond_kulud!P426</f>
        <v>Põhitegevuse kulu</v>
      </c>
      <c r="Q398">
        <f>Koond_kulud!Q426</f>
        <v>0</v>
      </c>
    </row>
    <row r="399" spans="1:17" hidden="1" x14ac:dyDescent="0.25">
      <c r="A399" t="str">
        <f>Koond_kulud!A427</f>
        <v>08</v>
      </c>
      <c r="B399" t="str">
        <f>Koond_kulud!B427</f>
        <v xml:space="preserve">0820105         </v>
      </c>
      <c r="C399" t="str">
        <f>Koond_kulud!C427</f>
        <v>Ulvi Raamatukogu</v>
      </c>
      <c r="D399" t="str">
        <f>Koond_kulud!D427</f>
        <v>Raamatukogud</v>
      </c>
      <c r="E399" t="str">
        <f>Koond_kulud!E427</f>
        <v>Vabaaeg, kultuur ja religioon</v>
      </c>
      <c r="F399" t="str">
        <f>Koond_kulud!F427</f>
        <v>Ulvi raamatukogu</v>
      </c>
      <c r="G399" t="str">
        <f>Koond_kulud!G427</f>
        <v>uus tööarvuti</v>
      </c>
      <c r="H399">
        <f>Koond_kulud!H427</f>
        <v>850</v>
      </c>
      <c r="I399" t="str">
        <f>Koond_kulud!I427</f>
        <v>arvuti vajab väljavahetamist</v>
      </c>
      <c r="J399">
        <f>Koond_kulud!J427</f>
        <v>5514</v>
      </c>
      <c r="K399" t="str">
        <f>Koond_kulud!K427</f>
        <v>Info- ja kommunikatsioonitehnoliigised kulud</v>
      </c>
      <c r="L399">
        <f>Koond_kulud!L427</f>
        <v>55</v>
      </c>
      <c r="M399" t="str">
        <f>Koond_kulud!M427</f>
        <v>55</v>
      </c>
      <c r="N399" t="str">
        <f>Koond_kulud!N427</f>
        <v>Muud tegevuskulud</v>
      </c>
      <c r="O399" t="str">
        <f>Koond_kulud!O427</f>
        <v>Majandamiskulud</v>
      </c>
      <c r="P399" t="str">
        <f>Koond_kulud!P427</f>
        <v>Põhitegevuse kulu</v>
      </c>
      <c r="Q399">
        <f>Koond_kulud!Q427</f>
        <v>0</v>
      </c>
    </row>
    <row r="400" spans="1:17" hidden="1" x14ac:dyDescent="0.25">
      <c r="A400" t="str">
        <f>Koond_kulud!A428</f>
        <v>08</v>
      </c>
      <c r="B400" t="str">
        <f>Koond_kulud!B428</f>
        <v xml:space="preserve">0820106         </v>
      </c>
      <c r="C400" t="str">
        <f>Koond_kulud!C428</f>
        <v>Laekvere Raamatukogu</v>
      </c>
      <c r="D400" t="str">
        <f>Koond_kulud!D428</f>
        <v>Raamatukogud</v>
      </c>
      <c r="E400" t="str">
        <f>Koond_kulud!E428</f>
        <v>Vabaaeg, kultuur ja religioon</v>
      </c>
      <c r="F400" t="str">
        <f>Koond_kulud!F428</f>
        <v>Laekvere raamatukogu</v>
      </c>
      <c r="G400" t="str">
        <f>Koond_kulud!G428</f>
        <v>bürootarbed, auhinnad-kingitused, telefon jne</v>
      </c>
      <c r="H400">
        <f>Koond_kulud!H428</f>
        <v>500</v>
      </c>
      <c r="I400">
        <f>Koond_kulud!I428</f>
        <v>0</v>
      </c>
      <c r="J400">
        <f>Koond_kulud!J428</f>
        <v>5500</v>
      </c>
      <c r="K400" t="str">
        <f>Koond_kulud!K428</f>
        <v>Administreerimiskulud</v>
      </c>
      <c r="L400">
        <f>Koond_kulud!L428</f>
        <v>55</v>
      </c>
      <c r="M400" t="str">
        <f>Koond_kulud!M428</f>
        <v>55</v>
      </c>
      <c r="N400" t="str">
        <f>Koond_kulud!N428</f>
        <v>Muud tegevuskulud</v>
      </c>
      <c r="O400" t="str">
        <f>Koond_kulud!O428</f>
        <v>Majandamiskulud</v>
      </c>
      <c r="P400" t="str">
        <f>Koond_kulud!P428</f>
        <v>Põhitegevuse kulu</v>
      </c>
      <c r="Q400">
        <f>Koond_kulud!Q428</f>
        <v>0</v>
      </c>
    </row>
    <row r="401" spans="1:17" hidden="1" x14ac:dyDescent="0.25">
      <c r="A401" t="str">
        <f>Koond_kulud!A429</f>
        <v>08</v>
      </c>
      <c r="B401" t="str">
        <f>Koond_kulud!B429</f>
        <v xml:space="preserve">0820106         </v>
      </c>
      <c r="C401" t="str">
        <f>Koond_kulud!C429</f>
        <v>Laekvere Raamatukogu</v>
      </c>
      <c r="D401" t="str">
        <f>Koond_kulud!D429</f>
        <v>Raamatukogud</v>
      </c>
      <c r="E401" t="str">
        <f>Koond_kulud!E429</f>
        <v>Vabaaeg, kultuur ja religioon</v>
      </c>
      <c r="F401" t="str">
        <f>Koond_kulud!F429</f>
        <v>Laekvere raamatukogu</v>
      </c>
      <c r="G401" t="str">
        <f>Koond_kulud!G429</f>
        <v xml:space="preserve">perioodika </v>
      </c>
      <c r="H401">
        <f>Koond_kulud!H429</f>
        <v>2000</v>
      </c>
      <c r="I401">
        <f>Koond_kulud!I429</f>
        <v>0</v>
      </c>
      <c r="J401">
        <f>Koond_kulud!J429</f>
        <v>5500</v>
      </c>
      <c r="K401" t="str">
        <f>Koond_kulud!K429</f>
        <v>Administreerimiskulud</v>
      </c>
      <c r="L401">
        <f>Koond_kulud!L429</f>
        <v>55</v>
      </c>
      <c r="M401" t="str">
        <f>Koond_kulud!M429</f>
        <v>55</v>
      </c>
      <c r="N401" t="str">
        <f>Koond_kulud!N429</f>
        <v>Muud tegevuskulud</v>
      </c>
      <c r="O401" t="str">
        <f>Koond_kulud!O429</f>
        <v>Majandamiskulud</v>
      </c>
      <c r="P401" t="str">
        <f>Koond_kulud!P429</f>
        <v>Põhitegevuse kulu</v>
      </c>
      <c r="Q401">
        <f>Koond_kulud!Q429</f>
        <v>0</v>
      </c>
    </row>
    <row r="402" spans="1:17" hidden="1" x14ac:dyDescent="0.25">
      <c r="A402" t="str">
        <f>Koond_kulud!A430</f>
        <v>08</v>
      </c>
      <c r="B402" t="str">
        <f>Koond_kulud!B430</f>
        <v xml:space="preserve">0820106         </v>
      </c>
      <c r="C402" t="str">
        <f>Koond_kulud!C430</f>
        <v>Laekvere Raamatukogu</v>
      </c>
      <c r="D402" t="str">
        <f>Koond_kulud!D430</f>
        <v>Raamatukogud</v>
      </c>
      <c r="E402" t="str">
        <f>Koond_kulud!E430</f>
        <v>Vabaaeg, kultuur ja religioon</v>
      </c>
      <c r="F402" t="str">
        <f>Koond_kulud!F430</f>
        <v>Laekvere raamatukogu</v>
      </c>
      <c r="G402" t="str">
        <f>Koond_kulud!G430</f>
        <v>Koolitused</v>
      </c>
      <c r="H402">
        <f>Koond_kulud!H430</f>
        <v>1000</v>
      </c>
      <c r="I402">
        <f>Koond_kulud!I430</f>
        <v>0</v>
      </c>
      <c r="J402">
        <f>Koond_kulud!J430</f>
        <v>5504</v>
      </c>
      <c r="K402" t="str">
        <f>Koond_kulud!K430</f>
        <v>Koolituskulud</v>
      </c>
      <c r="L402">
        <f>Koond_kulud!L430</f>
        <v>55</v>
      </c>
      <c r="M402" t="str">
        <f>Koond_kulud!M430</f>
        <v>55</v>
      </c>
      <c r="N402" t="str">
        <f>Koond_kulud!N430</f>
        <v>Muud tegevuskulud</v>
      </c>
      <c r="O402" t="str">
        <f>Koond_kulud!O430</f>
        <v>Majandamiskulud</v>
      </c>
      <c r="P402" t="str">
        <f>Koond_kulud!P430</f>
        <v>Põhitegevuse kulu</v>
      </c>
      <c r="Q402">
        <f>Koond_kulud!Q430</f>
        <v>0</v>
      </c>
    </row>
    <row r="403" spans="1:17" hidden="1" x14ac:dyDescent="0.25">
      <c r="A403" t="str">
        <f>Koond_kulud!A431</f>
        <v>08</v>
      </c>
      <c r="B403" t="str">
        <f>Koond_kulud!B431</f>
        <v xml:space="preserve">0820106         </v>
      </c>
      <c r="C403" t="str">
        <f>Koond_kulud!C431</f>
        <v>Laekvere Raamatukogu</v>
      </c>
      <c r="D403" t="str">
        <f>Koond_kulud!D431</f>
        <v>Raamatukogud</v>
      </c>
      <c r="E403" t="str">
        <f>Koond_kulud!E431</f>
        <v>Vabaaeg, kultuur ja religioon</v>
      </c>
      <c r="F403" t="str">
        <f>Koond_kulud!F431</f>
        <v>Laekvere raamatukogu</v>
      </c>
      <c r="G403" t="str">
        <f>Koond_kulud!G431</f>
        <v>Isiklikus sõiduauto komp.</v>
      </c>
      <c r="H403">
        <f>Koond_kulud!H431</f>
        <v>1000</v>
      </c>
      <c r="I403">
        <f>Koond_kulud!I431</f>
        <v>0</v>
      </c>
      <c r="J403">
        <f>Koond_kulud!J431</f>
        <v>5513</v>
      </c>
      <c r="K403" t="str">
        <f>Koond_kulud!K431</f>
        <v>Sõidukite ülalpidamise kulud</v>
      </c>
      <c r="L403">
        <f>Koond_kulud!L431</f>
        <v>55</v>
      </c>
      <c r="M403" t="str">
        <f>Koond_kulud!M431</f>
        <v>55</v>
      </c>
      <c r="N403" t="str">
        <f>Koond_kulud!N431</f>
        <v>Muud tegevuskulud</v>
      </c>
      <c r="O403" t="str">
        <f>Koond_kulud!O431</f>
        <v>Majandamiskulud</v>
      </c>
      <c r="P403" t="str">
        <f>Koond_kulud!P431</f>
        <v>Põhitegevuse kulu</v>
      </c>
      <c r="Q403">
        <f>Koond_kulud!Q431</f>
        <v>0</v>
      </c>
    </row>
    <row r="404" spans="1:17" hidden="1" x14ac:dyDescent="0.25">
      <c r="A404" t="str">
        <f>Koond_kulud!A432</f>
        <v>08</v>
      </c>
      <c r="B404" t="str">
        <f>Koond_kulud!B432</f>
        <v xml:space="preserve">0820106         </v>
      </c>
      <c r="C404" t="str">
        <f>Koond_kulud!C432</f>
        <v>Laekvere Raamatukogu</v>
      </c>
      <c r="D404" t="str">
        <f>Koond_kulud!D432</f>
        <v>Raamatukogud</v>
      </c>
      <c r="E404" t="str">
        <f>Koond_kulud!E432</f>
        <v>Vabaaeg, kultuur ja religioon</v>
      </c>
      <c r="F404" t="str">
        <f>Koond_kulud!F432</f>
        <v>Laekvere raamatukogu</v>
      </c>
      <c r="G404" t="str">
        <f>Koond_kulud!G432</f>
        <v>Inventar</v>
      </c>
      <c r="H404">
        <f>Koond_kulud!H432</f>
        <v>1019</v>
      </c>
      <c r="I404" t="str">
        <f>Koond_kulud!I432</f>
        <v>Konkreetselt planeerimata, võib tekkida vajadus riiulitele. Muugas võiks remontida olemasoleva nurgadiivani ( riidevahetus)</v>
      </c>
      <c r="J404">
        <f>Koond_kulud!J432</f>
        <v>5515</v>
      </c>
      <c r="K404" t="str">
        <f>Koond_kulud!K432</f>
        <v>Inventari kulud, v.a infotehnoloogia ja kaitseotstarbelised kulud</v>
      </c>
      <c r="L404">
        <f>Koond_kulud!L432</f>
        <v>55</v>
      </c>
      <c r="M404" t="str">
        <f>Koond_kulud!M432</f>
        <v>55</v>
      </c>
      <c r="N404" t="str">
        <f>Koond_kulud!N432</f>
        <v>Muud tegevuskulud</v>
      </c>
      <c r="O404" t="str">
        <f>Koond_kulud!O432</f>
        <v>Majandamiskulud</v>
      </c>
      <c r="P404" t="str">
        <f>Koond_kulud!P432</f>
        <v>Põhitegevuse kulu</v>
      </c>
      <c r="Q404">
        <f>Koond_kulud!Q432</f>
        <v>0</v>
      </c>
    </row>
    <row r="405" spans="1:17" hidden="1" x14ac:dyDescent="0.25">
      <c r="A405" t="str">
        <f>Koond_kulud!A433</f>
        <v>08</v>
      </c>
      <c r="B405" t="str">
        <f>Koond_kulud!B433</f>
        <v xml:space="preserve">0820106         </v>
      </c>
      <c r="C405" t="str">
        <f>Koond_kulud!C433</f>
        <v>Laekvere Raamatukogu</v>
      </c>
      <c r="D405" t="str">
        <f>Koond_kulud!D433</f>
        <v>Raamatukogud</v>
      </c>
      <c r="E405" t="str">
        <f>Koond_kulud!E433</f>
        <v>Vabaaeg, kultuur ja religioon</v>
      </c>
      <c r="F405" t="str">
        <f>Koond_kulud!F433</f>
        <v>Laekvere raamatukogu</v>
      </c>
      <c r="G405" t="str">
        <f>Koond_kulud!G433</f>
        <v>esmaabivahendid, prillihüvitis, gripivaktsiin, tervisekontroll</v>
      </c>
      <c r="H405">
        <f>Koond_kulud!H433</f>
        <v>500</v>
      </c>
      <c r="I405">
        <f>Koond_kulud!I433</f>
        <v>0</v>
      </c>
      <c r="J405">
        <f>Koond_kulud!J433</f>
        <v>5522</v>
      </c>
      <c r="K405" t="str">
        <f>Koond_kulud!K433</f>
        <v>Meditsiinikulud ja hügieenitarbed</v>
      </c>
      <c r="L405">
        <f>Koond_kulud!L433</f>
        <v>55</v>
      </c>
      <c r="M405" t="str">
        <f>Koond_kulud!M433</f>
        <v>55</v>
      </c>
      <c r="N405" t="str">
        <f>Koond_kulud!N433</f>
        <v>Muud tegevuskulud</v>
      </c>
      <c r="O405" t="str">
        <f>Koond_kulud!O433</f>
        <v>Majandamiskulud</v>
      </c>
      <c r="P405" t="str">
        <f>Koond_kulud!P433</f>
        <v>Põhitegevuse kulu</v>
      </c>
      <c r="Q405">
        <f>Koond_kulud!Q433</f>
        <v>0</v>
      </c>
    </row>
    <row r="406" spans="1:17" hidden="1" x14ac:dyDescent="0.25">
      <c r="A406" t="str">
        <f>Koond_kulud!A434</f>
        <v>08</v>
      </c>
      <c r="B406" t="str">
        <f>Koond_kulud!B434</f>
        <v xml:space="preserve">0820106         </v>
      </c>
      <c r="C406" t="str">
        <f>Koond_kulud!C434</f>
        <v>Laekvere Raamatukogu</v>
      </c>
      <c r="D406" t="str">
        <f>Koond_kulud!D434</f>
        <v>Raamatukogud</v>
      </c>
      <c r="E406" t="str">
        <f>Koond_kulud!E434</f>
        <v>Vabaaeg, kultuur ja religioon</v>
      </c>
      <c r="F406" t="str">
        <f>Koond_kulud!F434</f>
        <v>Laekvere raamatukogu</v>
      </c>
      <c r="G406" t="str">
        <f>Koond_kulud!G434</f>
        <v>Teavikud</v>
      </c>
      <c r="H406">
        <f>Koond_kulud!H434</f>
        <v>6500</v>
      </c>
      <c r="I406">
        <f>Koond_kulud!I434</f>
        <v>0</v>
      </c>
      <c r="J406">
        <f>Koond_kulud!J434</f>
        <v>5523</v>
      </c>
      <c r="K406" t="str">
        <f>Koond_kulud!K434</f>
        <v>Teavikud ja kunstiesemed</v>
      </c>
      <c r="L406">
        <f>Koond_kulud!L434</f>
        <v>55</v>
      </c>
      <c r="M406" t="str">
        <f>Koond_kulud!M434</f>
        <v>55</v>
      </c>
      <c r="N406" t="str">
        <f>Koond_kulud!N434</f>
        <v>Muud tegevuskulud</v>
      </c>
      <c r="O406" t="str">
        <f>Koond_kulud!O434</f>
        <v>Majandamiskulud</v>
      </c>
      <c r="P406" t="str">
        <f>Koond_kulud!P434</f>
        <v>Põhitegevuse kulu</v>
      </c>
      <c r="Q406">
        <f>Koond_kulud!Q434</f>
        <v>0</v>
      </c>
    </row>
    <row r="407" spans="1:17" hidden="1" x14ac:dyDescent="0.25">
      <c r="A407" t="str">
        <f>Koond_kulud!A435</f>
        <v>08</v>
      </c>
      <c r="B407" t="str">
        <f>Koond_kulud!B435</f>
        <v xml:space="preserve">0820106         </v>
      </c>
      <c r="C407" t="str">
        <f>Koond_kulud!C435</f>
        <v>Laekvere Raamatukogu</v>
      </c>
      <c r="D407" t="str">
        <f>Koond_kulud!D435</f>
        <v>Raamatukogud</v>
      </c>
      <c r="E407" t="str">
        <f>Koond_kulud!E435</f>
        <v>Vabaaeg, kultuur ja religioon</v>
      </c>
      <c r="F407" t="str">
        <f>Koond_kulud!F435</f>
        <v>Laekvere raamatukogu</v>
      </c>
      <c r="G407" t="str">
        <f>Koond_kulud!G435</f>
        <v>Kohtumised kirjanikuga rahvusvahelise lasteraamatupäeva tähistamiseks aprillis nii Muugas kui Laekveres</v>
      </c>
      <c r="H407">
        <f>Koond_kulud!H435</f>
        <v>250</v>
      </c>
      <c r="I407">
        <f>Koond_kulud!I435</f>
        <v>0</v>
      </c>
      <c r="J407">
        <f>Koond_kulud!J435</f>
        <v>5525</v>
      </c>
      <c r="K407" t="str">
        <f>Koond_kulud!K435</f>
        <v>Kommunikatsiooni-, kultuuri- ja vaba aja sisustamise kulud</v>
      </c>
      <c r="L407">
        <f>Koond_kulud!L435</f>
        <v>55</v>
      </c>
      <c r="M407" t="str">
        <f>Koond_kulud!M435</f>
        <v>55</v>
      </c>
      <c r="N407" t="str">
        <f>Koond_kulud!N435</f>
        <v>Muud tegevuskulud</v>
      </c>
      <c r="O407" t="str">
        <f>Koond_kulud!O435</f>
        <v>Majandamiskulud</v>
      </c>
      <c r="P407" t="str">
        <f>Koond_kulud!P435</f>
        <v>Põhitegevuse kulu</v>
      </c>
      <c r="Q407">
        <f>Koond_kulud!Q435</f>
        <v>0</v>
      </c>
    </row>
    <row r="408" spans="1:17" hidden="1" x14ac:dyDescent="0.25">
      <c r="A408" t="str">
        <f>Koond_kulud!A436</f>
        <v>08</v>
      </c>
      <c r="B408" t="str">
        <f>Koond_kulud!B436</f>
        <v xml:space="preserve">0820106         </v>
      </c>
      <c r="C408" t="str">
        <f>Koond_kulud!C436</f>
        <v>Laekvere Raamatukogu</v>
      </c>
      <c r="D408" t="str">
        <f>Koond_kulud!D436</f>
        <v>Raamatukogud</v>
      </c>
      <c r="E408" t="str">
        <f>Koond_kulud!E436</f>
        <v>Vabaaeg, kultuur ja religioon</v>
      </c>
      <c r="F408" t="str">
        <f>Koond_kulud!F436</f>
        <v>Laekvere raamatukogu</v>
      </c>
      <c r="G408" t="str">
        <f>Koond_kulud!G436</f>
        <v>Eduard Vilde 155. sünniaastapäeva tähistamine- Simuna kihelkonnakoolide ja Vinni valla õpilaste reisijuttude kirjutamise konkurss, konkursi lõpuüritus</v>
      </c>
      <c r="H408">
        <f>Koond_kulud!H436</f>
        <v>400</v>
      </c>
      <c r="I408">
        <f>Koond_kulud!I436</f>
        <v>0</v>
      </c>
      <c r="J408">
        <f>Koond_kulud!J436</f>
        <v>5525</v>
      </c>
      <c r="K408" t="str">
        <f>Koond_kulud!K436</f>
        <v>Kommunikatsiooni-, kultuuri- ja vaba aja sisustamise kulud</v>
      </c>
      <c r="L408">
        <f>Koond_kulud!L436</f>
        <v>55</v>
      </c>
      <c r="M408" t="str">
        <f>Koond_kulud!M436</f>
        <v>55</v>
      </c>
      <c r="N408" t="str">
        <f>Koond_kulud!N436</f>
        <v>Muud tegevuskulud</v>
      </c>
      <c r="O408" t="str">
        <f>Koond_kulud!O436</f>
        <v>Majandamiskulud</v>
      </c>
      <c r="P408" t="str">
        <f>Koond_kulud!P436</f>
        <v>Põhitegevuse kulu</v>
      </c>
      <c r="Q408">
        <f>Koond_kulud!Q436</f>
        <v>0</v>
      </c>
    </row>
    <row r="409" spans="1:17" hidden="1" x14ac:dyDescent="0.25">
      <c r="A409" t="str">
        <f>Koond_kulud!A437</f>
        <v>08</v>
      </c>
      <c r="B409" t="str">
        <f>Koond_kulud!B437</f>
        <v xml:space="preserve">0820106         </v>
      </c>
      <c r="C409" t="str">
        <f>Koond_kulud!C437</f>
        <v>Laekvere Raamatukogu</v>
      </c>
      <c r="D409" t="str">
        <f>Koond_kulud!D437</f>
        <v>Raamatukogud</v>
      </c>
      <c r="E409" t="str">
        <f>Koond_kulud!E437</f>
        <v>Vabaaeg, kultuur ja religioon</v>
      </c>
      <c r="F409" t="str">
        <f>Koond_kulud!F437</f>
        <v>Laekvere raamatukogu</v>
      </c>
      <c r="G409" t="str">
        <f>Koond_kulud!G437</f>
        <v xml:space="preserve">Raamatukogupäevade üritused, TÕN üritused </v>
      </c>
      <c r="H409">
        <f>Koond_kulud!H437</f>
        <v>150</v>
      </c>
      <c r="I409">
        <f>Koond_kulud!I437</f>
        <v>0</v>
      </c>
      <c r="J409">
        <f>Koond_kulud!J437</f>
        <v>5525</v>
      </c>
      <c r="K409" t="str">
        <f>Koond_kulud!K437</f>
        <v>Kommunikatsiooni-, kultuuri- ja vaba aja sisustamise kulud</v>
      </c>
      <c r="L409">
        <f>Koond_kulud!L437</f>
        <v>55</v>
      </c>
      <c r="M409" t="str">
        <f>Koond_kulud!M437</f>
        <v>55</v>
      </c>
      <c r="N409" t="str">
        <f>Koond_kulud!N437</f>
        <v>Muud tegevuskulud</v>
      </c>
      <c r="O409" t="str">
        <f>Koond_kulud!O437</f>
        <v>Majandamiskulud</v>
      </c>
      <c r="P409" t="str">
        <f>Koond_kulud!P437</f>
        <v>Põhitegevuse kulu</v>
      </c>
      <c r="Q409">
        <f>Koond_kulud!Q437</f>
        <v>0</v>
      </c>
    </row>
    <row r="410" spans="1:17" hidden="1" x14ac:dyDescent="0.25">
      <c r="A410" t="str">
        <f>Koond_kulud!A438</f>
        <v>08</v>
      </c>
      <c r="B410" t="str">
        <f>Koond_kulud!B438</f>
        <v xml:space="preserve">0820106         </v>
      </c>
      <c r="C410" t="str">
        <f>Koond_kulud!C438</f>
        <v>Laekvere Raamatukogu</v>
      </c>
      <c r="D410" t="str">
        <f>Koond_kulud!D438</f>
        <v>Raamatukogud</v>
      </c>
      <c r="E410" t="str">
        <f>Koond_kulud!E438</f>
        <v>Vabaaeg, kultuur ja religioon</v>
      </c>
      <c r="F410" t="str">
        <f>Koond_kulud!F438</f>
        <v>Laekvere raamatukogu</v>
      </c>
      <c r="G410" t="str">
        <f>Koond_kulud!G438</f>
        <v xml:space="preserve">Karneval Muuga mõisas novembris Muuga- Laekvere Kooli algklasside lastele </v>
      </c>
      <c r="H410">
        <f>Koond_kulud!H438</f>
        <v>150</v>
      </c>
      <c r="I410">
        <f>Koond_kulud!I438</f>
        <v>0</v>
      </c>
      <c r="J410">
        <f>Koond_kulud!J438</f>
        <v>5525</v>
      </c>
      <c r="K410" t="str">
        <f>Koond_kulud!K438</f>
        <v>Kommunikatsiooni-, kultuuri- ja vaba aja sisustamise kulud</v>
      </c>
      <c r="L410">
        <f>Koond_kulud!L438</f>
        <v>55</v>
      </c>
      <c r="M410" t="str">
        <f>Koond_kulud!M438</f>
        <v>55</v>
      </c>
      <c r="N410" t="str">
        <f>Koond_kulud!N438</f>
        <v>Muud tegevuskulud</v>
      </c>
      <c r="O410" t="str">
        <f>Koond_kulud!O438</f>
        <v>Majandamiskulud</v>
      </c>
      <c r="P410" t="str">
        <f>Koond_kulud!P438</f>
        <v>Põhitegevuse kulu</v>
      </c>
      <c r="Q410">
        <f>Koond_kulud!Q438</f>
        <v>0</v>
      </c>
    </row>
    <row r="411" spans="1:17" hidden="1" x14ac:dyDescent="0.25">
      <c r="A411" t="str">
        <f>Koond_kulud!A439</f>
        <v>08</v>
      </c>
      <c r="B411" t="str">
        <f>Koond_kulud!B439</f>
        <v xml:space="preserve">0820106         </v>
      </c>
      <c r="C411" t="str">
        <f>Koond_kulud!C439</f>
        <v>Laekvere Raamatukogu</v>
      </c>
      <c r="D411" t="str">
        <f>Koond_kulud!D439</f>
        <v>Raamatukogud</v>
      </c>
      <c r="E411" t="str">
        <f>Koond_kulud!E439</f>
        <v>Vabaaeg, kultuur ja religioon</v>
      </c>
      <c r="F411" t="str">
        <f>Koond_kulud!F439</f>
        <v>Laekvere raamatukogu</v>
      </c>
      <c r="G411" t="str">
        <f>Koond_kulud!G439</f>
        <v>muud planeerimata üritused</v>
      </c>
      <c r="H411">
        <f>Koond_kulud!H439</f>
        <v>200</v>
      </c>
      <c r="I411">
        <f>Koond_kulud!I439</f>
        <v>0</v>
      </c>
      <c r="J411">
        <f>Koond_kulud!J439</f>
        <v>5525</v>
      </c>
      <c r="K411" t="str">
        <f>Koond_kulud!K439</f>
        <v>Kommunikatsiooni-, kultuuri- ja vaba aja sisustamise kulud</v>
      </c>
      <c r="L411">
        <f>Koond_kulud!L439</f>
        <v>55</v>
      </c>
      <c r="M411" t="str">
        <f>Koond_kulud!M439</f>
        <v>55</v>
      </c>
      <c r="N411" t="str">
        <f>Koond_kulud!N439</f>
        <v>Muud tegevuskulud</v>
      </c>
      <c r="O411" t="str">
        <f>Koond_kulud!O439</f>
        <v>Majandamiskulud</v>
      </c>
      <c r="P411" t="str">
        <f>Koond_kulud!P439</f>
        <v>Põhitegevuse kulu</v>
      </c>
      <c r="Q411">
        <f>Koond_kulud!Q439</f>
        <v>0</v>
      </c>
    </row>
    <row r="412" spans="1:17" hidden="1" x14ac:dyDescent="0.25">
      <c r="A412" t="str">
        <f>Koond_kulud!A440</f>
        <v>08</v>
      </c>
      <c r="B412" t="str">
        <f>Koond_kulud!B440</f>
        <v xml:space="preserve">0820106         </v>
      </c>
      <c r="C412" t="str">
        <f>Koond_kulud!C440</f>
        <v>Laekvere Raamatukogu</v>
      </c>
      <c r="D412" t="str">
        <f>Koond_kulud!D440</f>
        <v>Raamatukogud</v>
      </c>
      <c r="E412" t="str">
        <f>Koond_kulud!E440</f>
        <v>Vabaaeg, kultuur ja religioon</v>
      </c>
      <c r="F412" t="str">
        <f>Koond_kulud!F440</f>
        <v>Laekvere raamatukogu</v>
      </c>
      <c r="G412" t="str">
        <f>Koond_kulud!G440</f>
        <v>puhastus- ja korrashoiuvahendid</v>
      </c>
      <c r="H412">
        <f>Koond_kulud!H440</f>
        <v>250</v>
      </c>
      <c r="I412">
        <f>Koond_kulud!I440</f>
        <v>0</v>
      </c>
      <c r="J412">
        <f>Koond_kulud!J440</f>
        <v>5511</v>
      </c>
      <c r="K412" t="str">
        <f>Koond_kulud!K440</f>
        <v>Kinnistute, hoonete ja ruumide majandamiskulud</v>
      </c>
      <c r="L412">
        <f>Koond_kulud!L440</f>
        <v>55</v>
      </c>
      <c r="M412" t="str">
        <f>Koond_kulud!M440</f>
        <v>55</v>
      </c>
      <c r="N412" t="str">
        <f>Koond_kulud!N440</f>
        <v>Muud tegevuskulud</v>
      </c>
      <c r="O412" t="str">
        <f>Koond_kulud!O440</f>
        <v>Majandamiskulud</v>
      </c>
      <c r="P412" t="str">
        <f>Koond_kulud!P440</f>
        <v>Põhitegevuse kulu</v>
      </c>
      <c r="Q412">
        <f>Koond_kulud!Q440</f>
        <v>0</v>
      </c>
    </row>
    <row r="413" spans="1:17" hidden="1" x14ac:dyDescent="0.25">
      <c r="A413" t="str">
        <f>Koond_kulud!A441</f>
        <v>08</v>
      </c>
      <c r="B413" t="str">
        <f>Koond_kulud!B441</f>
        <v xml:space="preserve">0820106         </v>
      </c>
      <c r="C413" t="str">
        <f>Koond_kulud!C441</f>
        <v>Laekvere Raamatukogu</v>
      </c>
      <c r="D413" t="str">
        <f>Koond_kulud!D441</f>
        <v>Raamatukogud</v>
      </c>
      <c r="E413" t="str">
        <f>Koond_kulud!E441</f>
        <v>Vabaaeg, kultuur ja religioon</v>
      </c>
      <c r="F413" t="str">
        <f>Koond_kulud!F441</f>
        <v>Laekvere raamatukogu</v>
      </c>
      <c r="G413" t="str">
        <f>Koond_kulud!G441</f>
        <v>Urrami hooldus ja arendus</v>
      </c>
      <c r="H413">
        <f>Koond_kulud!H441</f>
        <v>250</v>
      </c>
      <c r="I413">
        <f>Koond_kulud!I441</f>
        <v>0</v>
      </c>
      <c r="J413">
        <f>Koond_kulud!J441</f>
        <v>5514</v>
      </c>
      <c r="K413" t="str">
        <f>Koond_kulud!K441</f>
        <v>Info- ja kommunikatsioonitehnoliigised kulud</v>
      </c>
      <c r="L413">
        <f>Koond_kulud!L441</f>
        <v>55</v>
      </c>
      <c r="M413" t="str">
        <f>Koond_kulud!M441</f>
        <v>55</v>
      </c>
      <c r="N413" t="str">
        <f>Koond_kulud!N441</f>
        <v>Muud tegevuskulud</v>
      </c>
      <c r="O413" t="str">
        <f>Koond_kulud!O441</f>
        <v>Majandamiskulud</v>
      </c>
      <c r="P413" t="str">
        <f>Koond_kulud!P441</f>
        <v>Põhitegevuse kulu</v>
      </c>
      <c r="Q413">
        <f>Koond_kulud!Q441</f>
        <v>0</v>
      </c>
    </row>
    <row r="414" spans="1:17" hidden="1" x14ac:dyDescent="0.25">
      <c r="A414" t="str">
        <f>Koond_kulud!A442</f>
        <v>08</v>
      </c>
      <c r="B414" t="str">
        <f>Koond_kulud!B442</f>
        <v xml:space="preserve">0820106         </v>
      </c>
      <c r="C414" t="str">
        <f>Koond_kulud!C442</f>
        <v>Laekvere Raamatukogu</v>
      </c>
      <c r="D414" t="str">
        <f>Koond_kulud!D442</f>
        <v>Raamatukogud</v>
      </c>
      <c r="E414" t="str">
        <f>Koond_kulud!E442</f>
        <v>Vabaaeg, kultuur ja religioon</v>
      </c>
      <c r="F414" t="str">
        <f>Koond_kulud!F442</f>
        <v>Laekvere raamatukogu</v>
      </c>
      <c r="G414" t="str">
        <f>Koond_kulud!G442</f>
        <v>remondi- ja hooldusteenused</v>
      </c>
      <c r="H414">
        <f>Koond_kulud!H442</f>
        <v>1050</v>
      </c>
      <c r="I414">
        <f>Koond_kulud!I442</f>
        <v>0</v>
      </c>
      <c r="J414">
        <f>Koond_kulud!J442</f>
        <v>5514</v>
      </c>
      <c r="K414" t="str">
        <f>Koond_kulud!K442</f>
        <v>Info- ja kommunikatsioonitehnoliigised kulud</v>
      </c>
      <c r="L414">
        <f>Koond_kulud!L442</f>
        <v>55</v>
      </c>
      <c r="M414" t="str">
        <f>Koond_kulud!M442</f>
        <v>55</v>
      </c>
      <c r="N414" t="str">
        <f>Koond_kulud!N442</f>
        <v>Muud tegevuskulud</v>
      </c>
      <c r="O414" t="str">
        <f>Koond_kulud!O442</f>
        <v>Majandamiskulud</v>
      </c>
      <c r="P414" t="str">
        <f>Koond_kulud!P442</f>
        <v>Põhitegevuse kulu</v>
      </c>
      <c r="Q414">
        <f>Koond_kulud!Q442</f>
        <v>0</v>
      </c>
    </row>
    <row r="415" spans="1:17" hidden="1" x14ac:dyDescent="0.25">
      <c r="A415" t="str">
        <f>Koond_kulud!A443</f>
        <v>08</v>
      </c>
      <c r="B415" t="str">
        <f>Koond_kulud!B443</f>
        <v xml:space="preserve">0820106         </v>
      </c>
      <c r="C415" t="str">
        <f>Koond_kulud!C443</f>
        <v>Laekvere Raamatukogu</v>
      </c>
      <c r="D415" t="str">
        <f>Koond_kulud!D443</f>
        <v>Raamatukogud</v>
      </c>
      <c r="E415" t="str">
        <f>Koond_kulud!E443</f>
        <v>Vabaaeg, kultuur ja religioon</v>
      </c>
      <c r="F415" t="str">
        <f>Koond_kulud!F443</f>
        <v>Muuga raamatukogu</v>
      </c>
      <c r="G415" t="str">
        <f>Koond_kulud!G443</f>
        <v xml:space="preserve">perioodika </v>
      </c>
      <c r="H415">
        <f>Koond_kulud!H443</f>
        <v>1700</v>
      </c>
      <c r="I415">
        <f>Koond_kulud!I443</f>
        <v>0</v>
      </c>
      <c r="J415">
        <f>Koond_kulud!J443</f>
        <v>5500</v>
      </c>
      <c r="K415" t="str">
        <f>Koond_kulud!K443</f>
        <v>Administreerimiskulud</v>
      </c>
      <c r="L415">
        <f>Koond_kulud!L443</f>
        <v>55</v>
      </c>
      <c r="M415" t="str">
        <f>Koond_kulud!M443</f>
        <v>55</v>
      </c>
      <c r="N415" t="str">
        <f>Koond_kulud!N443</f>
        <v>Muud tegevuskulud</v>
      </c>
      <c r="O415" t="str">
        <f>Koond_kulud!O443</f>
        <v>Majandamiskulud</v>
      </c>
      <c r="P415" t="str">
        <f>Koond_kulud!P443</f>
        <v>Põhitegevuse kulu</v>
      </c>
      <c r="Q415">
        <f>Koond_kulud!Q443</f>
        <v>0</v>
      </c>
    </row>
    <row r="416" spans="1:17" hidden="1" x14ac:dyDescent="0.25">
      <c r="A416" t="str">
        <f>Koond_kulud!A444</f>
        <v>08</v>
      </c>
      <c r="B416" t="str">
        <f>Koond_kulud!B444</f>
        <v xml:space="preserve">0820106         </v>
      </c>
      <c r="C416" t="str">
        <f>Koond_kulud!C444</f>
        <v>Laekvere Raamatukogu</v>
      </c>
      <c r="D416" t="str">
        <f>Koond_kulud!D444</f>
        <v>Raamatukogud</v>
      </c>
      <c r="E416" t="str">
        <f>Koond_kulud!E444</f>
        <v>Vabaaeg, kultuur ja religioon</v>
      </c>
      <c r="F416" t="str">
        <f>Koond_kulud!F444</f>
        <v>Muuga raamatukogu</v>
      </c>
      <c r="G416" t="str">
        <f>Koond_kulud!G444</f>
        <v>Teavikud</v>
      </c>
      <c r="H416">
        <f>Koond_kulud!H444</f>
        <v>4500</v>
      </c>
      <c r="I416">
        <f>Koond_kulud!I444</f>
        <v>0</v>
      </c>
      <c r="J416">
        <f>Koond_kulud!J444</f>
        <v>5523</v>
      </c>
      <c r="K416" t="str">
        <f>Koond_kulud!K444</f>
        <v>Teavikud ja kunstiesemed</v>
      </c>
      <c r="L416">
        <f>Koond_kulud!L444</f>
        <v>55</v>
      </c>
      <c r="M416" t="str">
        <f>Koond_kulud!M444</f>
        <v>55</v>
      </c>
      <c r="N416" t="str">
        <f>Koond_kulud!N444</f>
        <v>Muud tegevuskulud</v>
      </c>
      <c r="O416" t="str">
        <f>Koond_kulud!O444</f>
        <v>Majandamiskulud</v>
      </c>
      <c r="P416" t="str">
        <f>Koond_kulud!P444</f>
        <v>Põhitegevuse kulu</v>
      </c>
      <c r="Q416">
        <f>Koond_kulud!Q444</f>
        <v>0</v>
      </c>
    </row>
    <row r="417" spans="1:17" hidden="1" x14ac:dyDescent="0.25">
      <c r="A417" t="str">
        <f>Koond_kulud!A445</f>
        <v>08</v>
      </c>
      <c r="B417" t="str">
        <f>Koond_kulud!B445</f>
        <v xml:space="preserve">0820106         </v>
      </c>
      <c r="C417" t="str">
        <f>Koond_kulud!C445</f>
        <v>Laekvere Raamatukogu</v>
      </c>
      <c r="D417" t="str">
        <f>Koond_kulud!D445</f>
        <v>Raamatukogud</v>
      </c>
      <c r="E417" t="str">
        <f>Koond_kulud!E445</f>
        <v>Vabaaeg, kultuur ja religioon</v>
      </c>
      <c r="F417" t="str">
        <f>Koond_kulud!F445</f>
        <v>Muuga raamatukogu</v>
      </c>
      <c r="G417" t="str">
        <f>Koond_kulud!G445</f>
        <v>Kohtumised kirjanikuga rahvusvahelise lasteraamatupäeva tähistamiseks aprillis nii Muugas kui Laekveres</v>
      </c>
      <c r="H417">
        <f>Koond_kulud!H445</f>
        <v>250</v>
      </c>
      <c r="I417">
        <f>Koond_kulud!I445</f>
        <v>0</v>
      </c>
      <c r="J417">
        <f>Koond_kulud!J445</f>
        <v>5525</v>
      </c>
      <c r="K417" t="str">
        <f>Koond_kulud!K445</f>
        <v>Kommunikatsiooni-, kultuuri- ja vaba aja sisustamise kulud</v>
      </c>
      <c r="L417">
        <f>Koond_kulud!L445</f>
        <v>55</v>
      </c>
      <c r="M417" t="str">
        <f>Koond_kulud!M445</f>
        <v>55</v>
      </c>
      <c r="N417" t="str">
        <f>Koond_kulud!N445</f>
        <v>Muud tegevuskulud</v>
      </c>
      <c r="O417" t="str">
        <f>Koond_kulud!O445</f>
        <v>Majandamiskulud</v>
      </c>
      <c r="P417" t="str">
        <f>Koond_kulud!P445</f>
        <v>Põhitegevuse kulu</v>
      </c>
      <c r="Q417">
        <f>Koond_kulud!Q445</f>
        <v>0</v>
      </c>
    </row>
    <row r="418" spans="1:17" hidden="1" x14ac:dyDescent="0.25">
      <c r="A418" t="str">
        <f>Koond_kulud!A446</f>
        <v>08</v>
      </c>
      <c r="B418" t="str">
        <f>Koond_kulud!B446</f>
        <v xml:space="preserve">0820106         </v>
      </c>
      <c r="C418" t="str">
        <f>Koond_kulud!C446</f>
        <v>Laekvere Raamatukogu</v>
      </c>
      <c r="D418" t="str">
        <f>Koond_kulud!D446</f>
        <v>Raamatukogud</v>
      </c>
      <c r="E418" t="str">
        <f>Koond_kulud!E446</f>
        <v>Vabaaeg, kultuur ja religioon</v>
      </c>
      <c r="F418" t="str">
        <f>Koond_kulud!F446</f>
        <v>Muuga raamatukogu</v>
      </c>
      <c r="G418" t="str">
        <f>Koond_kulud!G446</f>
        <v xml:space="preserve">Raamatukoguöö märts-aprill Muugas </v>
      </c>
      <c r="H418">
        <f>Koond_kulud!H446</f>
        <v>250</v>
      </c>
      <c r="I418">
        <f>Koond_kulud!I446</f>
        <v>0</v>
      </c>
      <c r="J418">
        <f>Koond_kulud!J446</f>
        <v>5525</v>
      </c>
      <c r="K418" t="str">
        <f>Koond_kulud!K446</f>
        <v>Kommunikatsiooni-, kultuuri- ja vaba aja sisustamise kulud</v>
      </c>
      <c r="L418">
        <f>Koond_kulud!L446</f>
        <v>55</v>
      </c>
      <c r="M418" t="str">
        <f>Koond_kulud!M446</f>
        <v>55</v>
      </c>
      <c r="N418" t="str">
        <f>Koond_kulud!N446</f>
        <v>Muud tegevuskulud</v>
      </c>
      <c r="O418" t="str">
        <f>Koond_kulud!O446</f>
        <v>Majandamiskulud</v>
      </c>
      <c r="P418" t="str">
        <f>Koond_kulud!P446</f>
        <v>Põhitegevuse kulu</v>
      </c>
      <c r="Q418">
        <f>Koond_kulud!Q446</f>
        <v>0</v>
      </c>
    </row>
    <row r="419" spans="1:17" hidden="1" x14ac:dyDescent="0.25">
      <c r="A419" t="str">
        <f>Koond_kulud!A447</f>
        <v>08</v>
      </c>
      <c r="B419" t="str">
        <f>Koond_kulud!B447</f>
        <v xml:space="preserve">0820106         </v>
      </c>
      <c r="C419" t="str">
        <f>Koond_kulud!C447</f>
        <v>Laekvere Raamatukogu</v>
      </c>
      <c r="D419" t="str">
        <f>Koond_kulud!D447</f>
        <v>Raamatukogud</v>
      </c>
      <c r="E419" t="str">
        <f>Koond_kulud!E447</f>
        <v>Vabaaeg, kultuur ja religioon</v>
      </c>
      <c r="F419" t="str">
        <f>Koond_kulud!F447</f>
        <v>Muuga raamatukogu</v>
      </c>
      <c r="G419" t="str">
        <f>Koond_kulud!G447</f>
        <v xml:space="preserve">Raamatukogupäevade üritused, TÕN üritused </v>
      </c>
      <c r="H419">
        <f>Koond_kulud!H447</f>
        <v>150</v>
      </c>
      <c r="I419">
        <f>Koond_kulud!I447</f>
        <v>0</v>
      </c>
      <c r="J419">
        <f>Koond_kulud!J447</f>
        <v>5525</v>
      </c>
      <c r="K419" t="str">
        <f>Koond_kulud!K447</f>
        <v>Kommunikatsiooni-, kultuuri- ja vaba aja sisustamise kulud</v>
      </c>
      <c r="L419">
        <f>Koond_kulud!L447</f>
        <v>55</v>
      </c>
      <c r="M419" t="str">
        <f>Koond_kulud!M447</f>
        <v>55</v>
      </c>
      <c r="N419" t="str">
        <f>Koond_kulud!N447</f>
        <v>Muud tegevuskulud</v>
      </c>
      <c r="O419" t="str">
        <f>Koond_kulud!O447</f>
        <v>Majandamiskulud</v>
      </c>
      <c r="P419" t="str">
        <f>Koond_kulud!P447</f>
        <v>Põhitegevuse kulu</v>
      </c>
      <c r="Q419">
        <f>Koond_kulud!Q447</f>
        <v>0</v>
      </c>
    </row>
    <row r="420" spans="1:17" hidden="1" x14ac:dyDescent="0.25">
      <c r="A420" t="str">
        <f>Koond_kulud!A448</f>
        <v>08</v>
      </c>
      <c r="B420" t="str">
        <f>Koond_kulud!B448</f>
        <v xml:space="preserve">0820106         </v>
      </c>
      <c r="C420" t="str">
        <f>Koond_kulud!C448</f>
        <v>Laekvere Raamatukogu</v>
      </c>
      <c r="D420" t="str">
        <f>Koond_kulud!D448</f>
        <v>Raamatukogud</v>
      </c>
      <c r="E420" t="str">
        <f>Koond_kulud!E448</f>
        <v>Vabaaeg, kultuur ja religioon</v>
      </c>
      <c r="F420" t="str">
        <f>Koond_kulud!F448</f>
        <v>Muuga raamatukogu</v>
      </c>
      <c r="G420" t="str">
        <f>Koond_kulud!G448</f>
        <v>puhastus- ja korrashoiuvahendid</v>
      </c>
      <c r="H420">
        <f>Koond_kulud!H448</f>
        <v>250</v>
      </c>
      <c r="I420">
        <f>Koond_kulud!I448</f>
        <v>0</v>
      </c>
      <c r="J420">
        <f>Koond_kulud!J448</f>
        <v>5511</v>
      </c>
      <c r="K420" t="str">
        <f>Koond_kulud!K448</f>
        <v>Kinnistute, hoonete ja ruumide majandamiskulud</v>
      </c>
      <c r="L420">
        <f>Koond_kulud!L448</f>
        <v>55</v>
      </c>
      <c r="M420" t="str">
        <f>Koond_kulud!M448</f>
        <v>55</v>
      </c>
      <c r="N420" t="str">
        <f>Koond_kulud!N448</f>
        <v>Muud tegevuskulud</v>
      </c>
      <c r="O420" t="str">
        <f>Koond_kulud!O448</f>
        <v>Majandamiskulud</v>
      </c>
      <c r="P420" t="str">
        <f>Koond_kulud!P448</f>
        <v>Põhitegevuse kulu</v>
      </c>
      <c r="Q420">
        <f>Koond_kulud!Q448</f>
        <v>0</v>
      </c>
    </row>
    <row r="421" spans="1:17" hidden="1" x14ac:dyDescent="0.25">
      <c r="A421" t="str">
        <f>Koond_kulud!A449</f>
        <v>08</v>
      </c>
      <c r="B421" t="str">
        <f>Koond_kulud!B449</f>
        <v xml:space="preserve">0820106         </v>
      </c>
      <c r="C421" t="str">
        <f>Koond_kulud!C449</f>
        <v>Laekvere Raamatukogu</v>
      </c>
      <c r="D421" t="str">
        <f>Koond_kulud!D449</f>
        <v>Raamatukogud</v>
      </c>
      <c r="E421" t="str">
        <f>Koond_kulud!E449</f>
        <v>Vabaaeg, kultuur ja religioon</v>
      </c>
      <c r="F421" t="str">
        <f>Koond_kulud!F449</f>
        <v>Muuga raamatukogu</v>
      </c>
      <c r="G421" t="str">
        <f>Koond_kulud!G449</f>
        <v>korstnapühkimisteenus</v>
      </c>
      <c r="H421">
        <f>Koond_kulud!H449</f>
        <v>200</v>
      </c>
      <c r="I421">
        <f>Koond_kulud!I449</f>
        <v>0</v>
      </c>
      <c r="J421">
        <f>Koond_kulud!J449</f>
        <v>5511</v>
      </c>
      <c r="K421" t="str">
        <f>Koond_kulud!K449</f>
        <v>Kinnistute, hoonete ja ruumide majandamiskulud</v>
      </c>
      <c r="L421">
        <f>Koond_kulud!L449</f>
        <v>55</v>
      </c>
      <c r="M421" t="str">
        <f>Koond_kulud!M449</f>
        <v>55</v>
      </c>
      <c r="N421" t="str">
        <f>Koond_kulud!N449</f>
        <v>Muud tegevuskulud</v>
      </c>
      <c r="O421" t="str">
        <f>Koond_kulud!O449</f>
        <v>Majandamiskulud</v>
      </c>
      <c r="P421" t="str">
        <f>Koond_kulud!P449</f>
        <v>Põhitegevuse kulu</v>
      </c>
      <c r="Q421">
        <f>Koond_kulud!Q449</f>
        <v>0</v>
      </c>
    </row>
    <row r="422" spans="1:17" hidden="1" x14ac:dyDescent="0.25">
      <c r="A422" t="str">
        <f>Koond_kulud!A450</f>
        <v>08</v>
      </c>
      <c r="B422" t="str">
        <f>Koond_kulud!B450</f>
        <v xml:space="preserve">0820106         </v>
      </c>
      <c r="C422" t="str">
        <f>Koond_kulud!C450</f>
        <v>Laekvere Raamatukogu</v>
      </c>
      <c r="D422" t="str">
        <f>Koond_kulud!D450</f>
        <v>Raamatukogud</v>
      </c>
      <c r="E422" t="str">
        <f>Koond_kulud!E450</f>
        <v>Vabaaeg, kultuur ja religioon</v>
      </c>
      <c r="F422" t="str">
        <f>Koond_kulud!F450</f>
        <v>Muuga raamatukogu</v>
      </c>
      <c r="G422" t="str">
        <f>Koond_kulud!G450</f>
        <v>Urrami hooldus ja arendus</v>
      </c>
      <c r="H422">
        <f>Koond_kulud!H450</f>
        <v>250</v>
      </c>
      <c r="I422">
        <f>Koond_kulud!I450</f>
        <v>0</v>
      </c>
      <c r="J422">
        <f>Koond_kulud!J450</f>
        <v>5514</v>
      </c>
      <c r="K422" t="str">
        <f>Koond_kulud!K450</f>
        <v>Info- ja kommunikatsioonitehnoliigised kulud</v>
      </c>
      <c r="L422">
        <f>Koond_kulud!L450</f>
        <v>55</v>
      </c>
      <c r="M422" t="str">
        <f>Koond_kulud!M450</f>
        <v>55</v>
      </c>
      <c r="N422" t="str">
        <f>Koond_kulud!N450</f>
        <v>Muud tegevuskulud</v>
      </c>
      <c r="O422" t="str">
        <f>Koond_kulud!O450</f>
        <v>Majandamiskulud</v>
      </c>
      <c r="P422" t="str">
        <f>Koond_kulud!P450</f>
        <v>Põhitegevuse kulu</v>
      </c>
      <c r="Q422">
        <f>Koond_kulud!Q450</f>
        <v>0</v>
      </c>
    </row>
    <row r="423" spans="1:17" hidden="1" x14ac:dyDescent="0.25">
      <c r="A423" t="str">
        <f>Koond_kulud!A451</f>
        <v>08</v>
      </c>
      <c r="B423" t="str">
        <f>Koond_kulud!B451</f>
        <v xml:space="preserve">0820106         </v>
      </c>
      <c r="C423" t="str">
        <f>Koond_kulud!C451</f>
        <v>Laekvere Raamatukogu</v>
      </c>
      <c r="D423" t="str">
        <f>Koond_kulud!D451</f>
        <v>Raamatukogud</v>
      </c>
      <c r="E423" t="str">
        <f>Koond_kulud!E451</f>
        <v>Vabaaeg, kultuur ja religioon</v>
      </c>
      <c r="F423" t="str">
        <f>Koond_kulud!F451</f>
        <v>Muuga raamatukogu</v>
      </c>
      <c r="G423" t="str">
        <f>Koond_kulud!G451</f>
        <v xml:space="preserve">Luminor liising Muuga 2 arvutit </v>
      </c>
      <c r="H423">
        <f>Koond_kulud!H451</f>
        <v>1200</v>
      </c>
      <c r="I423">
        <f>Koond_kulud!I451</f>
        <v>0</v>
      </c>
      <c r="J423">
        <f>Koond_kulud!J451</f>
        <v>5514</v>
      </c>
      <c r="K423" t="str">
        <f>Koond_kulud!K451</f>
        <v>Info- ja kommunikatsioonitehnoliigised kulud</v>
      </c>
      <c r="L423">
        <f>Koond_kulud!L451</f>
        <v>55</v>
      </c>
      <c r="M423" t="str">
        <f>Koond_kulud!M451</f>
        <v>55</v>
      </c>
      <c r="N423" t="str">
        <f>Koond_kulud!N451</f>
        <v>Muud tegevuskulud</v>
      </c>
      <c r="O423" t="str">
        <f>Koond_kulud!O451</f>
        <v>Majandamiskulud</v>
      </c>
      <c r="P423" t="str">
        <f>Koond_kulud!P451</f>
        <v>Põhitegevuse kulu</v>
      </c>
      <c r="Q423">
        <f>Koond_kulud!Q451</f>
        <v>0</v>
      </c>
    </row>
    <row r="424" spans="1:17" hidden="1" x14ac:dyDescent="0.25">
      <c r="A424" t="str">
        <f>Koond_kulud!A452</f>
        <v>08</v>
      </c>
      <c r="B424" t="str">
        <f>Koond_kulud!B452</f>
        <v xml:space="preserve">0820106         </v>
      </c>
      <c r="C424" t="str">
        <f>Koond_kulud!C452</f>
        <v>Laekvere Raamatukogu</v>
      </c>
      <c r="D424" t="str">
        <f>Koond_kulud!D452</f>
        <v>Raamatukogud</v>
      </c>
      <c r="E424" t="str">
        <f>Koond_kulud!E452</f>
        <v>Vabaaeg, kultuur ja religioon</v>
      </c>
      <c r="F424" t="str">
        <f>Koond_kulud!F452</f>
        <v>Muuga raamatukogu</v>
      </c>
      <c r="G424" t="str">
        <f>Koond_kulud!G452</f>
        <v>bürootarbed, auhinnad-kingitused, telefon jne</v>
      </c>
      <c r="H424">
        <f>Koond_kulud!H452</f>
        <v>500</v>
      </c>
      <c r="I424">
        <f>Koond_kulud!I452</f>
        <v>0</v>
      </c>
      <c r="J424">
        <f>Koond_kulud!J452</f>
        <v>5500</v>
      </c>
      <c r="K424" t="str">
        <f>Koond_kulud!K452</f>
        <v>Administreerimiskulud</v>
      </c>
      <c r="L424">
        <f>Koond_kulud!L452</f>
        <v>55</v>
      </c>
      <c r="M424" t="str">
        <f>Koond_kulud!M452</f>
        <v>55</v>
      </c>
      <c r="N424" t="str">
        <f>Koond_kulud!N452</f>
        <v>Muud tegevuskulud</v>
      </c>
      <c r="O424" t="str">
        <f>Koond_kulud!O452</f>
        <v>Majandamiskulud</v>
      </c>
      <c r="P424" t="str">
        <f>Koond_kulud!P452</f>
        <v>Põhitegevuse kulu</v>
      </c>
      <c r="Q424">
        <f>Koond_kulud!Q452</f>
        <v>0</v>
      </c>
    </row>
    <row r="425" spans="1:17" hidden="1" x14ac:dyDescent="0.25">
      <c r="A425" t="str">
        <f>Koond_kulud!A453</f>
        <v>08</v>
      </c>
      <c r="B425" t="str">
        <f>Koond_kulud!B453</f>
        <v xml:space="preserve">0820106         </v>
      </c>
      <c r="C425" t="str">
        <f>Koond_kulud!C453</f>
        <v>Laekvere Raamatukogu</v>
      </c>
      <c r="D425" t="str">
        <f>Koond_kulud!D453</f>
        <v>Raamatukogud</v>
      </c>
      <c r="E425" t="str">
        <f>Koond_kulud!E453</f>
        <v>Vabaaeg, kultuur ja religioon</v>
      </c>
      <c r="F425" t="str">
        <f>Koond_kulud!F453</f>
        <v>Venevere raamatukogu</v>
      </c>
      <c r="G425" t="str">
        <f>Koond_kulud!G453</f>
        <v xml:space="preserve">perioodika </v>
      </c>
      <c r="H425">
        <f>Koond_kulud!H453</f>
        <v>1300</v>
      </c>
      <c r="I425">
        <f>Koond_kulud!I453</f>
        <v>0</v>
      </c>
      <c r="J425">
        <f>Koond_kulud!J453</f>
        <v>5500</v>
      </c>
      <c r="K425" t="str">
        <f>Koond_kulud!K453</f>
        <v>Administreerimiskulud</v>
      </c>
      <c r="L425">
        <f>Koond_kulud!L453</f>
        <v>55</v>
      </c>
      <c r="M425" t="str">
        <f>Koond_kulud!M453</f>
        <v>55</v>
      </c>
      <c r="N425" t="str">
        <f>Koond_kulud!N453</f>
        <v>Muud tegevuskulud</v>
      </c>
      <c r="O425" t="str">
        <f>Koond_kulud!O453</f>
        <v>Majandamiskulud</v>
      </c>
      <c r="P425" t="str">
        <f>Koond_kulud!P453</f>
        <v>Põhitegevuse kulu</v>
      </c>
      <c r="Q425">
        <f>Koond_kulud!Q453</f>
        <v>0</v>
      </c>
    </row>
    <row r="426" spans="1:17" hidden="1" x14ac:dyDescent="0.25">
      <c r="A426" t="str">
        <f>Koond_kulud!A454</f>
        <v>08</v>
      </c>
      <c r="B426" t="str">
        <f>Koond_kulud!B454</f>
        <v xml:space="preserve">0820106         </v>
      </c>
      <c r="C426" t="str">
        <f>Koond_kulud!C454</f>
        <v>Laekvere Raamatukogu</v>
      </c>
      <c r="D426" t="str">
        <f>Koond_kulud!D454</f>
        <v>Raamatukogud</v>
      </c>
      <c r="E426" t="str">
        <f>Koond_kulud!E454</f>
        <v>Vabaaeg, kultuur ja religioon</v>
      </c>
      <c r="F426" t="str">
        <f>Koond_kulud!F454</f>
        <v>Venevere raamatukogu</v>
      </c>
      <c r="G426" t="str">
        <f>Koond_kulud!G454</f>
        <v>Teavikud</v>
      </c>
      <c r="H426">
        <f>Koond_kulud!H454</f>
        <v>2500</v>
      </c>
      <c r="I426">
        <f>Koond_kulud!I454</f>
        <v>0</v>
      </c>
      <c r="J426">
        <f>Koond_kulud!J454</f>
        <v>5523</v>
      </c>
      <c r="K426" t="str">
        <f>Koond_kulud!K454</f>
        <v>Teavikud ja kunstiesemed</v>
      </c>
      <c r="L426">
        <f>Koond_kulud!L454</f>
        <v>55</v>
      </c>
      <c r="M426" t="str">
        <f>Koond_kulud!M454</f>
        <v>55</v>
      </c>
      <c r="N426" t="str">
        <f>Koond_kulud!N454</f>
        <v>Muud tegevuskulud</v>
      </c>
      <c r="O426" t="str">
        <f>Koond_kulud!O454</f>
        <v>Majandamiskulud</v>
      </c>
      <c r="P426" t="str">
        <f>Koond_kulud!P454</f>
        <v>Põhitegevuse kulu</v>
      </c>
      <c r="Q426">
        <f>Koond_kulud!Q454</f>
        <v>0</v>
      </c>
    </row>
    <row r="427" spans="1:17" hidden="1" x14ac:dyDescent="0.25">
      <c r="A427" t="str">
        <f>Koond_kulud!A455</f>
        <v>08</v>
      </c>
      <c r="B427" t="str">
        <f>Koond_kulud!B455</f>
        <v xml:space="preserve">0820106         </v>
      </c>
      <c r="C427" t="str">
        <f>Koond_kulud!C455</f>
        <v>Laekvere Raamatukogu</v>
      </c>
      <c r="D427" t="str">
        <f>Koond_kulud!D455</f>
        <v>Raamatukogud</v>
      </c>
      <c r="E427" t="str">
        <f>Koond_kulud!E455</f>
        <v>Vabaaeg, kultuur ja religioon</v>
      </c>
      <c r="F427" t="str">
        <f>Koond_kulud!F455</f>
        <v>Venevere raamatukogu</v>
      </c>
      <c r="G427" t="str">
        <f>Koond_kulud!G455</f>
        <v xml:space="preserve">Raamatukogupäevade üritused, TÕN üritused </v>
      </c>
      <c r="H427">
        <f>Koond_kulud!H455</f>
        <v>200</v>
      </c>
      <c r="I427">
        <f>Koond_kulud!I455</f>
        <v>0</v>
      </c>
      <c r="J427">
        <f>Koond_kulud!J455</f>
        <v>5525</v>
      </c>
      <c r="K427" t="str">
        <f>Koond_kulud!K455</f>
        <v>Kommunikatsiooni-, kultuuri- ja vaba aja sisustamise kulud</v>
      </c>
      <c r="L427">
        <f>Koond_kulud!L455</f>
        <v>55</v>
      </c>
      <c r="M427" t="str">
        <f>Koond_kulud!M455</f>
        <v>55</v>
      </c>
      <c r="N427" t="str">
        <f>Koond_kulud!N455</f>
        <v>Muud tegevuskulud</v>
      </c>
      <c r="O427" t="str">
        <f>Koond_kulud!O455</f>
        <v>Majandamiskulud</v>
      </c>
      <c r="P427" t="str">
        <f>Koond_kulud!P455</f>
        <v>Põhitegevuse kulu</v>
      </c>
      <c r="Q427">
        <f>Koond_kulud!Q455</f>
        <v>0</v>
      </c>
    </row>
    <row r="428" spans="1:17" hidden="1" x14ac:dyDescent="0.25">
      <c r="A428" t="str">
        <f>Koond_kulud!A456</f>
        <v>08</v>
      </c>
      <c r="B428" t="str">
        <f>Koond_kulud!B456</f>
        <v xml:space="preserve">0820106         </v>
      </c>
      <c r="C428" t="str">
        <f>Koond_kulud!C456</f>
        <v>Laekvere Raamatukogu</v>
      </c>
      <c r="D428" t="str">
        <f>Koond_kulud!D456</f>
        <v>Raamatukogud</v>
      </c>
      <c r="E428" t="str">
        <f>Koond_kulud!E456</f>
        <v>Vabaaeg, kultuur ja religioon</v>
      </c>
      <c r="F428" t="str">
        <f>Koond_kulud!F456</f>
        <v>Venevere raamatukogu</v>
      </c>
      <c r="G428" t="str">
        <f>Koond_kulud!G456</f>
        <v>puhastus- ja korrashoiuvahendid</v>
      </c>
      <c r="H428">
        <f>Koond_kulud!H456</f>
        <v>100</v>
      </c>
      <c r="I428">
        <f>Koond_kulud!I456</f>
        <v>0</v>
      </c>
      <c r="J428">
        <f>Koond_kulud!J456</f>
        <v>5511</v>
      </c>
      <c r="K428" t="str">
        <f>Koond_kulud!K456</f>
        <v>Kinnistute, hoonete ja ruumide majandamiskulud</v>
      </c>
      <c r="L428">
        <f>Koond_kulud!L456</f>
        <v>55</v>
      </c>
      <c r="M428" t="str">
        <f>Koond_kulud!M456</f>
        <v>55</v>
      </c>
      <c r="N428" t="str">
        <f>Koond_kulud!N456</f>
        <v>Muud tegevuskulud</v>
      </c>
      <c r="O428" t="str">
        <f>Koond_kulud!O456</f>
        <v>Majandamiskulud</v>
      </c>
      <c r="P428" t="str">
        <f>Koond_kulud!P456</f>
        <v>Põhitegevuse kulu</v>
      </c>
      <c r="Q428">
        <f>Koond_kulud!Q456</f>
        <v>0</v>
      </c>
    </row>
    <row r="429" spans="1:17" hidden="1" x14ac:dyDescent="0.25">
      <c r="A429" t="str">
        <f>Koond_kulud!A457</f>
        <v>08</v>
      </c>
      <c r="B429" t="str">
        <f>Koond_kulud!B457</f>
        <v xml:space="preserve">0820106         </v>
      </c>
      <c r="C429" t="str">
        <f>Koond_kulud!C457</f>
        <v>Laekvere Raamatukogu</v>
      </c>
      <c r="D429" t="str">
        <f>Koond_kulud!D457</f>
        <v>Raamatukogud</v>
      </c>
      <c r="E429" t="str">
        <f>Koond_kulud!E457</f>
        <v>Vabaaeg, kultuur ja religioon</v>
      </c>
      <c r="F429" t="str">
        <f>Koond_kulud!F457</f>
        <v>Venevere raamatukogu</v>
      </c>
      <c r="G429" t="str">
        <f>Koond_kulud!G457</f>
        <v>korstnapühkimisteenus</v>
      </c>
      <c r="H429">
        <f>Koond_kulud!H457</f>
        <v>200</v>
      </c>
      <c r="I429">
        <f>Koond_kulud!I457</f>
        <v>0</v>
      </c>
      <c r="J429">
        <f>Koond_kulud!J457</f>
        <v>5511</v>
      </c>
      <c r="K429" t="str">
        <f>Koond_kulud!K457</f>
        <v>Kinnistute, hoonete ja ruumide majandamiskulud</v>
      </c>
      <c r="L429">
        <f>Koond_kulud!L457</f>
        <v>55</v>
      </c>
      <c r="M429" t="str">
        <f>Koond_kulud!M457</f>
        <v>55</v>
      </c>
      <c r="N429" t="str">
        <f>Koond_kulud!N457</f>
        <v>Muud tegevuskulud</v>
      </c>
      <c r="O429" t="str">
        <f>Koond_kulud!O457</f>
        <v>Majandamiskulud</v>
      </c>
      <c r="P429" t="str">
        <f>Koond_kulud!P457</f>
        <v>Põhitegevuse kulu</v>
      </c>
      <c r="Q429">
        <f>Koond_kulud!Q457</f>
        <v>0</v>
      </c>
    </row>
    <row r="430" spans="1:17" hidden="1" x14ac:dyDescent="0.25">
      <c r="A430" t="str">
        <f>Koond_kulud!A458</f>
        <v>08</v>
      </c>
      <c r="B430" t="str">
        <f>Koond_kulud!B458</f>
        <v xml:space="preserve">0820106         </v>
      </c>
      <c r="C430" t="str">
        <f>Koond_kulud!C458</f>
        <v>Laekvere Raamatukogu</v>
      </c>
      <c r="D430" t="str">
        <f>Koond_kulud!D458</f>
        <v>Raamatukogud</v>
      </c>
      <c r="E430" t="str">
        <f>Koond_kulud!E458</f>
        <v>Vabaaeg, kultuur ja religioon</v>
      </c>
      <c r="F430" t="str">
        <f>Koond_kulud!F458</f>
        <v>Venevere raamatukogu</v>
      </c>
      <c r="G430" t="str">
        <f>Koond_kulud!G458</f>
        <v>Urrami hooldus ja arendus</v>
      </c>
      <c r="H430">
        <f>Koond_kulud!H458</f>
        <v>250</v>
      </c>
      <c r="I430">
        <f>Koond_kulud!I458</f>
        <v>0</v>
      </c>
      <c r="J430">
        <f>Koond_kulud!J458</f>
        <v>5514</v>
      </c>
      <c r="K430" t="str">
        <f>Koond_kulud!K458</f>
        <v>Info- ja kommunikatsioonitehnoliigised kulud</v>
      </c>
      <c r="L430">
        <f>Koond_kulud!L458</f>
        <v>55</v>
      </c>
      <c r="M430" t="str">
        <f>Koond_kulud!M458</f>
        <v>55</v>
      </c>
      <c r="N430" t="str">
        <f>Koond_kulud!N458</f>
        <v>Muud tegevuskulud</v>
      </c>
      <c r="O430" t="str">
        <f>Koond_kulud!O458</f>
        <v>Majandamiskulud</v>
      </c>
      <c r="P430" t="str">
        <f>Koond_kulud!P458</f>
        <v>Põhitegevuse kulu</v>
      </c>
      <c r="Q430">
        <f>Koond_kulud!Q458</f>
        <v>0</v>
      </c>
    </row>
    <row r="431" spans="1:17" hidden="1" x14ac:dyDescent="0.25">
      <c r="A431" t="str">
        <f>Koond_kulud!A459</f>
        <v>08</v>
      </c>
      <c r="B431" t="str">
        <f>Koond_kulud!B459</f>
        <v xml:space="preserve">0820106         </v>
      </c>
      <c r="C431" t="str">
        <f>Koond_kulud!C459</f>
        <v>Laekvere Raamatukogu</v>
      </c>
      <c r="D431" t="str">
        <f>Koond_kulud!D459</f>
        <v>Raamatukogud</v>
      </c>
      <c r="E431" t="str">
        <f>Koond_kulud!E459</f>
        <v>Vabaaeg, kultuur ja religioon</v>
      </c>
      <c r="F431" t="str">
        <f>Koond_kulud!F459</f>
        <v>Venevere raamatukogu</v>
      </c>
      <c r="G431" t="str">
        <f>Koond_kulud!G459</f>
        <v>bürootarbed, auhinnad-kingitused, telefon jne</v>
      </c>
      <c r="H431">
        <f>Koond_kulud!H459</f>
        <v>300</v>
      </c>
      <c r="I431">
        <f>Koond_kulud!I459</f>
        <v>0</v>
      </c>
      <c r="J431">
        <f>Koond_kulud!J459</f>
        <v>5500</v>
      </c>
      <c r="K431" t="str">
        <f>Koond_kulud!K459</f>
        <v>Administreerimiskulud</v>
      </c>
      <c r="L431">
        <f>Koond_kulud!L459</f>
        <v>55</v>
      </c>
      <c r="M431" t="str">
        <f>Koond_kulud!M459</f>
        <v>55</v>
      </c>
      <c r="N431" t="str">
        <f>Koond_kulud!N459</f>
        <v>Muud tegevuskulud</v>
      </c>
      <c r="O431" t="str">
        <f>Koond_kulud!O459</f>
        <v>Majandamiskulud</v>
      </c>
      <c r="P431" t="str">
        <f>Koond_kulud!P459</f>
        <v>Põhitegevuse kulu</v>
      </c>
      <c r="Q431">
        <f>Koond_kulud!Q459</f>
        <v>0</v>
      </c>
    </row>
    <row r="432" spans="1:17" hidden="1" x14ac:dyDescent="0.25">
      <c r="A432" t="str">
        <f>Koond_kulud!A460</f>
        <v>08</v>
      </c>
      <c r="B432" t="str">
        <f>Koond_kulud!B460</f>
        <v xml:space="preserve">0820201         </v>
      </c>
      <c r="C432" t="str">
        <f>Koond_kulud!C460</f>
        <v xml:space="preserve"> Kadila Seltsimaja</v>
      </c>
      <c r="D432" t="str">
        <f>Koond_kulud!D460</f>
        <v>Rahvakultuur</v>
      </c>
      <c r="E432" t="str">
        <f>Koond_kulud!E460</f>
        <v>Vabaaeg, kultuur ja religioon</v>
      </c>
      <c r="F432" t="str">
        <f>Koond_kulud!F460</f>
        <v>Kadila Seltsimaja</v>
      </c>
      <c r="G432" t="str">
        <f>Koond_kulud!G460</f>
        <v>Elekter</v>
      </c>
      <c r="H432">
        <f>Koond_kulud!H460</f>
        <v>1500</v>
      </c>
      <c r="I432">
        <f>Koond_kulud!I460</f>
        <v>0</v>
      </c>
      <c r="J432">
        <f>Koond_kulud!J460</f>
        <v>5511</v>
      </c>
      <c r="K432" t="str">
        <f>Koond_kulud!K460</f>
        <v>Kinnistute, hoonete ja ruumide majandamiskulud</v>
      </c>
      <c r="L432">
        <f>Koond_kulud!L460</f>
        <v>55</v>
      </c>
      <c r="M432" t="str">
        <f>Koond_kulud!M460</f>
        <v>55</v>
      </c>
      <c r="N432" t="str">
        <f>Koond_kulud!N460</f>
        <v>Muud tegevuskulud</v>
      </c>
      <c r="O432" t="str">
        <f>Koond_kulud!O460</f>
        <v>Majandamiskulud</v>
      </c>
      <c r="P432" t="str">
        <f>Koond_kulud!P460</f>
        <v>Põhitegevuse kulu</v>
      </c>
      <c r="Q432">
        <f>Koond_kulud!Q460</f>
        <v>0</v>
      </c>
    </row>
    <row r="433" spans="1:17" hidden="1" x14ac:dyDescent="0.25">
      <c r="A433" t="str">
        <f>Koond_kulud!A461</f>
        <v>08</v>
      </c>
      <c r="B433" t="str">
        <f>Koond_kulud!B461</f>
        <v xml:space="preserve">0820201         </v>
      </c>
      <c r="C433" t="str">
        <f>Koond_kulud!C461</f>
        <v xml:space="preserve"> Kadila Seltsimaja</v>
      </c>
      <c r="D433" t="str">
        <f>Koond_kulud!D461</f>
        <v>Rahvakultuur</v>
      </c>
      <c r="E433" t="str">
        <f>Koond_kulud!E461</f>
        <v>Vabaaeg, kultuur ja religioon</v>
      </c>
      <c r="F433" t="str">
        <f>Koond_kulud!F461</f>
        <v>Kadila Seltsimaja</v>
      </c>
      <c r="G433" t="str">
        <f>Koond_kulud!G461</f>
        <v>Vesi ja kanalisatsioon</v>
      </c>
      <c r="H433">
        <f>Koond_kulud!H461</f>
        <v>170</v>
      </c>
      <c r="I433">
        <f>Koond_kulud!I461</f>
        <v>0</v>
      </c>
      <c r="J433">
        <f>Koond_kulud!J461</f>
        <v>5511</v>
      </c>
      <c r="K433" t="str">
        <f>Koond_kulud!K461</f>
        <v>Kinnistute, hoonete ja ruumide majandamiskulud</v>
      </c>
      <c r="L433">
        <f>Koond_kulud!L461</f>
        <v>55</v>
      </c>
      <c r="M433" t="str">
        <f>Koond_kulud!M461</f>
        <v>55</v>
      </c>
      <c r="N433" t="str">
        <f>Koond_kulud!N461</f>
        <v>Muud tegevuskulud</v>
      </c>
      <c r="O433" t="str">
        <f>Koond_kulud!O461</f>
        <v>Majandamiskulud</v>
      </c>
      <c r="P433" t="str">
        <f>Koond_kulud!P461</f>
        <v>Põhitegevuse kulu</v>
      </c>
      <c r="Q433">
        <f>Koond_kulud!Q461</f>
        <v>0</v>
      </c>
    </row>
    <row r="434" spans="1:17" hidden="1" x14ac:dyDescent="0.25">
      <c r="A434" t="str">
        <f>Koond_kulud!A462</f>
        <v>08</v>
      </c>
      <c r="B434" t="str">
        <f>Koond_kulud!B462</f>
        <v xml:space="preserve">0820201         </v>
      </c>
      <c r="C434" t="str">
        <f>Koond_kulud!C462</f>
        <v xml:space="preserve"> Kadila Seltsimaja</v>
      </c>
      <c r="D434" t="str">
        <f>Koond_kulud!D462</f>
        <v>Rahvakultuur</v>
      </c>
      <c r="E434" t="str">
        <f>Koond_kulud!E462</f>
        <v>Vabaaeg, kultuur ja religioon</v>
      </c>
      <c r="F434" t="str">
        <f>Koond_kulud!F462</f>
        <v>Kadila Seltsimaja</v>
      </c>
      <c r="G434" t="str">
        <f>Koond_kulud!G462</f>
        <v>Prügivedu</v>
      </c>
      <c r="H434">
        <f>Koond_kulud!H462</f>
        <v>85</v>
      </c>
      <c r="I434">
        <f>Koond_kulud!I462</f>
        <v>0</v>
      </c>
      <c r="J434">
        <f>Koond_kulud!J462</f>
        <v>5511</v>
      </c>
      <c r="K434" t="str">
        <f>Koond_kulud!K462</f>
        <v>Kinnistute, hoonete ja ruumide majandamiskulud</v>
      </c>
      <c r="L434">
        <f>Koond_kulud!L462</f>
        <v>55</v>
      </c>
      <c r="M434" t="str">
        <f>Koond_kulud!M462</f>
        <v>55</v>
      </c>
      <c r="N434" t="str">
        <f>Koond_kulud!N462</f>
        <v>Muud tegevuskulud</v>
      </c>
      <c r="O434" t="str">
        <f>Koond_kulud!O462</f>
        <v>Majandamiskulud</v>
      </c>
      <c r="P434" t="str">
        <f>Koond_kulud!P462</f>
        <v>Põhitegevuse kulu</v>
      </c>
      <c r="Q434">
        <f>Koond_kulud!Q462</f>
        <v>0</v>
      </c>
    </row>
    <row r="435" spans="1:17" hidden="1" x14ac:dyDescent="0.25">
      <c r="A435" t="str">
        <f>Koond_kulud!A463</f>
        <v>08</v>
      </c>
      <c r="B435" t="str">
        <f>Koond_kulud!B463</f>
        <v xml:space="preserve">0820201         </v>
      </c>
      <c r="C435" t="str">
        <f>Koond_kulud!C463</f>
        <v xml:space="preserve"> Kadila Seltsimaja</v>
      </c>
      <c r="D435" t="str">
        <f>Koond_kulud!D463</f>
        <v>Rahvakultuur</v>
      </c>
      <c r="E435" t="str">
        <f>Koond_kulud!E463</f>
        <v>Vabaaeg, kultuur ja religioon</v>
      </c>
      <c r="F435" t="str">
        <f>Koond_kulud!F463</f>
        <v>Kadila Seltsimaja</v>
      </c>
      <c r="G435" t="str">
        <f>Koond_kulud!G463</f>
        <v>Prügikonteineri rent</v>
      </c>
      <c r="H435">
        <f>Koond_kulud!H463</f>
        <v>92.4</v>
      </c>
      <c r="I435">
        <f>Koond_kulud!I463</f>
        <v>0</v>
      </c>
      <c r="J435">
        <f>Koond_kulud!J463</f>
        <v>5511</v>
      </c>
      <c r="K435" t="str">
        <f>Koond_kulud!K463</f>
        <v>Kinnistute, hoonete ja ruumide majandamiskulud</v>
      </c>
      <c r="L435">
        <f>Koond_kulud!L463</f>
        <v>55</v>
      </c>
      <c r="M435" t="str">
        <f>Koond_kulud!M463</f>
        <v>55</v>
      </c>
      <c r="N435" t="str">
        <f>Koond_kulud!N463</f>
        <v>Muud tegevuskulud</v>
      </c>
      <c r="O435" t="str">
        <f>Koond_kulud!O463</f>
        <v>Majandamiskulud</v>
      </c>
      <c r="P435" t="str">
        <f>Koond_kulud!P463</f>
        <v>Põhitegevuse kulu</v>
      </c>
      <c r="Q435">
        <f>Koond_kulud!Q463</f>
        <v>0</v>
      </c>
    </row>
    <row r="436" spans="1:17" hidden="1" x14ac:dyDescent="0.25">
      <c r="A436" t="str">
        <f>Koond_kulud!A464</f>
        <v>08</v>
      </c>
      <c r="B436" t="str">
        <f>Koond_kulud!B464</f>
        <v xml:space="preserve">0820201         </v>
      </c>
      <c r="C436" t="str">
        <f>Koond_kulud!C464</f>
        <v xml:space="preserve"> Kadila Seltsimaja</v>
      </c>
      <c r="D436" t="str">
        <f>Koond_kulud!D464</f>
        <v>Rahvakultuur</v>
      </c>
      <c r="E436" t="str">
        <f>Koond_kulud!E464</f>
        <v>Vabaaeg, kultuur ja religioon</v>
      </c>
      <c r="F436" t="str">
        <f>Koond_kulud!F464</f>
        <v>Kadila Seltsimaja</v>
      </c>
      <c r="G436" t="str">
        <f>Koond_kulud!G464</f>
        <v>Küttepuud</v>
      </c>
      <c r="H436">
        <f>Koond_kulud!H464</f>
        <v>1800</v>
      </c>
      <c r="I436">
        <f>Koond_kulud!I464</f>
        <v>0</v>
      </c>
      <c r="J436">
        <f>Koond_kulud!J464</f>
        <v>5511</v>
      </c>
      <c r="K436" t="str">
        <f>Koond_kulud!K464</f>
        <v>Kinnistute, hoonete ja ruumide majandamiskulud</v>
      </c>
      <c r="L436">
        <f>Koond_kulud!L464</f>
        <v>55</v>
      </c>
      <c r="M436" t="str">
        <f>Koond_kulud!M464</f>
        <v>55</v>
      </c>
      <c r="N436" t="str">
        <f>Koond_kulud!N464</f>
        <v>Muud tegevuskulud</v>
      </c>
      <c r="O436" t="str">
        <f>Koond_kulud!O464</f>
        <v>Majandamiskulud</v>
      </c>
      <c r="P436" t="str">
        <f>Koond_kulud!P464</f>
        <v>Põhitegevuse kulu</v>
      </c>
      <c r="Q436">
        <f>Koond_kulud!Q464</f>
        <v>0</v>
      </c>
    </row>
    <row r="437" spans="1:17" hidden="1" x14ac:dyDescent="0.25">
      <c r="A437" t="str">
        <f>Koond_kulud!A465</f>
        <v>08</v>
      </c>
      <c r="B437" t="str">
        <f>Koond_kulud!B465</f>
        <v xml:space="preserve">0820201         </v>
      </c>
      <c r="C437" t="str">
        <f>Koond_kulud!C465</f>
        <v xml:space="preserve"> Kadila Seltsimaja</v>
      </c>
      <c r="D437" t="str">
        <f>Koond_kulud!D465</f>
        <v>Rahvakultuur</v>
      </c>
      <c r="E437" t="str">
        <f>Koond_kulud!E465</f>
        <v>Vabaaeg, kultuur ja religioon</v>
      </c>
      <c r="F437" t="str">
        <f>Koond_kulud!F465</f>
        <v>Kadila Seltsimaja</v>
      </c>
      <c r="G437" t="str">
        <f>Koond_kulud!G465</f>
        <v xml:space="preserve">hoone kindlustus </v>
      </c>
      <c r="H437">
        <f>Koond_kulud!H465</f>
        <v>200</v>
      </c>
      <c r="I437">
        <f>Koond_kulud!I465</f>
        <v>0</v>
      </c>
      <c r="J437">
        <f>Koond_kulud!J465</f>
        <v>5511</v>
      </c>
      <c r="K437" t="str">
        <f>Koond_kulud!K465</f>
        <v>Kinnistute, hoonete ja ruumide majandamiskulud</v>
      </c>
      <c r="L437">
        <f>Koond_kulud!L465</f>
        <v>55</v>
      </c>
      <c r="M437" t="str">
        <f>Koond_kulud!M465</f>
        <v>55</v>
      </c>
      <c r="N437" t="str">
        <f>Koond_kulud!N465</f>
        <v>Muud tegevuskulud</v>
      </c>
      <c r="O437" t="str">
        <f>Koond_kulud!O465</f>
        <v>Majandamiskulud</v>
      </c>
      <c r="P437" t="str">
        <f>Koond_kulud!P465</f>
        <v>Põhitegevuse kulu</v>
      </c>
      <c r="Q437">
        <f>Koond_kulud!Q465</f>
        <v>0</v>
      </c>
    </row>
    <row r="438" spans="1:17" hidden="1" x14ac:dyDescent="0.25">
      <c r="A438" t="str">
        <f>Koond_kulud!A466</f>
        <v>08</v>
      </c>
      <c r="B438" t="str">
        <f>Koond_kulud!B466</f>
        <v xml:space="preserve">0820201         </v>
      </c>
      <c r="C438" t="str">
        <f>Koond_kulud!C466</f>
        <v xml:space="preserve"> Kadila Seltsimaja</v>
      </c>
      <c r="D438" t="str">
        <f>Koond_kulud!D466</f>
        <v>Rahvakultuur</v>
      </c>
      <c r="E438" t="str">
        <f>Koond_kulud!E466</f>
        <v>Vabaaeg, kultuur ja religioon</v>
      </c>
      <c r="F438" t="str">
        <f>Koond_kulud!F466</f>
        <v>Kadila Seltsimaja</v>
      </c>
      <c r="G438" t="str">
        <f>Koond_kulud!G466</f>
        <v>Sideteenused</v>
      </c>
      <c r="H438">
        <f>Koond_kulud!H466</f>
        <v>600</v>
      </c>
      <c r="I438">
        <f>Koond_kulud!I466</f>
        <v>0</v>
      </c>
      <c r="J438">
        <f>Koond_kulud!J466</f>
        <v>5500</v>
      </c>
      <c r="K438" t="str">
        <f>Koond_kulud!K466</f>
        <v>Administreerimiskulud</v>
      </c>
      <c r="L438">
        <f>Koond_kulud!L466</f>
        <v>55</v>
      </c>
      <c r="M438" t="str">
        <f>Koond_kulud!M466</f>
        <v>55</v>
      </c>
      <c r="N438" t="str">
        <f>Koond_kulud!N466</f>
        <v>Muud tegevuskulud</v>
      </c>
      <c r="O438" t="str">
        <f>Koond_kulud!O466</f>
        <v>Majandamiskulud</v>
      </c>
      <c r="P438" t="str">
        <f>Koond_kulud!P466</f>
        <v>Põhitegevuse kulu</v>
      </c>
      <c r="Q438">
        <f>Koond_kulud!Q466</f>
        <v>0</v>
      </c>
    </row>
    <row r="439" spans="1:17" hidden="1" x14ac:dyDescent="0.25">
      <c r="A439" t="str">
        <f>Koond_kulud!A467</f>
        <v>08</v>
      </c>
      <c r="B439" t="str">
        <f>Koond_kulud!B467</f>
        <v xml:space="preserve">0820201         </v>
      </c>
      <c r="C439" t="str">
        <f>Koond_kulud!C467</f>
        <v xml:space="preserve"> Kadila Seltsimaja</v>
      </c>
      <c r="D439" t="str">
        <f>Koond_kulud!D467</f>
        <v>Rahvakultuur</v>
      </c>
      <c r="E439" t="str">
        <f>Koond_kulud!E467</f>
        <v>Vabaaeg, kultuur ja religioon</v>
      </c>
      <c r="F439" t="str">
        <f>Koond_kulud!F467</f>
        <v>Kadila Seltsimaja</v>
      </c>
      <c r="G439" t="str">
        <f>Koond_kulud!G467</f>
        <v>Üritused</v>
      </c>
      <c r="H439">
        <f>Koond_kulud!H467</f>
        <v>250</v>
      </c>
      <c r="I439">
        <f>Koond_kulud!I467</f>
        <v>0</v>
      </c>
      <c r="J439">
        <f>Koond_kulud!J467</f>
        <v>5525</v>
      </c>
      <c r="K439" t="str">
        <f>Koond_kulud!K467</f>
        <v>Kommunikatsiooni-, kultuuri- ja vaba aja sisustamise kulud</v>
      </c>
      <c r="L439">
        <f>Koond_kulud!L467</f>
        <v>55</v>
      </c>
      <c r="M439" t="str">
        <f>Koond_kulud!M467</f>
        <v>55</v>
      </c>
      <c r="N439" t="str">
        <f>Koond_kulud!N467</f>
        <v>Muud tegevuskulud</v>
      </c>
      <c r="O439" t="str">
        <f>Koond_kulud!O467</f>
        <v>Majandamiskulud</v>
      </c>
      <c r="P439" t="str">
        <f>Koond_kulud!P467</f>
        <v>Põhitegevuse kulu</v>
      </c>
      <c r="Q439">
        <f>Koond_kulud!Q467</f>
        <v>0</v>
      </c>
    </row>
    <row r="440" spans="1:17" hidden="1" x14ac:dyDescent="0.25">
      <c r="A440" t="str">
        <f>Koond_kulud!A468</f>
        <v>08</v>
      </c>
      <c r="B440" t="str">
        <f>Koond_kulud!B468</f>
        <v xml:space="preserve">0820201         </v>
      </c>
      <c r="C440" t="str">
        <f>Koond_kulud!C468</f>
        <v xml:space="preserve"> Kadila Seltsimaja</v>
      </c>
      <c r="D440" t="str">
        <f>Koond_kulud!D468</f>
        <v>Rahvakultuur</v>
      </c>
      <c r="E440" t="str">
        <f>Koond_kulud!E468</f>
        <v>Vabaaeg, kultuur ja religioon</v>
      </c>
      <c r="F440" t="str">
        <f>Koond_kulud!F468</f>
        <v>Kadila Seltsimaja</v>
      </c>
      <c r="G440" t="str">
        <f>Koond_kulud!G468</f>
        <v>Korstnapühkija</v>
      </c>
      <c r="H440">
        <f>Koond_kulud!H468</f>
        <v>160</v>
      </c>
      <c r="I440">
        <f>Koond_kulud!I468</f>
        <v>0</v>
      </c>
      <c r="J440">
        <f>Koond_kulud!J468</f>
        <v>5511</v>
      </c>
      <c r="K440" t="str">
        <f>Koond_kulud!K468</f>
        <v>Kinnistute, hoonete ja ruumide majandamiskulud</v>
      </c>
      <c r="L440">
        <f>Koond_kulud!L468</f>
        <v>55</v>
      </c>
      <c r="M440" t="str">
        <f>Koond_kulud!M468</f>
        <v>55</v>
      </c>
      <c r="N440" t="str">
        <f>Koond_kulud!N468</f>
        <v>Muud tegevuskulud</v>
      </c>
      <c r="O440" t="str">
        <f>Koond_kulud!O468</f>
        <v>Majandamiskulud</v>
      </c>
      <c r="P440" t="str">
        <f>Koond_kulud!P468</f>
        <v>Põhitegevuse kulu</v>
      </c>
      <c r="Q440">
        <f>Koond_kulud!Q468</f>
        <v>0</v>
      </c>
    </row>
    <row r="441" spans="1:17" hidden="1" x14ac:dyDescent="0.25">
      <c r="A441" t="str">
        <f>Koond_kulud!A469</f>
        <v>08</v>
      </c>
      <c r="B441" t="str">
        <f>Koond_kulud!B469</f>
        <v xml:space="preserve">0820201         </v>
      </c>
      <c r="C441" t="str">
        <f>Koond_kulud!C469</f>
        <v xml:space="preserve"> Kadila Seltsimaja</v>
      </c>
      <c r="D441" t="str">
        <f>Koond_kulud!D469</f>
        <v>Rahvakultuur</v>
      </c>
      <c r="E441" t="str">
        <f>Koond_kulud!E469</f>
        <v>Vabaaeg, kultuur ja religioon</v>
      </c>
      <c r="F441" t="str">
        <f>Koond_kulud!F469</f>
        <v>Kadila Seltsimaja</v>
      </c>
      <c r="G441" t="str">
        <f>Koond_kulud!G469</f>
        <v>Muud kinnistukulud</v>
      </c>
      <c r="H441">
        <f>Koond_kulud!H469</f>
        <v>500</v>
      </c>
      <c r="I441">
        <f>Koond_kulud!I469</f>
        <v>0</v>
      </c>
      <c r="J441">
        <f>Koond_kulud!J469</f>
        <v>5511</v>
      </c>
      <c r="K441" t="str">
        <f>Koond_kulud!K469</f>
        <v>Kinnistute, hoonete ja ruumide majandamiskulud</v>
      </c>
      <c r="L441">
        <f>Koond_kulud!L469</f>
        <v>55</v>
      </c>
      <c r="M441" t="str">
        <f>Koond_kulud!M469</f>
        <v>55</v>
      </c>
      <c r="N441" t="str">
        <f>Koond_kulud!N469</f>
        <v>Muud tegevuskulud</v>
      </c>
      <c r="O441" t="str">
        <f>Koond_kulud!O469</f>
        <v>Majandamiskulud</v>
      </c>
      <c r="P441" t="str">
        <f>Koond_kulud!P469</f>
        <v>Põhitegevuse kulu</v>
      </c>
      <c r="Q441">
        <f>Koond_kulud!Q469</f>
        <v>0</v>
      </c>
    </row>
    <row r="442" spans="1:17" hidden="1" x14ac:dyDescent="0.25">
      <c r="A442" t="str">
        <f>Koond_kulud!A470</f>
        <v>08</v>
      </c>
      <c r="B442" t="str">
        <f>Koond_kulud!B470</f>
        <v xml:space="preserve">0820202         </v>
      </c>
      <c r="C442" t="str">
        <f>Koond_kulud!C470</f>
        <v xml:space="preserve"> Pajusti klubi</v>
      </c>
      <c r="D442" t="str">
        <f>Koond_kulud!D470</f>
        <v>Rahvakultuur</v>
      </c>
      <c r="E442" t="str">
        <f>Koond_kulud!E470</f>
        <v>Vabaaeg, kultuur ja religioon</v>
      </c>
      <c r="F442" t="str">
        <f>Koond_kulud!F470</f>
        <v>Pajusti klubi</v>
      </c>
      <c r="G442" t="str">
        <f>Koond_kulud!G470</f>
        <v>Kulud, elektrile, küttele, prügi , vee eest, 
kanalistasioon, korrashoiuvahendid, tuletõrje 
ja signalisatsiooni hooldus, jäätmete vedamine, 
pisiremont</v>
      </c>
      <c r="H442">
        <f>Koond_kulud!H470</f>
        <v>15000</v>
      </c>
      <c r="I442">
        <f>Koond_kulud!I470</f>
        <v>0</v>
      </c>
      <c r="J442">
        <f>Koond_kulud!J470</f>
        <v>5511</v>
      </c>
      <c r="K442" t="str">
        <f>Koond_kulud!K470</f>
        <v>Kinnistute, hoonete ja ruumide majandamiskulud</v>
      </c>
      <c r="L442">
        <f>Koond_kulud!L470</f>
        <v>55</v>
      </c>
      <c r="M442" t="str">
        <f>Koond_kulud!M470</f>
        <v>55</v>
      </c>
      <c r="N442" t="str">
        <f>Koond_kulud!N470</f>
        <v>Muud tegevuskulud</v>
      </c>
      <c r="O442" t="str">
        <f>Koond_kulud!O470</f>
        <v>Majandamiskulud</v>
      </c>
      <c r="P442" t="str">
        <f>Koond_kulud!P470</f>
        <v>Põhitegevuse kulu</v>
      </c>
      <c r="Q442">
        <f>Koond_kulud!Q470</f>
        <v>0</v>
      </c>
    </row>
    <row r="443" spans="1:17" hidden="1" x14ac:dyDescent="0.25">
      <c r="A443" t="str">
        <f>Koond_kulud!A471</f>
        <v>08</v>
      </c>
      <c r="B443" t="str">
        <f>Koond_kulud!B471</f>
        <v xml:space="preserve">0820202         </v>
      </c>
      <c r="C443" t="str">
        <f>Koond_kulud!C471</f>
        <v xml:space="preserve"> Pajusti klubi</v>
      </c>
      <c r="D443" t="str">
        <f>Koond_kulud!D471</f>
        <v>Rahvakultuur</v>
      </c>
      <c r="E443" t="str">
        <f>Koond_kulud!E471</f>
        <v>Vabaaeg, kultuur ja religioon</v>
      </c>
      <c r="F443" t="str">
        <f>Koond_kulud!F471</f>
        <v>Pajusti klubi</v>
      </c>
      <c r="G443" t="str">
        <f>Koond_kulud!G471</f>
        <v>Koolitused</v>
      </c>
      <c r="H443">
        <f>Koond_kulud!H471</f>
        <v>800</v>
      </c>
      <c r="I443" t="str">
        <f>Koond_kulud!I471</f>
        <v>Klubi juhataja, ringide juhendajad</v>
      </c>
      <c r="J443">
        <f>Koond_kulud!J471</f>
        <v>5504</v>
      </c>
      <c r="K443" t="str">
        <f>Koond_kulud!K471</f>
        <v>Koolituskulud</v>
      </c>
      <c r="L443">
        <f>Koond_kulud!L471</f>
        <v>55</v>
      </c>
      <c r="M443" t="str">
        <f>Koond_kulud!M471</f>
        <v>55</v>
      </c>
      <c r="N443" t="str">
        <f>Koond_kulud!N471</f>
        <v>Muud tegevuskulud</v>
      </c>
      <c r="O443" t="str">
        <f>Koond_kulud!O471</f>
        <v>Majandamiskulud</v>
      </c>
      <c r="P443" t="str">
        <f>Koond_kulud!P471</f>
        <v>Põhitegevuse kulu</v>
      </c>
      <c r="Q443">
        <f>Koond_kulud!Q471</f>
        <v>0</v>
      </c>
    </row>
    <row r="444" spans="1:17" hidden="1" x14ac:dyDescent="0.25">
      <c r="A444" t="str">
        <f>Koond_kulud!A472</f>
        <v>08</v>
      </c>
      <c r="B444" t="str">
        <f>Koond_kulud!B472</f>
        <v xml:space="preserve">0820202         </v>
      </c>
      <c r="C444" t="str">
        <f>Koond_kulud!C472</f>
        <v xml:space="preserve"> Pajusti klubi</v>
      </c>
      <c r="D444" t="str">
        <f>Koond_kulud!D472</f>
        <v>Rahvakultuur</v>
      </c>
      <c r="E444" t="str">
        <f>Koond_kulud!E472</f>
        <v>Vabaaeg, kultuur ja religioon</v>
      </c>
      <c r="F444" t="str">
        <f>Koond_kulud!F472</f>
        <v>Pajusti klubi</v>
      </c>
      <c r="G444" t="str">
        <f>Koond_kulud!G472</f>
        <v>isikliku sõiduauto komp.</v>
      </c>
      <c r="H444">
        <f>Koond_kulud!H472</f>
        <v>1440</v>
      </c>
      <c r="I444" t="str">
        <f>Koond_kulud!I472</f>
        <v>12 kuud</v>
      </c>
      <c r="J444">
        <f>Koond_kulud!J472</f>
        <v>5513</v>
      </c>
      <c r="K444" t="str">
        <f>Koond_kulud!K472</f>
        <v>Sõidukite ülalpidamise kulud</v>
      </c>
      <c r="L444">
        <f>Koond_kulud!L472</f>
        <v>55</v>
      </c>
      <c r="M444" t="str">
        <f>Koond_kulud!M472</f>
        <v>55</v>
      </c>
      <c r="N444" t="str">
        <f>Koond_kulud!N472</f>
        <v>Muud tegevuskulud</v>
      </c>
      <c r="O444" t="str">
        <f>Koond_kulud!O472</f>
        <v>Majandamiskulud</v>
      </c>
      <c r="P444" t="str">
        <f>Koond_kulud!P472</f>
        <v>Põhitegevuse kulu</v>
      </c>
      <c r="Q444">
        <f>Koond_kulud!Q472</f>
        <v>0</v>
      </c>
    </row>
    <row r="445" spans="1:17" hidden="1" x14ac:dyDescent="0.25">
      <c r="A445" t="str">
        <f>Koond_kulud!A473</f>
        <v>08</v>
      </c>
      <c r="B445" t="str">
        <f>Koond_kulud!B473</f>
        <v xml:space="preserve">0820202         </v>
      </c>
      <c r="C445" t="str">
        <f>Koond_kulud!C473</f>
        <v xml:space="preserve"> Pajusti klubi</v>
      </c>
      <c r="D445" t="str">
        <f>Koond_kulud!D473</f>
        <v>Rahvakultuur</v>
      </c>
      <c r="E445" t="str">
        <f>Koond_kulud!E473</f>
        <v>Vabaaeg, kultuur ja religioon</v>
      </c>
      <c r="F445" t="str">
        <f>Koond_kulud!F473</f>
        <v>Pajusti klubi</v>
      </c>
      <c r="G445" t="str">
        <f>Koond_kulud!G473</f>
        <v>arvutiprogrammid, hoolduse, tooner</v>
      </c>
      <c r="H445">
        <f>Koond_kulud!H473</f>
        <v>1000</v>
      </c>
      <c r="I445">
        <f>Koond_kulud!I473</f>
        <v>0</v>
      </c>
      <c r="J445">
        <f>Koond_kulud!J473</f>
        <v>5514</v>
      </c>
      <c r="K445" t="str">
        <f>Koond_kulud!K473</f>
        <v>Info- ja kommunikatsioonitehnoliigised kulud</v>
      </c>
      <c r="L445">
        <f>Koond_kulud!L473</f>
        <v>55</v>
      </c>
      <c r="M445" t="str">
        <f>Koond_kulud!M473</f>
        <v>55</v>
      </c>
      <c r="N445" t="str">
        <f>Koond_kulud!N473</f>
        <v>Muud tegevuskulud</v>
      </c>
      <c r="O445" t="str">
        <f>Koond_kulud!O473</f>
        <v>Majandamiskulud</v>
      </c>
      <c r="P445" t="str">
        <f>Koond_kulud!P473</f>
        <v>Põhitegevuse kulu</v>
      </c>
      <c r="Q445">
        <f>Koond_kulud!Q473</f>
        <v>0</v>
      </c>
    </row>
    <row r="446" spans="1:17" hidden="1" x14ac:dyDescent="0.25">
      <c r="A446" t="str">
        <f>Koond_kulud!A475</f>
        <v>08</v>
      </c>
      <c r="B446" t="str">
        <f>Koond_kulud!B475</f>
        <v xml:space="preserve">0820202         </v>
      </c>
      <c r="C446" t="str">
        <f>Koond_kulud!C475</f>
        <v xml:space="preserve"> Pajusti klubi</v>
      </c>
      <c r="D446" t="str">
        <f>Koond_kulud!D475</f>
        <v>Rahvakultuur</v>
      </c>
      <c r="E446" t="str">
        <f>Koond_kulud!E475</f>
        <v>Vabaaeg, kultuur ja religioon</v>
      </c>
      <c r="F446" t="str">
        <f>Koond_kulud!F475</f>
        <v>Pajusti klubi</v>
      </c>
      <c r="G446" t="str">
        <f>Koond_kulud!G475</f>
        <v>Ürituste plaan 2020</v>
      </c>
      <c r="H446">
        <f>Koond_kulud!H475</f>
        <v>7200</v>
      </c>
      <c r="I446" t="str">
        <f>Koond_kulud!I475</f>
        <v>Filharmoonikud ja advendikingitus Valla ürituste eelarvesse</v>
      </c>
      <c r="J446">
        <f>Koond_kulud!J475</f>
        <v>5525</v>
      </c>
      <c r="K446" t="str">
        <f>Koond_kulud!K475</f>
        <v>Kommunikatsiooni-, kultuuri- ja vaba aja sisustamise kulud</v>
      </c>
      <c r="L446">
        <f>Koond_kulud!L475</f>
        <v>55</v>
      </c>
      <c r="M446" t="str">
        <f>Koond_kulud!M475</f>
        <v>55</v>
      </c>
      <c r="N446" t="str">
        <f>Koond_kulud!N475</f>
        <v>Muud tegevuskulud</v>
      </c>
      <c r="O446" t="str">
        <f>Koond_kulud!O475</f>
        <v>Majandamiskulud</v>
      </c>
      <c r="P446" t="str">
        <f>Koond_kulud!P475</f>
        <v>Põhitegevuse kulu</v>
      </c>
      <c r="Q446">
        <f>Koond_kulud!Q475</f>
        <v>0</v>
      </c>
    </row>
    <row r="447" spans="1:17" hidden="1" x14ac:dyDescent="0.25">
      <c r="A447" t="str">
        <f>Koond_kulud!A476</f>
        <v>08</v>
      </c>
      <c r="B447" t="str">
        <f>Koond_kulud!B476</f>
        <v xml:space="preserve">0820202         </v>
      </c>
      <c r="C447" t="str">
        <f>Koond_kulud!C476</f>
        <v xml:space="preserve"> Pajusti klubi</v>
      </c>
      <c r="D447" t="str">
        <f>Koond_kulud!D476</f>
        <v>Rahvakultuur</v>
      </c>
      <c r="E447" t="str">
        <f>Koond_kulud!E476</f>
        <v>Vabaaeg, kultuur ja religioon</v>
      </c>
      <c r="F447" t="str">
        <f>Koond_kulud!F476</f>
        <v>Pajusti klubi</v>
      </c>
      <c r="G447" t="str">
        <f>Koond_kulud!G476</f>
        <v>Sideteenused</v>
      </c>
      <c r="H447">
        <f>Koond_kulud!H476</f>
        <v>560.04999999999995</v>
      </c>
      <c r="I447">
        <f>Koond_kulud!I476</f>
        <v>0</v>
      </c>
      <c r="J447">
        <f>Koond_kulud!J476</f>
        <v>5500</v>
      </c>
      <c r="K447" t="str">
        <f>Koond_kulud!K476</f>
        <v>Administreerimiskulud</v>
      </c>
      <c r="L447">
        <f>Koond_kulud!L476</f>
        <v>55</v>
      </c>
      <c r="M447" t="str">
        <f>Koond_kulud!M476</f>
        <v>55</v>
      </c>
      <c r="N447" t="str">
        <f>Koond_kulud!N476</f>
        <v>Muud tegevuskulud</v>
      </c>
      <c r="O447" t="str">
        <f>Koond_kulud!O476</f>
        <v>Majandamiskulud</v>
      </c>
      <c r="P447" t="str">
        <f>Koond_kulud!P476</f>
        <v>Põhitegevuse kulu</v>
      </c>
      <c r="Q447">
        <f>Koond_kulud!Q476</f>
        <v>0</v>
      </c>
    </row>
    <row r="448" spans="1:17" hidden="1" x14ac:dyDescent="0.25">
      <c r="A448" t="str">
        <f>Koond_kulud!A477</f>
        <v>08</v>
      </c>
      <c r="B448" t="str">
        <f>Koond_kulud!B477</f>
        <v xml:space="preserve">0820202         </v>
      </c>
      <c r="C448" t="str">
        <f>Koond_kulud!C477</f>
        <v xml:space="preserve"> Pajusti klubi</v>
      </c>
      <c r="D448" t="str">
        <f>Koond_kulud!D477</f>
        <v>Rahvakultuur</v>
      </c>
      <c r="E448" t="str">
        <f>Koond_kulud!E477</f>
        <v>Vabaaeg, kultuur ja religioon</v>
      </c>
      <c r="F448" t="str">
        <f>Koond_kulud!F477</f>
        <v>Pajusti klubi</v>
      </c>
      <c r="G448" t="str">
        <f>Koond_kulud!G477</f>
        <v>kontoritarbed</v>
      </c>
      <c r="H448">
        <f>Koond_kulud!H477</f>
        <v>300</v>
      </c>
      <c r="I448">
        <f>Koond_kulud!I477</f>
        <v>0</v>
      </c>
      <c r="J448">
        <f>Koond_kulud!J477</f>
        <v>5500</v>
      </c>
      <c r="K448" t="str">
        <f>Koond_kulud!K477</f>
        <v>Administreerimiskulud</v>
      </c>
      <c r="L448">
        <f>Koond_kulud!L477</f>
        <v>55</v>
      </c>
      <c r="M448" t="str">
        <f>Koond_kulud!M477</f>
        <v>55</v>
      </c>
      <c r="N448" t="str">
        <f>Koond_kulud!N477</f>
        <v>Muud tegevuskulud</v>
      </c>
      <c r="O448" t="str">
        <f>Koond_kulud!O477</f>
        <v>Majandamiskulud</v>
      </c>
      <c r="P448" t="str">
        <f>Koond_kulud!P477</f>
        <v>Põhitegevuse kulu</v>
      </c>
      <c r="Q448">
        <f>Koond_kulud!Q477</f>
        <v>0</v>
      </c>
    </row>
    <row r="449" spans="1:17" hidden="1" x14ac:dyDescent="0.25">
      <c r="A449" t="str">
        <f>Koond_kulud!A478</f>
        <v>08</v>
      </c>
      <c r="B449" t="str">
        <f>Koond_kulud!B478</f>
        <v xml:space="preserve">0820202         </v>
      </c>
      <c r="C449" t="str">
        <f>Koond_kulud!C478</f>
        <v xml:space="preserve"> Pajusti klubi</v>
      </c>
      <c r="D449" t="str">
        <f>Koond_kulud!D478</f>
        <v>Rahvakultuur</v>
      </c>
      <c r="E449" t="str">
        <f>Koond_kulud!E478</f>
        <v>Vabaaeg, kultuur ja religioon</v>
      </c>
      <c r="F449" t="str">
        <f>Koond_kulud!F478</f>
        <v>Pajusti klubi</v>
      </c>
      <c r="G449" t="str">
        <f>Koond_kulud!G478</f>
        <v>Lilled Mõttelõng</v>
      </c>
      <c r="H449">
        <f>Koond_kulud!H478</f>
        <v>270</v>
      </c>
      <c r="I449">
        <f>Koond_kulud!I478</f>
        <v>0</v>
      </c>
      <c r="J449">
        <f>Koond_kulud!J478</f>
        <v>5525</v>
      </c>
      <c r="K449" t="str">
        <f>Koond_kulud!K478</f>
        <v>Kommunikatsiooni-, kultuuri- ja vaba aja sisustamise kulud</v>
      </c>
      <c r="L449">
        <f>Koond_kulud!L478</f>
        <v>55</v>
      </c>
      <c r="M449" t="str">
        <f>Koond_kulud!M478</f>
        <v>55</v>
      </c>
      <c r="N449" t="str">
        <f>Koond_kulud!N478</f>
        <v>Muud tegevuskulud</v>
      </c>
      <c r="O449" t="str">
        <f>Koond_kulud!O478</f>
        <v>Majandamiskulud</v>
      </c>
      <c r="P449" t="str">
        <f>Koond_kulud!P478</f>
        <v>Põhitegevuse kulu</v>
      </c>
      <c r="Q449">
        <f>Koond_kulud!Q478</f>
        <v>0</v>
      </c>
    </row>
    <row r="450" spans="1:17" hidden="1" x14ac:dyDescent="0.25">
      <c r="A450" t="str">
        <f>Koond_kulud!A479</f>
        <v>08</v>
      </c>
      <c r="B450" t="str">
        <f>Koond_kulud!B479</f>
        <v xml:space="preserve">0820202         </v>
      </c>
      <c r="C450" t="str">
        <f>Koond_kulud!C479</f>
        <v xml:space="preserve"> Pajusti klubi</v>
      </c>
      <c r="D450" t="str">
        <f>Koond_kulud!D479</f>
        <v>Rahvakultuur</v>
      </c>
      <c r="E450" t="str">
        <f>Koond_kulud!E479</f>
        <v>Vabaaeg, kultuur ja religioon</v>
      </c>
      <c r="F450" t="str">
        <f>Koond_kulud!F479</f>
        <v>Pajusti klubi</v>
      </c>
      <c r="G450" t="str">
        <f>Koond_kulud!G479</f>
        <v>Lilled Elutark</v>
      </c>
      <c r="H450">
        <f>Koond_kulud!H479</f>
        <v>270</v>
      </c>
      <c r="I450">
        <f>Koond_kulud!I479</f>
        <v>0</v>
      </c>
      <c r="J450">
        <f>Koond_kulud!J479</f>
        <v>5525</v>
      </c>
      <c r="K450" t="str">
        <f>Koond_kulud!K479</f>
        <v>Kommunikatsiooni-, kultuuri- ja vaba aja sisustamise kulud</v>
      </c>
      <c r="L450">
        <f>Koond_kulud!L479</f>
        <v>55</v>
      </c>
      <c r="M450" t="str">
        <f>Koond_kulud!M479</f>
        <v>55</v>
      </c>
      <c r="N450" t="str">
        <f>Koond_kulud!N479</f>
        <v>Muud tegevuskulud</v>
      </c>
      <c r="O450" t="str">
        <f>Koond_kulud!O479</f>
        <v>Majandamiskulud</v>
      </c>
      <c r="P450" t="str">
        <f>Koond_kulud!P479</f>
        <v>Põhitegevuse kulu</v>
      </c>
      <c r="Q450">
        <f>Koond_kulud!Q479</f>
        <v>0</v>
      </c>
    </row>
    <row r="451" spans="1:17" hidden="1" x14ac:dyDescent="0.25">
      <c r="A451" t="str">
        <f>Koond_kulud!A480</f>
        <v>08</v>
      </c>
      <c r="B451" t="str">
        <f>Koond_kulud!B480</f>
        <v xml:space="preserve">0820203         </v>
      </c>
      <c r="C451" t="str">
        <f>Koond_kulud!C480</f>
        <v xml:space="preserve"> Roela Rahvamaja</v>
      </c>
      <c r="D451" t="str">
        <f>Koond_kulud!D480</f>
        <v>Rahvakultuur</v>
      </c>
      <c r="E451" t="str">
        <f>Koond_kulud!E480</f>
        <v>Vabaaeg, kultuur ja religioon</v>
      </c>
      <c r="F451" t="str">
        <f>Koond_kulud!F480</f>
        <v>Roela Rahvamaja</v>
      </c>
      <c r="G451" t="str">
        <f>Koond_kulud!G480</f>
        <v>küte</v>
      </c>
      <c r="H451">
        <f>Koond_kulud!H480</f>
        <v>16000</v>
      </c>
      <c r="I451" t="str">
        <f>Koond_kulud!I480</f>
        <v>õliküte 21000 l. aastas</v>
      </c>
      <c r="J451">
        <f>Koond_kulud!J480</f>
        <v>5511</v>
      </c>
      <c r="K451" t="str">
        <f>Koond_kulud!K480</f>
        <v>Kinnistute, hoonete ja ruumide majandamiskulud</v>
      </c>
      <c r="L451">
        <f>Koond_kulud!L480</f>
        <v>55</v>
      </c>
      <c r="M451" t="str">
        <f>Koond_kulud!M480</f>
        <v>55</v>
      </c>
      <c r="N451" t="str">
        <f>Koond_kulud!N480</f>
        <v>Muud tegevuskulud</v>
      </c>
      <c r="O451" t="str">
        <f>Koond_kulud!O480</f>
        <v>Majandamiskulud</v>
      </c>
      <c r="P451" t="str">
        <f>Koond_kulud!P480</f>
        <v>Põhitegevuse kulu</v>
      </c>
      <c r="Q451">
        <f>Koond_kulud!Q480</f>
        <v>0</v>
      </c>
    </row>
    <row r="452" spans="1:17" hidden="1" x14ac:dyDescent="0.25">
      <c r="A452" t="str">
        <f>Koond_kulud!A481</f>
        <v>08</v>
      </c>
      <c r="B452" t="str">
        <f>Koond_kulud!B481</f>
        <v xml:space="preserve">0820203         </v>
      </c>
      <c r="C452" t="str">
        <f>Koond_kulud!C481</f>
        <v xml:space="preserve"> Roela Rahvamaja</v>
      </c>
      <c r="D452" t="str">
        <f>Koond_kulud!D481</f>
        <v>Rahvakultuur</v>
      </c>
      <c r="E452" t="str">
        <f>Koond_kulud!E481</f>
        <v>Vabaaeg, kultuur ja religioon</v>
      </c>
      <c r="F452" t="str">
        <f>Koond_kulud!F481</f>
        <v>Roela Rahvamaja</v>
      </c>
      <c r="G452" t="str">
        <f>Koond_kulud!G481</f>
        <v>elekter</v>
      </c>
      <c r="H452">
        <f>Koond_kulud!H481</f>
        <v>4800</v>
      </c>
      <c r="I452" t="str">
        <f>Koond_kulud!I481</f>
        <v>28455 mhv rahvamaja, arvestuses ka Sinilille tn. valgustus</v>
      </c>
      <c r="J452">
        <f>Koond_kulud!J481</f>
        <v>5511</v>
      </c>
      <c r="K452" t="str">
        <f>Koond_kulud!K481</f>
        <v>Kinnistute, hoonete ja ruumide majandamiskulud</v>
      </c>
      <c r="L452">
        <f>Koond_kulud!L481</f>
        <v>55</v>
      </c>
      <c r="M452" t="str">
        <f>Koond_kulud!M481</f>
        <v>55</v>
      </c>
      <c r="N452" t="str">
        <f>Koond_kulud!N481</f>
        <v>Muud tegevuskulud</v>
      </c>
      <c r="O452" t="str">
        <f>Koond_kulud!O481</f>
        <v>Majandamiskulud</v>
      </c>
      <c r="P452" t="str">
        <f>Koond_kulud!P481</f>
        <v>Põhitegevuse kulu</v>
      </c>
      <c r="Q452">
        <f>Koond_kulud!Q481</f>
        <v>0</v>
      </c>
    </row>
    <row r="453" spans="1:17" hidden="1" x14ac:dyDescent="0.25">
      <c r="A453" t="str">
        <f>Koond_kulud!A482</f>
        <v>08</v>
      </c>
      <c r="B453" t="str">
        <f>Koond_kulud!B482</f>
        <v xml:space="preserve">0820203         </v>
      </c>
      <c r="C453" t="str">
        <f>Koond_kulud!C482</f>
        <v xml:space="preserve"> Roela Rahvamaja</v>
      </c>
      <c r="D453" t="str">
        <f>Koond_kulud!D482</f>
        <v>Rahvakultuur</v>
      </c>
      <c r="E453" t="str">
        <f>Koond_kulud!E482</f>
        <v>Vabaaeg, kultuur ja religioon</v>
      </c>
      <c r="F453" t="str">
        <f>Koond_kulud!F482</f>
        <v>Roela Rahvamaja</v>
      </c>
      <c r="G453" t="str">
        <f>Koond_kulud!G482</f>
        <v>vesi ja kanalisatsioon</v>
      </c>
      <c r="H453">
        <f>Koond_kulud!H482</f>
        <v>2575</v>
      </c>
      <c r="I453" t="str">
        <f>Koond_kulud!I482</f>
        <v>Virumaa Veepumbakeskus, Fixum</v>
      </c>
      <c r="J453">
        <f>Koond_kulud!J482</f>
        <v>5511</v>
      </c>
      <c r="K453" t="str">
        <f>Koond_kulud!K482</f>
        <v>Kinnistute, hoonete ja ruumide majandamiskulud</v>
      </c>
      <c r="L453">
        <f>Koond_kulud!L482</f>
        <v>55</v>
      </c>
      <c r="M453" t="str">
        <f>Koond_kulud!M482</f>
        <v>55</v>
      </c>
      <c r="N453" t="str">
        <f>Koond_kulud!N482</f>
        <v>Muud tegevuskulud</v>
      </c>
      <c r="O453" t="str">
        <f>Koond_kulud!O482</f>
        <v>Majandamiskulud</v>
      </c>
      <c r="P453" t="str">
        <f>Koond_kulud!P482</f>
        <v>Põhitegevuse kulu</v>
      </c>
      <c r="Q453">
        <f>Koond_kulud!Q482</f>
        <v>0</v>
      </c>
    </row>
    <row r="454" spans="1:17" hidden="1" x14ac:dyDescent="0.25">
      <c r="A454" t="str">
        <f>Koond_kulud!A483</f>
        <v>08</v>
      </c>
      <c r="B454" t="str">
        <f>Koond_kulud!B483</f>
        <v xml:space="preserve">0820203         </v>
      </c>
      <c r="C454" t="str">
        <f>Koond_kulud!C483</f>
        <v xml:space="preserve"> Roela Rahvamaja</v>
      </c>
      <c r="D454" t="str">
        <f>Koond_kulud!D483</f>
        <v>Rahvakultuur</v>
      </c>
      <c r="E454" t="str">
        <f>Koond_kulud!E483</f>
        <v>Vabaaeg, kultuur ja religioon</v>
      </c>
      <c r="F454" t="str">
        <f>Koond_kulud!F483</f>
        <v>Roela Rahvamaja</v>
      </c>
      <c r="G454" t="str">
        <f>Koond_kulud!G483</f>
        <v>ATS hooldus</v>
      </c>
      <c r="H454">
        <f>Koond_kulud!H483</f>
        <v>460</v>
      </c>
      <c r="I454" t="str">
        <f>Koond_kulud!I483</f>
        <v>U.K.V. Grupp</v>
      </c>
      <c r="J454">
        <f>Koond_kulud!J483</f>
        <v>5511</v>
      </c>
      <c r="K454" t="str">
        <f>Koond_kulud!K483</f>
        <v>Kinnistute, hoonete ja ruumide majandamiskulud</v>
      </c>
      <c r="L454">
        <f>Koond_kulud!L483</f>
        <v>55</v>
      </c>
      <c r="M454" t="str">
        <f>Koond_kulud!M483</f>
        <v>55</v>
      </c>
      <c r="N454" t="str">
        <f>Koond_kulud!N483</f>
        <v>Muud tegevuskulud</v>
      </c>
      <c r="O454" t="str">
        <f>Koond_kulud!O483</f>
        <v>Majandamiskulud</v>
      </c>
      <c r="P454" t="str">
        <f>Koond_kulud!P483</f>
        <v>Põhitegevuse kulu</v>
      </c>
      <c r="Q454">
        <f>Koond_kulud!Q483</f>
        <v>0</v>
      </c>
    </row>
    <row r="455" spans="1:17" hidden="1" x14ac:dyDescent="0.25">
      <c r="A455" t="str">
        <f>Koond_kulud!A484</f>
        <v>08</v>
      </c>
      <c r="B455" t="str">
        <f>Koond_kulud!B484</f>
        <v xml:space="preserve">0820203         </v>
      </c>
      <c r="C455" t="str">
        <f>Koond_kulud!C484</f>
        <v xml:space="preserve"> Roela Rahvamaja</v>
      </c>
      <c r="D455" t="str">
        <f>Koond_kulud!D484</f>
        <v>Rahvakultuur</v>
      </c>
      <c r="E455" t="str">
        <f>Koond_kulud!E484</f>
        <v>Vabaaeg, kultuur ja religioon</v>
      </c>
      <c r="F455" t="str">
        <f>Koond_kulud!F484</f>
        <v>Roela Rahvamaja</v>
      </c>
      <c r="G455" t="str">
        <f>Koond_kulud!G484</f>
        <v>korrashoiuvahendid</v>
      </c>
      <c r="H455">
        <f>Koond_kulud!H484</f>
        <v>360</v>
      </c>
      <c r="I455" t="str">
        <f>Koond_kulud!I484</f>
        <v>wc paber, harjad, lapid, kodukeemia</v>
      </c>
      <c r="J455">
        <f>Koond_kulud!J484</f>
        <v>5511</v>
      </c>
      <c r="K455" t="str">
        <f>Koond_kulud!K484</f>
        <v>Kinnistute, hoonete ja ruumide majandamiskulud</v>
      </c>
      <c r="L455">
        <f>Koond_kulud!L484</f>
        <v>55</v>
      </c>
      <c r="M455" t="str">
        <f>Koond_kulud!M484</f>
        <v>55</v>
      </c>
      <c r="N455" t="str">
        <f>Koond_kulud!N484</f>
        <v>Muud tegevuskulud</v>
      </c>
      <c r="O455" t="str">
        <f>Koond_kulud!O484</f>
        <v>Majandamiskulud</v>
      </c>
      <c r="P455" t="str">
        <f>Koond_kulud!P484</f>
        <v>Põhitegevuse kulu</v>
      </c>
      <c r="Q455">
        <f>Koond_kulud!Q484</f>
        <v>0</v>
      </c>
    </row>
    <row r="456" spans="1:17" hidden="1" x14ac:dyDescent="0.25">
      <c r="A456" t="str">
        <f>Koond_kulud!A485</f>
        <v>08</v>
      </c>
      <c r="B456" t="str">
        <f>Koond_kulud!B485</f>
        <v xml:space="preserve">0820203         </v>
      </c>
      <c r="C456" t="str">
        <f>Koond_kulud!C485</f>
        <v xml:space="preserve"> Roela Rahvamaja</v>
      </c>
      <c r="D456" t="str">
        <f>Koond_kulud!D485</f>
        <v>Rahvakultuur</v>
      </c>
      <c r="E456" t="str">
        <f>Koond_kulud!E485</f>
        <v>Vabaaeg, kultuur ja religioon</v>
      </c>
      <c r="F456" t="str">
        <f>Koond_kulud!F485</f>
        <v>Roela Rahvamaja</v>
      </c>
      <c r="G456" t="str">
        <f>Koond_kulud!G485</f>
        <v>valgustid</v>
      </c>
      <c r="H456">
        <f>Koond_kulud!H485</f>
        <v>400</v>
      </c>
      <c r="I456" t="str">
        <f>Koond_kulud!I485</f>
        <v>pirnid, prožektorid</v>
      </c>
      <c r="J456">
        <f>Koond_kulud!J485</f>
        <v>5511</v>
      </c>
      <c r="K456" t="str">
        <f>Koond_kulud!K485</f>
        <v>Kinnistute, hoonete ja ruumide majandamiskulud</v>
      </c>
      <c r="L456">
        <f>Koond_kulud!L485</f>
        <v>55</v>
      </c>
      <c r="M456" t="str">
        <f>Koond_kulud!M485</f>
        <v>55</v>
      </c>
      <c r="N456" t="str">
        <f>Koond_kulud!N485</f>
        <v>Muud tegevuskulud</v>
      </c>
      <c r="O456" t="str">
        <f>Koond_kulud!O485</f>
        <v>Majandamiskulud</v>
      </c>
      <c r="P456" t="str">
        <f>Koond_kulud!P485</f>
        <v>Põhitegevuse kulu</v>
      </c>
      <c r="Q456">
        <f>Koond_kulud!Q485</f>
        <v>0</v>
      </c>
    </row>
    <row r="457" spans="1:17" hidden="1" x14ac:dyDescent="0.25">
      <c r="A457" t="str">
        <f>Koond_kulud!A486</f>
        <v>08</v>
      </c>
      <c r="B457" t="str">
        <f>Koond_kulud!B486</f>
        <v xml:space="preserve">0820203         </v>
      </c>
      <c r="C457" t="str">
        <f>Koond_kulud!C486</f>
        <v xml:space="preserve"> Roela Rahvamaja</v>
      </c>
      <c r="D457" t="str">
        <f>Koond_kulud!D486</f>
        <v>Rahvakultuur</v>
      </c>
      <c r="E457" t="str">
        <f>Koond_kulud!E486</f>
        <v>Vabaaeg, kultuur ja religioon</v>
      </c>
      <c r="F457" t="str">
        <f>Koond_kulud!F486</f>
        <v>Roela Rahvamaja</v>
      </c>
      <c r="G457" t="str">
        <f>Koond_kulud!G486</f>
        <v>pesu pesemine</v>
      </c>
      <c r="H457">
        <f>Koond_kulud!H486</f>
        <v>100</v>
      </c>
      <c r="I457" t="str">
        <f>Koond_kulud!I486</f>
        <v>teenus</v>
      </c>
      <c r="J457">
        <f>Koond_kulud!J486</f>
        <v>5511</v>
      </c>
      <c r="K457" t="str">
        <f>Koond_kulud!K486</f>
        <v>Kinnistute, hoonete ja ruumide majandamiskulud</v>
      </c>
      <c r="L457">
        <f>Koond_kulud!L486</f>
        <v>55</v>
      </c>
      <c r="M457" t="str">
        <f>Koond_kulud!M486</f>
        <v>55</v>
      </c>
      <c r="N457" t="str">
        <f>Koond_kulud!N486</f>
        <v>Muud tegevuskulud</v>
      </c>
      <c r="O457" t="str">
        <f>Koond_kulud!O486</f>
        <v>Majandamiskulud</v>
      </c>
      <c r="P457" t="str">
        <f>Koond_kulud!P486</f>
        <v>Põhitegevuse kulu</v>
      </c>
      <c r="Q457">
        <f>Koond_kulud!Q486</f>
        <v>0</v>
      </c>
    </row>
    <row r="458" spans="1:17" hidden="1" x14ac:dyDescent="0.25">
      <c r="A458" t="str">
        <f>Koond_kulud!A487</f>
        <v>08</v>
      </c>
      <c r="B458" t="str">
        <f>Koond_kulud!B487</f>
        <v xml:space="preserve">0820203         </v>
      </c>
      <c r="C458" t="str">
        <f>Koond_kulud!C487</f>
        <v xml:space="preserve"> Roela Rahvamaja</v>
      </c>
      <c r="D458" t="str">
        <f>Koond_kulud!D487</f>
        <v>Rahvakultuur</v>
      </c>
      <c r="E458" t="str">
        <f>Koond_kulud!E487</f>
        <v>Vabaaeg, kultuur ja religioon</v>
      </c>
      <c r="F458" t="str">
        <f>Koond_kulud!F487</f>
        <v>Roela Rahvamaja</v>
      </c>
      <c r="G458" t="str">
        <f>Koond_kulud!G487</f>
        <v>remont</v>
      </c>
      <c r="H458">
        <f>Koond_kulud!H487</f>
        <v>220</v>
      </c>
      <c r="I458" t="str">
        <f>Koond_kulud!I487</f>
        <v>pisiremont</v>
      </c>
      <c r="J458">
        <f>Koond_kulud!J487</f>
        <v>5511</v>
      </c>
      <c r="K458" t="str">
        <f>Koond_kulud!K487</f>
        <v>Kinnistute, hoonete ja ruumide majandamiskulud</v>
      </c>
      <c r="L458">
        <f>Koond_kulud!L487</f>
        <v>55</v>
      </c>
      <c r="M458" t="str">
        <f>Koond_kulud!M487</f>
        <v>55</v>
      </c>
      <c r="N458" t="str">
        <f>Koond_kulud!N487</f>
        <v>Muud tegevuskulud</v>
      </c>
      <c r="O458" t="str">
        <f>Koond_kulud!O487</f>
        <v>Majandamiskulud</v>
      </c>
      <c r="P458" t="str">
        <f>Koond_kulud!P487</f>
        <v>Põhitegevuse kulu</v>
      </c>
      <c r="Q458">
        <f>Koond_kulud!Q487</f>
        <v>0</v>
      </c>
    </row>
    <row r="459" spans="1:17" hidden="1" x14ac:dyDescent="0.25">
      <c r="A459" t="str">
        <f>Koond_kulud!A488</f>
        <v>08</v>
      </c>
      <c r="B459" t="str">
        <f>Koond_kulud!B488</f>
        <v xml:space="preserve">0820203         </v>
      </c>
      <c r="C459" t="str">
        <f>Koond_kulud!C488</f>
        <v xml:space="preserve"> Roela Rahvamaja</v>
      </c>
      <c r="D459" t="str">
        <f>Koond_kulud!D488</f>
        <v>Rahvakultuur</v>
      </c>
      <c r="E459" t="str">
        <f>Koond_kulud!E488</f>
        <v>Vabaaeg, kultuur ja religioon</v>
      </c>
      <c r="F459" t="str">
        <f>Koond_kulud!F488</f>
        <v>Roela Rahvamaja</v>
      </c>
      <c r="G459" t="str">
        <f>Koond_kulud!G488</f>
        <v>telefon, internet</v>
      </c>
      <c r="H459">
        <f>Koond_kulud!H488</f>
        <v>730</v>
      </c>
      <c r="I459" t="str">
        <f>Koond_kulud!I488</f>
        <v>3297299,internet digi tv</v>
      </c>
      <c r="J459">
        <f>Koond_kulud!J488</f>
        <v>5500</v>
      </c>
      <c r="K459" t="str">
        <f>Koond_kulud!K488</f>
        <v>Administreerimiskulud</v>
      </c>
      <c r="L459">
        <f>Koond_kulud!L488</f>
        <v>55</v>
      </c>
      <c r="M459" t="str">
        <f>Koond_kulud!M488</f>
        <v>55</v>
      </c>
      <c r="N459" t="str">
        <f>Koond_kulud!N488</f>
        <v>Muud tegevuskulud</v>
      </c>
      <c r="O459" t="str">
        <f>Koond_kulud!O488</f>
        <v>Majandamiskulud</v>
      </c>
      <c r="P459" t="str">
        <f>Koond_kulud!P488</f>
        <v>Põhitegevuse kulu</v>
      </c>
      <c r="Q459">
        <f>Koond_kulud!Q488</f>
        <v>0</v>
      </c>
    </row>
    <row r="460" spans="1:17" hidden="1" x14ac:dyDescent="0.25">
      <c r="A460" t="str">
        <f>Koond_kulud!A489</f>
        <v>08</v>
      </c>
      <c r="B460" t="str">
        <f>Koond_kulud!B489</f>
        <v xml:space="preserve">0820203         </v>
      </c>
      <c r="C460" t="str">
        <f>Koond_kulud!C489</f>
        <v xml:space="preserve"> Roela Rahvamaja</v>
      </c>
      <c r="D460" t="str">
        <f>Koond_kulud!D489</f>
        <v>Rahvakultuur</v>
      </c>
      <c r="E460" t="str">
        <f>Koond_kulud!E489</f>
        <v>Vabaaeg, kultuur ja religioon</v>
      </c>
      <c r="F460" t="str">
        <f>Koond_kulud!F489</f>
        <v>Roela Rahvamaja</v>
      </c>
      <c r="G460" t="str">
        <f>Koond_kulud!G489</f>
        <v>mobiiltelefon</v>
      </c>
      <c r="H460">
        <f>Koond_kulud!H489</f>
        <v>120</v>
      </c>
      <c r="I460">
        <f>Koond_kulud!I489</f>
        <v>5273878</v>
      </c>
      <c r="J460">
        <f>Koond_kulud!J489</f>
        <v>5500</v>
      </c>
      <c r="K460" t="str">
        <f>Koond_kulud!K489</f>
        <v>Administreerimiskulud</v>
      </c>
      <c r="L460">
        <f>Koond_kulud!L489</f>
        <v>55</v>
      </c>
      <c r="M460" t="str">
        <f>Koond_kulud!M489</f>
        <v>55</v>
      </c>
      <c r="N460" t="str">
        <f>Koond_kulud!N489</f>
        <v>Muud tegevuskulud</v>
      </c>
      <c r="O460" t="str">
        <f>Koond_kulud!O489</f>
        <v>Majandamiskulud</v>
      </c>
      <c r="P460" t="str">
        <f>Koond_kulud!P489</f>
        <v>Põhitegevuse kulu</v>
      </c>
      <c r="Q460">
        <f>Koond_kulud!Q489</f>
        <v>0</v>
      </c>
    </row>
    <row r="461" spans="1:17" hidden="1" x14ac:dyDescent="0.25">
      <c r="A461" t="str">
        <f>Koond_kulud!A490</f>
        <v>08</v>
      </c>
      <c r="B461" t="str">
        <f>Koond_kulud!B490</f>
        <v xml:space="preserve">0820203         </v>
      </c>
      <c r="C461" t="str">
        <f>Koond_kulud!C490</f>
        <v xml:space="preserve"> Roela Rahvamaja</v>
      </c>
      <c r="D461" t="str">
        <f>Koond_kulud!D490</f>
        <v>Rahvakultuur</v>
      </c>
      <c r="E461" t="str">
        <f>Koond_kulud!E490</f>
        <v>Vabaaeg, kultuur ja religioon</v>
      </c>
      <c r="F461" t="str">
        <f>Koond_kulud!F490</f>
        <v>Roela Rahvamaja</v>
      </c>
      <c r="G461" t="str">
        <f>Koond_kulud!G490</f>
        <v>postikulu, kuulutused</v>
      </c>
      <c r="H461">
        <f>Koond_kulud!H490</f>
        <v>110</v>
      </c>
      <c r="I461" t="str">
        <f>Koond_kulud!I490</f>
        <v>üritused,ümbrikud, plakatid</v>
      </c>
      <c r="J461">
        <f>Koond_kulud!J490</f>
        <v>5500</v>
      </c>
      <c r="K461" t="str">
        <f>Koond_kulud!K490</f>
        <v>Administreerimiskulud</v>
      </c>
      <c r="L461">
        <f>Koond_kulud!L490</f>
        <v>55</v>
      </c>
      <c r="M461" t="str">
        <f>Koond_kulud!M490</f>
        <v>55</v>
      </c>
      <c r="N461" t="str">
        <f>Koond_kulud!N490</f>
        <v>Muud tegevuskulud</v>
      </c>
      <c r="O461" t="str">
        <f>Koond_kulud!O490</f>
        <v>Majandamiskulud</v>
      </c>
      <c r="P461" t="str">
        <f>Koond_kulud!P490</f>
        <v>Põhitegevuse kulu</v>
      </c>
      <c r="Q461">
        <f>Koond_kulud!Q490</f>
        <v>0</v>
      </c>
    </row>
    <row r="462" spans="1:17" hidden="1" x14ac:dyDescent="0.25">
      <c r="A462" t="str">
        <f>Koond_kulud!A491</f>
        <v>08</v>
      </c>
      <c r="B462" t="str">
        <f>Koond_kulud!B491</f>
        <v xml:space="preserve">0820203         </v>
      </c>
      <c r="C462" t="str">
        <f>Koond_kulud!C491</f>
        <v xml:space="preserve"> Roela Rahvamaja</v>
      </c>
      <c r="D462" t="str">
        <f>Koond_kulud!D491</f>
        <v>Rahvakultuur</v>
      </c>
      <c r="E462" t="str">
        <f>Koond_kulud!E491</f>
        <v>Vabaaeg, kultuur ja religioon</v>
      </c>
      <c r="F462" t="str">
        <f>Koond_kulud!F491</f>
        <v>Roela Rahvamaja</v>
      </c>
      <c r="G462" t="str">
        <f>Koond_kulud!G491</f>
        <v>tahma- ja tindikassetid</v>
      </c>
      <c r="H462">
        <f>Koond_kulud!H491</f>
        <v>190</v>
      </c>
      <c r="I462" t="str">
        <f>Koond_kulud!I491</f>
        <v>printerid</v>
      </c>
      <c r="J462">
        <f>Koond_kulud!J491</f>
        <v>5500</v>
      </c>
      <c r="K462" t="str">
        <f>Koond_kulud!K491</f>
        <v>Administreerimiskulud</v>
      </c>
      <c r="L462">
        <f>Koond_kulud!L491</f>
        <v>55</v>
      </c>
      <c r="M462" t="str">
        <f>Koond_kulud!M491</f>
        <v>55</v>
      </c>
      <c r="N462" t="str">
        <f>Koond_kulud!N491</f>
        <v>Muud tegevuskulud</v>
      </c>
      <c r="O462" t="str">
        <f>Koond_kulud!O491</f>
        <v>Majandamiskulud</v>
      </c>
      <c r="P462" t="str">
        <f>Koond_kulud!P491</f>
        <v>Põhitegevuse kulu</v>
      </c>
      <c r="Q462">
        <f>Koond_kulud!Q491</f>
        <v>0</v>
      </c>
    </row>
    <row r="463" spans="1:17" hidden="1" x14ac:dyDescent="0.25">
      <c r="A463" t="str">
        <f>Koond_kulud!A492</f>
        <v>08</v>
      </c>
      <c r="B463" t="str">
        <f>Koond_kulud!B492</f>
        <v xml:space="preserve">0820203         </v>
      </c>
      <c r="C463" t="str">
        <f>Koond_kulud!C492</f>
        <v xml:space="preserve"> Roela Rahvamaja</v>
      </c>
      <c r="D463" t="str">
        <f>Koond_kulud!D492</f>
        <v>Rahvakultuur</v>
      </c>
      <c r="E463" t="str">
        <f>Koond_kulud!E492</f>
        <v>Vabaaeg, kultuur ja religioon</v>
      </c>
      <c r="F463" t="str">
        <f>Koond_kulud!F492</f>
        <v>Roela Rahvamaja</v>
      </c>
      <c r="G463" t="str">
        <f>Koond_kulud!G492</f>
        <v>koolitused</v>
      </c>
      <c r="H463">
        <f>Koond_kulud!H492</f>
        <v>560</v>
      </c>
      <c r="I463" t="str">
        <f>Koond_kulud!I492</f>
        <v>juhataja,ringijuhid</v>
      </c>
      <c r="J463">
        <f>Koond_kulud!J492</f>
        <v>5504</v>
      </c>
      <c r="K463" t="str">
        <f>Koond_kulud!K492</f>
        <v>Koolituskulud</v>
      </c>
      <c r="L463">
        <f>Koond_kulud!L492</f>
        <v>55</v>
      </c>
      <c r="M463" t="str">
        <f>Koond_kulud!M492</f>
        <v>55</v>
      </c>
      <c r="N463" t="str">
        <f>Koond_kulud!N492</f>
        <v>Muud tegevuskulud</v>
      </c>
      <c r="O463" t="str">
        <f>Koond_kulud!O492</f>
        <v>Majandamiskulud</v>
      </c>
      <c r="P463" t="str">
        <f>Koond_kulud!P492</f>
        <v>Põhitegevuse kulu</v>
      </c>
      <c r="Q463">
        <f>Koond_kulud!Q492</f>
        <v>0</v>
      </c>
    </row>
    <row r="464" spans="1:17" hidden="1" x14ac:dyDescent="0.25">
      <c r="A464" t="str">
        <f>Koond_kulud!A493</f>
        <v>08</v>
      </c>
      <c r="B464" t="str">
        <f>Koond_kulud!B493</f>
        <v xml:space="preserve">0820203         </v>
      </c>
      <c r="C464" t="str">
        <f>Koond_kulud!C493</f>
        <v xml:space="preserve"> Roela Rahvamaja</v>
      </c>
      <c r="D464" t="str">
        <f>Koond_kulud!D493</f>
        <v>Rahvakultuur</v>
      </c>
      <c r="E464" t="str">
        <f>Koond_kulud!E493</f>
        <v>Vabaaeg, kultuur ja religioon</v>
      </c>
      <c r="F464" t="str">
        <f>Koond_kulud!F493</f>
        <v>Roela Rahvamaja</v>
      </c>
      <c r="G464" t="str">
        <f>Koond_kulud!G493</f>
        <v>isikliku sõiduauto komp.</v>
      </c>
      <c r="H464">
        <f>Koond_kulud!H493</f>
        <v>1536</v>
      </c>
      <c r="I464" t="str">
        <f>Koond_kulud!I493</f>
        <v>12 kuud</v>
      </c>
      <c r="J464">
        <f>Koond_kulud!J493</f>
        <v>5513</v>
      </c>
      <c r="K464" t="str">
        <f>Koond_kulud!K493</f>
        <v>Sõidukite ülalpidamise kulud</v>
      </c>
      <c r="L464">
        <f>Koond_kulud!L493</f>
        <v>55</v>
      </c>
      <c r="M464" t="str">
        <f>Koond_kulud!M493</f>
        <v>55</v>
      </c>
      <c r="N464" t="str">
        <f>Koond_kulud!N493</f>
        <v>Muud tegevuskulud</v>
      </c>
      <c r="O464" t="str">
        <f>Koond_kulud!O493</f>
        <v>Majandamiskulud</v>
      </c>
      <c r="P464" t="str">
        <f>Koond_kulud!P493</f>
        <v>Põhitegevuse kulu</v>
      </c>
      <c r="Q464">
        <f>Koond_kulud!Q493</f>
        <v>0</v>
      </c>
    </row>
    <row r="465" spans="1:17" hidden="1" x14ac:dyDescent="0.25">
      <c r="A465" t="str">
        <f>Koond_kulud!A494</f>
        <v>08</v>
      </c>
      <c r="B465" t="str">
        <f>Koond_kulud!B494</f>
        <v xml:space="preserve">0820203         </v>
      </c>
      <c r="C465" t="str">
        <f>Koond_kulud!C494</f>
        <v xml:space="preserve"> Roela Rahvamaja</v>
      </c>
      <c r="D465" t="str">
        <f>Koond_kulud!D494</f>
        <v>Rahvakultuur</v>
      </c>
      <c r="E465" t="str">
        <f>Koond_kulud!E494</f>
        <v>Vabaaeg, kultuur ja religioon</v>
      </c>
      <c r="F465" t="str">
        <f>Koond_kulud!F494</f>
        <v>Roela Rahvamaja</v>
      </c>
      <c r="G465" t="str">
        <f>Koond_kulud!G494</f>
        <v>näituste korraldamise kulud</v>
      </c>
      <c r="H465">
        <f>Koond_kulud!H494</f>
        <v>400</v>
      </c>
      <c r="I465" t="str">
        <f>Koond_kulud!I494</f>
        <v>ülesseadmine,transport</v>
      </c>
      <c r="J465">
        <f>Koond_kulud!J494</f>
        <v>5525</v>
      </c>
      <c r="K465" t="str">
        <f>Koond_kulud!K494</f>
        <v>Kommunikatsiooni-, kultuuri- ja vaba aja sisustamise kulud</v>
      </c>
      <c r="L465">
        <f>Koond_kulud!L494</f>
        <v>55</v>
      </c>
      <c r="M465" t="str">
        <f>Koond_kulud!M494</f>
        <v>55</v>
      </c>
      <c r="N465" t="str">
        <f>Koond_kulud!N494</f>
        <v>Muud tegevuskulud</v>
      </c>
      <c r="O465" t="str">
        <f>Koond_kulud!O494</f>
        <v>Majandamiskulud</v>
      </c>
      <c r="P465" t="str">
        <f>Koond_kulud!P494</f>
        <v>Põhitegevuse kulu</v>
      </c>
      <c r="Q465">
        <f>Koond_kulud!Q494</f>
        <v>0</v>
      </c>
    </row>
    <row r="466" spans="1:17" hidden="1" x14ac:dyDescent="0.25">
      <c r="A466" t="str">
        <f>Koond_kulud!A495</f>
        <v>08</v>
      </c>
      <c r="B466" t="str">
        <f>Koond_kulud!B495</f>
        <v xml:space="preserve">0820203         </v>
      </c>
      <c r="C466" t="str">
        <f>Koond_kulud!C495</f>
        <v xml:space="preserve"> Roela Rahvamaja</v>
      </c>
      <c r="D466" t="str">
        <f>Koond_kulud!D495</f>
        <v>Rahvakultuur</v>
      </c>
      <c r="E466" t="str">
        <f>Koond_kulud!E495</f>
        <v>Vabaaeg, kultuur ja religioon</v>
      </c>
      <c r="F466" t="str">
        <f>Koond_kulud!F495</f>
        <v>Roela Rahvamaja</v>
      </c>
      <c r="G466" t="str">
        <f>Koond_kulud!G495</f>
        <v>valgustid (prožektorid),helitehnika (kõlarid,juhtmed)</v>
      </c>
      <c r="H466">
        <f>Koond_kulud!H495</f>
        <v>3200</v>
      </c>
      <c r="I466">
        <f>Koond_kulud!I495</f>
        <v>0</v>
      </c>
      <c r="J466">
        <f>Koond_kulud!J495</f>
        <v>5515</v>
      </c>
      <c r="K466" t="str">
        <f>Koond_kulud!K495</f>
        <v>Inventari kulud, v.a infotehnoloogia ja kaitseotstarbelised kulud</v>
      </c>
      <c r="L466">
        <f>Koond_kulud!L495</f>
        <v>55</v>
      </c>
      <c r="M466" t="str">
        <f>Koond_kulud!M495</f>
        <v>55</v>
      </c>
      <c r="N466" t="str">
        <f>Koond_kulud!N495</f>
        <v>Muud tegevuskulud</v>
      </c>
      <c r="O466" t="str">
        <f>Koond_kulud!O495</f>
        <v>Majandamiskulud</v>
      </c>
      <c r="P466" t="str">
        <f>Koond_kulud!P495</f>
        <v>Põhitegevuse kulu</v>
      </c>
      <c r="Q466">
        <f>Koond_kulud!Q495</f>
        <v>0</v>
      </c>
    </row>
    <row r="467" spans="1:17" hidden="1" x14ac:dyDescent="0.25">
      <c r="A467" t="str">
        <f>Koond_kulud!A496</f>
        <v>08</v>
      </c>
      <c r="B467" t="str">
        <f>Koond_kulud!B496</f>
        <v xml:space="preserve">0820203         </v>
      </c>
      <c r="C467" t="str">
        <f>Koond_kulud!C496</f>
        <v xml:space="preserve"> Roela Rahvamaja</v>
      </c>
      <c r="D467" t="str">
        <f>Koond_kulud!D496</f>
        <v>Rahvakultuur</v>
      </c>
      <c r="E467" t="str">
        <f>Koond_kulud!E496</f>
        <v>Vabaaeg, kultuur ja religioon</v>
      </c>
      <c r="F467" t="str">
        <f>Koond_kulud!F496</f>
        <v>Roela Rahvamaja</v>
      </c>
      <c r="G467" t="str">
        <f>Koond_kulud!G496</f>
        <v>esmaabivahendid,prillid</v>
      </c>
      <c r="H467">
        <f>Koond_kulud!H496</f>
        <v>400</v>
      </c>
      <c r="I467">
        <f>Koond_kulud!I496</f>
        <v>0</v>
      </c>
      <c r="J467">
        <f>Koond_kulud!J496</f>
        <v>5522</v>
      </c>
      <c r="K467" t="str">
        <f>Koond_kulud!K496</f>
        <v>Meditsiinikulud ja hügieenitarbed</v>
      </c>
      <c r="L467">
        <f>Koond_kulud!L496</f>
        <v>55</v>
      </c>
      <c r="M467" t="str">
        <f>Koond_kulud!M496</f>
        <v>55</v>
      </c>
      <c r="N467" t="str">
        <f>Koond_kulud!N496</f>
        <v>Muud tegevuskulud</v>
      </c>
      <c r="O467" t="str">
        <f>Koond_kulud!O496</f>
        <v>Majandamiskulud</v>
      </c>
      <c r="P467" t="str">
        <f>Koond_kulud!P496</f>
        <v>Põhitegevuse kulu</v>
      </c>
      <c r="Q467">
        <f>Koond_kulud!Q496</f>
        <v>0</v>
      </c>
    </row>
    <row r="468" spans="1:17" hidden="1" x14ac:dyDescent="0.25">
      <c r="A468" t="str">
        <f>Koond_kulud!A497</f>
        <v>08</v>
      </c>
      <c r="B468" t="str">
        <f>Koond_kulud!B497</f>
        <v xml:space="preserve">0820203         </v>
      </c>
      <c r="C468" t="str">
        <f>Koond_kulud!C497</f>
        <v xml:space="preserve"> Roela Rahvamaja</v>
      </c>
      <c r="D468" t="str">
        <f>Koond_kulud!D497</f>
        <v>Rahvakultuur</v>
      </c>
      <c r="E468" t="str">
        <f>Koond_kulud!E497</f>
        <v>Vabaaeg, kultuur ja religioon</v>
      </c>
      <c r="F468" t="str">
        <f>Koond_kulud!F497</f>
        <v>Roela Rahvamaja</v>
      </c>
      <c r="G468" t="str">
        <f>Koond_kulud!G497</f>
        <v>käelise tegevuse asjad,markerid,paberid,liim,värvid,rekvisiit,lilled</v>
      </c>
      <c r="H468">
        <f>Koond_kulud!H497</f>
        <v>390</v>
      </c>
      <c r="I468">
        <f>Koond_kulud!I497</f>
        <v>0</v>
      </c>
      <c r="J468">
        <f>Koond_kulud!J497</f>
        <v>5524</v>
      </c>
      <c r="K468" t="str">
        <f>Koond_kulud!K497</f>
        <v>Õppevahendid</v>
      </c>
      <c r="L468">
        <f>Koond_kulud!L497</f>
        <v>55</v>
      </c>
      <c r="M468" t="str">
        <f>Koond_kulud!M497</f>
        <v>55</v>
      </c>
      <c r="N468" t="str">
        <f>Koond_kulud!N497</f>
        <v>Muud tegevuskulud</v>
      </c>
      <c r="O468" t="str">
        <f>Koond_kulud!O497</f>
        <v>Majandamiskulud</v>
      </c>
      <c r="P468" t="str">
        <f>Koond_kulud!P497</f>
        <v>Põhitegevuse kulu</v>
      </c>
      <c r="Q468">
        <f>Koond_kulud!Q497</f>
        <v>0</v>
      </c>
    </row>
    <row r="469" spans="1:17" hidden="1" x14ac:dyDescent="0.25">
      <c r="A469" t="str">
        <f>Koond_kulud!A498</f>
        <v>08</v>
      </c>
      <c r="B469" t="str">
        <f>Koond_kulud!B498</f>
        <v xml:space="preserve">0820203         </v>
      </c>
      <c r="C469" t="str">
        <f>Koond_kulud!C498</f>
        <v xml:space="preserve"> Roela Rahvamaja</v>
      </c>
      <c r="D469" t="str">
        <f>Koond_kulud!D498</f>
        <v>Rahvakultuur</v>
      </c>
      <c r="E469" t="str">
        <f>Koond_kulud!E498</f>
        <v>Vabaaeg, kultuur ja religioon</v>
      </c>
      <c r="F469" t="str">
        <f>Koond_kulud!F498</f>
        <v>Roela Rahvamaja</v>
      </c>
      <c r="G469" t="str">
        <f>Koond_kulud!G498</f>
        <v>arvutiprogrammid, hooldused</v>
      </c>
      <c r="H469">
        <f>Koond_kulud!H498</f>
        <v>100</v>
      </c>
      <c r="I469">
        <f>Koond_kulud!I498</f>
        <v>0</v>
      </c>
      <c r="J469">
        <f>Koond_kulud!J498</f>
        <v>5514</v>
      </c>
      <c r="K469" t="str">
        <f>Koond_kulud!K498</f>
        <v>Info- ja kommunikatsioonitehnoliigised kulud</v>
      </c>
      <c r="L469">
        <f>Koond_kulud!L498</f>
        <v>55</v>
      </c>
      <c r="M469" t="str">
        <f>Koond_kulud!M498</f>
        <v>55</v>
      </c>
      <c r="N469" t="str">
        <f>Koond_kulud!N498</f>
        <v>Muud tegevuskulud</v>
      </c>
      <c r="O469" t="str">
        <f>Koond_kulud!O498</f>
        <v>Majandamiskulud</v>
      </c>
      <c r="P469" t="str">
        <f>Koond_kulud!P498</f>
        <v>Põhitegevuse kulu</v>
      </c>
      <c r="Q469">
        <f>Koond_kulud!Q498</f>
        <v>0</v>
      </c>
    </row>
    <row r="470" spans="1:17" hidden="1" x14ac:dyDescent="0.25">
      <c r="A470" t="str">
        <f>Koond_kulud!A499</f>
        <v>08</v>
      </c>
      <c r="B470" t="str">
        <f>Koond_kulud!B499</f>
        <v xml:space="preserve">0820203         </v>
      </c>
      <c r="C470" t="str">
        <f>Koond_kulud!C499</f>
        <v xml:space="preserve"> Roela Rahvamaja</v>
      </c>
      <c r="D470" t="str">
        <f>Koond_kulud!D499</f>
        <v>Rahvakultuur</v>
      </c>
      <c r="E470" t="str">
        <f>Koond_kulud!E499</f>
        <v>Vabaaeg, kultuur ja religioon</v>
      </c>
      <c r="F470" t="str">
        <f>Koond_kulud!F499</f>
        <v>Roela Rahvamaja</v>
      </c>
      <c r="G470" t="str">
        <f>Koond_kulud!G499</f>
        <v>RAM-i kontsert (RAM 75-EV 102)</v>
      </c>
      <c r="H470">
        <f>Koond_kulud!H499</f>
        <v>1200</v>
      </c>
      <c r="I470" t="str">
        <f>Koond_kulud!I499</f>
        <v>kontserdi maksumus</v>
      </c>
      <c r="J470">
        <f>Koond_kulud!J499</f>
        <v>5525</v>
      </c>
      <c r="K470" t="str">
        <f>Koond_kulud!K499</f>
        <v>Kommunikatsiooni-, kultuuri- ja vaba aja sisustamise kulud</v>
      </c>
      <c r="L470">
        <f>Koond_kulud!L499</f>
        <v>55</v>
      </c>
      <c r="M470" t="str">
        <f>Koond_kulud!M499</f>
        <v>55</v>
      </c>
      <c r="N470" t="str">
        <f>Koond_kulud!N499</f>
        <v>Muud tegevuskulud</v>
      </c>
      <c r="O470" t="str">
        <f>Koond_kulud!O499</f>
        <v>Majandamiskulud</v>
      </c>
      <c r="P470" t="str">
        <f>Koond_kulud!P499</f>
        <v>Põhitegevuse kulu</v>
      </c>
      <c r="Q470">
        <f>Koond_kulud!Q499</f>
        <v>0</v>
      </c>
    </row>
    <row r="471" spans="1:17" hidden="1" x14ac:dyDescent="0.25">
      <c r="A471" t="str">
        <f>Koond_kulud!A500</f>
        <v>08</v>
      </c>
      <c r="B471" t="str">
        <f>Koond_kulud!B500</f>
        <v xml:space="preserve">0820203         </v>
      </c>
      <c r="C471" t="str">
        <f>Koond_kulud!C500</f>
        <v xml:space="preserve"> Roela Rahvamaja</v>
      </c>
      <c r="D471" t="str">
        <f>Koond_kulud!D500</f>
        <v>Rahvakultuur</v>
      </c>
      <c r="E471" t="str">
        <f>Koond_kulud!E500</f>
        <v>Vabaaeg, kultuur ja religioon</v>
      </c>
      <c r="F471" t="str">
        <f>Koond_kulud!F500</f>
        <v>Roela Rahvamaja</v>
      </c>
      <c r="G471" t="str">
        <f>Koond_kulud!G500</f>
        <v>Salongiõhtu Meenutame jaak Joalat ja Georg Otsa</v>
      </c>
      <c r="H471">
        <f>Koond_kulud!H500</f>
        <v>1500</v>
      </c>
      <c r="I471" t="str">
        <f>Koond_kulud!I500</f>
        <v>külalisesinejad</v>
      </c>
      <c r="J471">
        <f>Koond_kulud!J500</f>
        <v>5525</v>
      </c>
      <c r="K471" t="str">
        <f>Koond_kulud!K500</f>
        <v>Kommunikatsiooni-, kultuuri- ja vaba aja sisustamise kulud</v>
      </c>
      <c r="L471">
        <f>Koond_kulud!L500</f>
        <v>55</v>
      </c>
      <c r="M471" t="str">
        <f>Koond_kulud!M500</f>
        <v>55</v>
      </c>
      <c r="N471" t="str">
        <f>Koond_kulud!N500</f>
        <v>Muud tegevuskulud</v>
      </c>
      <c r="O471" t="str">
        <f>Koond_kulud!O500</f>
        <v>Majandamiskulud</v>
      </c>
      <c r="P471" t="str">
        <f>Koond_kulud!P500</f>
        <v>Põhitegevuse kulu</v>
      </c>
      <c r="Q471">
        <f>Koond_kulud!Q500</f>
        <v>0</v>
      </c>
    </row>
    <row r="472" spans="1:17" hidden="1" x14ac:dyDescent="0.25">
      <c r="A472" t="str">
        <f>Koond_kulud!A501</f>
        <v>08</v>
      </c>
      <c r="B472" t="str">
        <f>Koond_kulud!B501</f>
        <v xml:space="preserve">0820203         </v>
      </c>
      <c r="C472" t="str">
        <f>Koond_kulud!C501</f>
        <v xml:space="preserve"> Roela Rahvamaja</v>
      </c>
      <c r="D472" t="str">
        <f>Koond_kulud!D501</f>
        <v>Rahvakultuur</v>
      </c>
      <c r="E472" t="str">
        <f>Koond_kulud!E501</f>
        <v>Vabaaeg, kultuur ja religioon</v>
      </c>
      <c r="F472" t="str">
        <f>Koond_kulud!F501</f>
        <v>Roela Rahvamaja</v>
      </c>
      <c r="G472" t="str">
        <f>Koond_kulud!G501</f>
        <v>Jaaniõhtu</v>
      </c>
      <c r="H472">
        <f>Koond_kulud!H501</f>
        <v>1000</v>
      </c>
      <c r="I472" t="str">
        <f>Koond_kulud!I501</f>
        <v>auhinnad,tantsumuusika</v>
      </c>
      <c r="J472">
        <f>Koond_kulud!J501</f>
        <v>5525</v>
      </c>
      <c r="K472" t="str">
        <f>Koond_kulud!K501</f>
        <v>Kommunikatsiooni-, kultuuri- ja vaba aja sisustamise kulud</v>
      </c>
      <c r="L472">
        <f>Koond_kulud!L501</f>
        <v>55</v>
      </c>
      <c r="M472" t="str">
        <f>Koond_kulud!M501</f>
        <v>55</v>
      </c>
      <c r="N472" t="str">
        <f>Koond_kulud!N501</f>
        <v>Muud tegevuskulud</v>
      </c>
      <c r="O472" t="str">
        <f>Koond_kulud!O501</f>
        <v>Majandamiskulud</v>
      </c>
      <c r="P472" t="str">
        <f>Koond_kulud!P501</f>
        <v>Põhitegevuse kulu</v>
      </c>
      <c r="Q472">
        <f>Koond_kulud!Q501</f>
        <v>0</v>
      </c>
    </row>
    <row r="473" spans="1:17" hidden="1" x14ac:dyDescent="0.25">
      <c r="A473" t="str">
        <f>Koond_kulud!A502</f>
        <v>08</v>
      </c>
      <c r="B473" t="str">
        <f>Koond_kulud!B502</f>
        <v xml:space="preserve">0820203         </v>
      </c>
      <c r="C473" t="str">
        <f>Koond_kulud!C502</f>
        <v xml:space="preserve"> Roela Rahvamaja</v>
      </c>
      <c r="D473" t="str">
        <f>Koond_kulud!D502</f>
        <v>Rahvakultuur</v>
      </c>
      <c r="E473" t="str">
        <f>Koond_kulud!E502</f>
        <v>Vabaaeg, kultuur ja religioon</v>
      </c>
      <c r="F473" t="str">
        <f>Koond_kulud!F502</f>
        <v>Roela Rahvamaja</v>
      </c>
      <c r="G473" t="str">
        <f>Koond_kulud!G502</f>
        <v>advendi ja jõuluüritused. Aastalõpupidu</v>
      </c>
      <c r="H473">
        <f>Koond_kulud!H502</f>
        <v>2500</v>
      </c>
      <c r="I473" t="str">
        <f>Koond_kulud!I502</f>
        <v>esinejad, meened</v>
      </c>
      <c r="J473">
        <f>Koond_kulud!J502</f>
        <v>5525</v>
      </c>
      <c r="K473" t="str">
        <f>Koond_kulud!K502</f>
        <v>Kommunikatsiooni-, kultuuri- ja vaba aja sisustamise kulud</v>
      </c>
      <c r="L473">
        <f>Koond_kulud!L502</f>
        <v>55</v>
      </c>
      <c r="M473" t="str">
        <f>Koond_kulud!M502</f>
        <v>55</v>
      </c>
      <c r="N473" t="str">
        <f>Koond_kulud!N502</f>
        <v>Muud tegevuskulud</v>
      </c>
      <c r="O473" t="str">
        <f>Koond_kulud!O502</f>
        <v>Majandamiskulud</v>
      </c>
      <c r="P473" t="str">
        <f>Koond_kulud!P502</f>
        <v>Põhitegevuse kulu</v>
      </c>
      <c r="Q473">
        <f>Koond_kulud!Q502</f>
        <v>0</v>
      </c>
    </row>
    <row r="474" spans="1:17" hidden="1" x14ac:dyDescent="0.25">
      <c r="A474" t="str">
        <f>Koond_kulud!A503</f>
        <v>08</v>
      </c>
      <c r="B474" t="str">
        <f>Koond_kulud!B503</f>
        <v xml:space="preserve">0820203         </v>
      </c>
      <c r="C474" t="str">
        <f>Koond_kulud!C503</f>
        <v xml:space="preserve"> Roela Rahvamaja</v>
      </c>
      <c r="D474" t="str">
        <f>Koond_kulud!D503</f>
        <v>Rahvakultuur</v>
      </c>
      <c r="E474" t="str">
        <f>Koond_kulud!E503</f>
        <v>Vabaaeg, kultuur ja religioon</v>
      </c>
      <c r="F474" t="str">
        <f>Koond_kulud!F503</f>
        <v>Roela Rahvamaja</v>
      </c>
      <c r="G474" t="str">
        <f>Koond_kulud!G503</f>
        <v>naistepäevapidu</v>
      </c>
      <c r="H474">
        <f>Koond_kulud!H503</f>
        <v>50</v>
      </c>
      <c r="I474" t="str">
        <f>Koond_kulud!I503</f>
        <v>lilled</v>
      </c>
      <c r="J474">
        <f>Koond_kulud!J503</f>
        <v>5525</v>
      </c>
      <c r="K474" t="str">
        <f>Koond_kulud!K503</f>
        <v>Kommunikatsiooni-, kultuuri- ja vaba aja sisustamise kulud</v>
      </c>
      <c r="L474">
        <f>Koond_kulud!L503</f>
        <v>55</v>
      </c>
      <c r="M474" t="str">
        <f>Koond_kulud!M503</f>
        <v>55</v>
      </c>
      <c r="N474" t="str">
        <f>Koond_kulud!N503</f>
        <v>Muud tegevuskulud</v>
      </c>
      <c r="O474" t="str">
        <f>Koond_kulud!O503</f>
        <v>Majandamiskulud</v>
      </c>
      <c r="P474" t="str">
        <f>Koond_kulud!P503</f>
        <v>Põhitegevuse kulu</v>
      </c>
      <c r="Q474">
        <f>Koond_kulud!Q503</f>
        <v>0</v>
      </c>
    </row>
    <row r="475" spans="1:17" hidden="1" x14ac:dyDescent="0.25">
      <c r="A475" t="str">
        <f>Koond_kulud!A504</f>
        <v>08</v>
      </c>
      <c r="B475" t="str">
        <f>Koond_kulud!B504</f>
        <v xml:space="preserve">0820203         </v>
      </c>
      <c r="C475" t="str">
        <f>Koond_kulud!C504</f>
        <v xml:space="preserve"> Roela Rahvamaja</v>
      </c>
      <c r="D475" t="str">
        <f>Koond_kulud!D504</f>
        <v>Rahvakultuur</v>
      </c>
      <c r="E475" t="str">
        <f>Koond_kulud!E504</f>
        <v>Vabaaeg, kultuur ja religioon</v>
      </c>
      <c r="F475" t="str">
        <f>Koond_kulud!F504</f>
        <v>Roela Rahvamaja</v>
      </c>
      <c r="G475" t="str">
        <f>Koond_kulud!G504</f>
        <v>esinemised</v>
      </c>
      <c r="H475">
        <f>Koond_kulud!H504</f>
        <v>400</v>
      </c>
      <c r="I475" t="str">
        <f>Koond_kulud!I504</f>
        <v>väljasõidud</v>
      </c>
      <c r="J475">
        <f>Koond_kulud!J504</f>
        <v>5540</v>
      </c>
      <c r="K475" t="str">
        <f>Koond_kulud!K504</f>
        <v>Mitmesugused majanduskulud</v>
      </c>
      <c r="L475">
        <f>Koond_kulud!L504</f>
        <v>55</v>
      </c>
      <c r="M475" t="str">
        <f>Koond_kulud!M504</f>
        <v>55</v>
      </c>
      <c r="N475" t="str">
        <f>Koond_kulud!N504</f>
        <v>Muud tegevuskulud</v>
      </c>
      <c r="O475" t="str">
        <f>Koond_kulud!O504</f>
        <v>Majandamiskulud</v>
      </c>
      <c r="P475" t="str">
        <f>Koond_kulud!P504</f>
        <v>Põhitegevuse kulu</v>
      </c>
      <c r="Q475">
        <f>Koond_kulud!Q504</f>
        <v>0</v>
      </c>
    </row>
    <row r="476" spans="1:17" hidden="1" x14ac:dyDescent="0.25">
      <c r="A476" t="str">
        <f>Koond_kulud!A505</f>
        <v>08</v>
      </c>
      <c r="B476" t="str">
        <f>Koond_kulud!B505</f>
        <v xml:space="preserve">0820205         </v>
      </c>
      <c r="C476" t="str">
        <f>Koond_kulud!C505</f>
        <v>Laekvere Rahvamaja</v>
      </c>
      <c r="D476" t="str">
        <f>Koond_kulud!D505</f>
        <v>Rahvakultuur</v>
      </c>
      <c r="E476" t="str">
        <f>Koond_kulud!E505</f>
        <v>Vabaaeg, kultuur ja religioon</v>
      </c>
      <c r="F476" t="str">
        <f>Koond_kulud!F505</f>
        <v>Laekvere Rahva Maja</v>
      </c>
      <c r="G476" t="str">
        <f>Koond_kulud!G505</f>
        <v>Bürootarbed</v>
      </c>
      <c r="H476">
        <f>Koond_kulud!H505</f>
        <v>300</v>
      </c>
      <c r="I476">
        <f>Koond_kulud!I505</f>
        <v>0</v>
      </c>
      <c r="J476">
        <f>Koond_kulud!J505</f>
        <v>5500</v>
      </c>
      <c r="K476" t="str">
        <f>Koond_kulud!K505</f>
        <v>Administreerimiskulud</v>
      </c>
      <c r="L476">
        <f>Koond_kulud!L505</f>
        <v>55</v>
      </c>
      <c r="M476" t="str">
        <f>Koond_kulud!M505</f>
        <v>55</v>
      </c>
      <c r="N476" t="str">
        <f>Koond_kulud!N505</f>
        <v>Muud tegevuskulud</v>
      </c>
      <c r="O476" t="str">
        <f>Koond_kulud!O505</f>
        <v>Majandamiskulud</v>
      </c>
      <c r="P476" t="str">
        <f>Koond_kulud!P505</f>
        <v>Põhitegevuse kulu</v>
      </c>
      <c r="Q476">
        <f>Koond_kulud!Q505</f>
        <v>0</v>
      </c>
    </row>
    <row r="477" spans="1:17" hidden="1" x14ac:dyDescent="0.25">
      <c r="A477" t="str">
        <f>Koond_kulud!A506</f>
        <v>08</v>
      </c>
      <c r="B477" t="str">
        <f>Koond_kulud!B506</f>
        <v xml:space="preserve">0820205         </v>
      </c>
      <c r="C477" t="str">
        <f>Koond_kulud!C506</f>
        <v>Laekvere Rahvamaja</v>
      </c>
      <c r="D477" t="str">
        <f>Koond_kulud!D506</f>
        <v>Rahvakultuur</v>
      </c>
      <c r="E477" t="str">
        <f>Koond_kulud!E506</f>
        <v>Vabaaeg, kultuur ja religioon</v>
      </c>
      <c r="F477" t="str">
        <f>Koond_kulud!F506</f>
        <v>Laekvere Rahva Maja</v>
      </c>
      <c r="G477" t="str">
        <f>Koond_kulud!G506</f>
        <v>Lauatelefon, internet</v>
      </c>
      <c r="H477">
        <f>Koond_kulud!H506</f>
        <v>500</v>
      </c>
      <c r="I477">
        <f>Koond_kulud!I506</f>
        <v>0</v>
      </c>
      <c r="J477">
        <f>Koond_kulud!J506</f>
        <v>5500</v>
      </c>
      <c r="K477" t="str">
        <f>Koond_kulud!K506</f>
        <v>Administreerimiskulud</v>
      </c>
      <c r="L477">
        <f>Koond_kulud!L506</f>
        <v>55</v>
      </c>
      <c r="M477" t="str">
        <f>Koond_kulud!M506</f>
        <v>55</v>
      </c>
      <c r="N477" t="str">
        <f>Koond_kulud!N506</f>
        <v>Muud tegevuskulud</v>
      </c>
      <c r="O477" t="str">
        <f>Koond_kulud!O506</f>
        <v>Majandamiskulud</v>
      </c>
      <c r="P477" t="str">
        <f>Koond_kulud!P506</f>
        <v>Põhitegevuse kulu</v>
      </c>
      <c r="Q477">
        <f>Koond_kulud!Q506</f>
        <v>0</v>
      </c>
    </row>
    <row r="478" spans="1:17" hidden="1" x14ac:dyDescent="0.25">
      <c r="A478" t="str">
        <f>Koond_kulud!A507</f>
        <v>08</v>
      </c>
      <c r="B478" t="str">
        <f>Koond_kulud!B507</f>
        <v xml:space="preserve">0820205         </v>
      </c>
      <c r="C478" t="str">
        <f>Koond_kulud!C507</f>
        <v>Laekvere Rahvamaja</v>
      </c>
      <c r="D478" t="str">
        <f>Koond_kulud!D507</f>
        <v>Rahvakultuur</v>
      </c>
      <c r="E478" t="str">
        <f>Koond_kulud!E507</f>
        <v>Vabaaeg, kultuur ja religioon</v>
      </c>
      <c r="F478" t="str">
        <f>Koond_kulud!F507</f>
        <v>Laekvere Rahva Maja</v>
      </c>
      <c r="G478" t="str">
        <f>Koond_kulud!G507</f>
        <v>Trükised, ajalehed, ajakirjad</v>
      </c>
      <c r="H478">
        <f>Koond_kulud!H507</f>
        <v>300</v>
      </c>
      <c r="I478" t="str">
        <f>Koond_kulud!I507</f>
        <v>Virumaa teataja,Eesti Ekspress,  Maakodu</v>
      </c>
      <c r="J478">
        <f>Koond_kulud!J507</f>
        <v>5500</v>
      </c>
      <c r="K478" t="str">
        <f>Koond_kulud!K507</f>
        <v>Administreerimiskulud</v>
      </c>
      <c r="L478">
        <f>Koond_kulud!L507</f>
        <v>55</v>
      </c>
      <c r="M478" t="str">
        <f>Koond_kulud!M507</f>
        <v>55</v>
      </c>
      <c r="N478" t="str">
        <f>Koond_kulud!N507</f>
        <v>Muud tegevuskulud</v>
      </c>
      <c r="O478" t="str">
        <f>Koond_kulud!O507</f>
        <v>Majandamiskulud</v>
      </c>
      <c r="P478" t="str">
        <f>Koond_kulud!P507</f>
        <v>Põhitegevuse kulu</v>
      </c>
      <c r="Q478">
        <f>Koond_kulud!Q507</f>
        <v>0</v>
      </c>
    </row>
    <row r="479" spans="1:17" hidden="1" x14ac:dyDescent="0.25">
      <c r="A479" t="str">
        <f>Koond_kulud!A508</f>
        <v>08</v>
      </c>
      <c r="B479" t="str">
        <f>Koond_kulud!B508</f>
        <v xml:space="preserve">0820205         </v>
      </c>
      <c r="C479" t="str">
        <f>Koond_kulud!C508</f>
        <v>Laekvere Rahvamaja</v>
      </c>
      <c r="D479" t="str">
        <f>Koond_kulud!D508</f>
        <v>Rahvakultuur</v>
      </c>
      <c r="E479" t="str">
        <f>Koond_kulud!E508</f>
        <v>Vabaaeg, kultuur ja religioon</v>
      </c>
      <c r="F479" t="str">
        <f>Koond_kulud!F508</f>
        <v>Laekvere Rahva Maja</v>
      </c>
      <c r="G479" t="str">
        <f>Koond_kulud!G508</f>
        <v>Kuulutused, reklaam</v>
      </c>
      <c r="H479">
        <f>Koond_kulud!H508</f>
        <v>100</v>
      </c>
      <c r="I479">
        <f>Koond_kulud!I508</f>
        <v>0</v>
      </c>
      <c r="J479">
        <f>Koond_kulud!J508</f>
        <v>5500</v>
      </c>
      <c r="K479" t="str">
        <f>Koond_kulud!K508</f>
        <v>Administreerimiskulud</v>
      </c>
      <c r="L479">
        <f>Koond_kulud!L508</f>
        <v>55</v>
      </c>
      <c r="M479" t="str">
        <f>Koond_kulud!M508</f>
        <v>55</v>
      </c>
      <c r="N479" t="str">
        <f>Koond_kulud!N508</f>
        <v>Muud tegevuskulud</v>
      </c>
      <c r="O479" t="str">
        <f>Koond_kulud!O508</f>
        <v>Majandamiskulud</v>
      </c>
      <c r="P479" t="str">
        <f>Koond_kulud!P508</f>
        <v>Põhitegevuse kulu</v>
      </c>
      <c r="Q479">
        <f>Koond_kulud!Q508</f>
        <v>0</v>
      </c>
    </row>
    <row r="480" spans="1:17" hidden="1" x14ac:dyDescent="0.25">
      <c r="A480" t="str">
        <f>Koond_kulud!A509</f>
        <v>08</v>
      </c>
      <c r="B480" t="str">
        <f>Koond_kulud!B509</f>
        <v xml:space="preserve">0820205         </v>
      </c>
      <c r="C480" t="str">
        <f>Koond_kulud!C509</f>
        <v>Laekvere Rahvamaja</v>
      </c>
      <c r="D480" t="str">
        <f>Koond_kulud!D509</f>
        <v>Rahvakultuur</v>
      </c>
      <c r="E480" t="str">
        <f>Koond_kulud!E509</f>
        <v>Vabaaeg, kultuur ja religioon</v>
      </c>
      <c r="F480" t="str">
        <f>Koond_kulud!F509</f>
        <v>Laekvere Rahva Maja</v>
      </c>
      <c r="G480" t="str">
        <f>Koond_kulud!G509</f>
        <v>Kingitused, auhinnad</v>
      </c>
      <c r="H480">
        <f>Koond_kulud!H509</f>
        <v>400</v>
      </c>
      <c r="I480">
        <f>Koond_kulud!I509</f>
        <v>0</v>
      </c>
      <c r="J480">
        <f>Koond_kulud!J509</f>
        <v>5500</v>
      </c>
      <c r="K480" t="str">
        <f>Koond_kulud!K509</f>
        <v>Administreerimiskulud</v>
      </c>
      <c r="L480">
        <f>Koond_kulud!L509</f>
        <v>55</v>
      </c>
      <c r="M480" t="str">
        <f>Koond_kulud!M509</f>
        <v>55</v>
      </c>
      <c r="N480" t="str">
        <f>Koond_kulud!N509</f>
        <v>Muud tegevuskulud</v>
      </c>
      <c r="O480" t="str">
        <f>Koond_kulud!O509</f>
        <v>Majandamiskulud</v>
      </c>
      <c r="P480" t="str">
        <f>Koond_kulud!P509</f>
        <v>Põhitegevuse kulu</v>
      </c>
      <c r="Q480">
        <f>Koond_kulud!Q509</f>
        <v>0</v>
      </c>
    </row>
    <row r="481" spans="1:17" hidden="1" x14ac:dyDescent="0.25">
      <c r="A481" t="str">
        <f>Koond_kulud!A510</f>
        <v>08</v>
      </c>
      <c r="B481" t="str">
        <f>Koond_kulud!B510</f>
        <v xml:space="preserve">0820205         </v>
      </c>
      <c r="C481" t="str">
        <f>Koond_kulud!C510</f>
        <v>Laekvere Rahvamaja</v>
      </c>
      <c r="D481" t="str">
        <f>Koond_kulud!D510</f>
        <v>Rahvakultuur</v>
      </c>
      <c r="E481" t="str">
        <f>Koond_kulud!E510</f>
        <v>Vabaaeg, kultuur ja religioon</v>
      </c>
      <c r="F481" t="str">
        <f>Koond_kulud!F510</f>
        <v>Laekvere Rahva Maja</v>
      </c>
      <c r="G481" t="str">
        <f>Koond_kulud!G510</f>
        <v>Koolitused</v>
      </c>
      <c r="H481">
        <f>Koond_kulud!H510</f>
        <v>200</v>
      </c>
      <c r="I481">
        <f>Koond_kulud!I510</f>
        <v>0</v>
      </c>
      <c r="J481">
        <f>Koond_kulud!J510</f>
        <v>5504</v>
      </c>
      <c r="K481" t="str">
        <f>Koond_kulud!K510</f>
        <v>Koolituskulud</v>
      </c>
      <c r="L481">
        <f>Koond_kulud!L510</f>
        <v>55</v>
      </c>
      <c r="M481" t="str">
        <f>Koond_kulud!M510</f>
        <v>55</v>
      </c>
      <c r="N481" t="str">
        <f>Koond_kulud!N510</f>
        <v>Muud tegevuskulud</v>
      </c>
      <c r="O481" t="str">
        <f>Koond_kulud!O510</f>
        <v>Majandamiskulud</v>
      </c>
      <c r="P481" t="str">
        <f>Koond_kulud!P510</f>
        <v>Põhitegevuse kulu</v>
      </c>
      <c r="Q481">
        <f>Koond_kulud!Q510</f>
        <v>0</v>
      </c>
    </row>
    <row r="482" spans="1:17" hidden="1" x14ac:dyDescent="0.25">
      <c r="A482" t="str">
        <f>Koond_kulud!A511</f>
        <v>08</v>
      </c>
      <c r="B482" t="str">
        <f>Koond_kulud!B511</f>
        <v xml:space="preserve">0820205         </v>
      </c>
      <c r="C482" t="str">
        <f>Koond_kulud!C511</f>
        <v>Laekvere Rahvamaja</v>
      </c>
      <c r="D482" t="str">
        <f>Koond_kulud!D511</f>
        <v>Rahvakultuur</v>
      </c>
      <c r="E482" t="str">
        <f>Koond_kulud!E511</f>
        <v>Vabaaeg, kultuur ja religioon</v>
      </c>
      <c r="F482" t="str">
        <f>Koond_kulud!F511</f>
        <v>Laekvere Rahva Maja</v>
      </c>
      <c r="G482" t="str">
        <f>Koond_kulud!G511</f>
        <v>Isikliku sõiduauto komp.</v>
      </c>
      <c r="H482">
        <f>Koond_kulud!H511</f>
        <v>900</v>
      </c>
      <c r="I482">
        <f>Koond_kulud!I511</f>
        <v>0</v>
      </c>
      <c r="J482">
        <f>Koond_kulud!J511</f>
        <v>5513</v>
      </c>
      <c r="K482" t="str">
        <f>Koond_kulud!K511</f>
        <v>Sõidukite ülalpidamise kulud</v>
      </c>
      <c r="L482">
        <f>Koond_kulud!L511</f>
        <v>55</v>
      </c>
      <c r="M482" t="str">
        <f>Koond_kulud!M511</f>
        <v>55</v>
      </c>
      <c r="N482" t="str">
        <f>Koond_kulud!N511</f>
        <v>Muud tegevuskulud</v>
      </c>
      <c r="O482" t="str">
        <f>Koond_kulud!O511</f>
        <v>Majandamiskulud</v>
      </c>
      <c r="P482" t="str">
        <f>Koond_kulud!P511</f>
        <v>Põhitegevuse kulu</v>
      </c>
      <c r="Q482">
        <f>Koond_kulud!Q511</f>
        <v>0</v>
      </c>
    </row>
    <row r="483" spans="1:17" hidden="1" x14ac:dyDescent="0.25">
      <c r="A483" t="str">
        <f>Koond_kulud!A512</f>
        <v>08</v>
      </c>
      <c r="B483" t="str">
        <f>Koond_kulud!B512</f>
        <v xml:space="preserve">0820205         </v>
      </c>
      <c r="C483" t="str">
        <f>Koond_kulud!C512</f>
        <v>Laekvere Rahvamaja</v>
      </c>
      <c r="D483" t="str">
        <f>Koond_kulud!D512</f>
        <v>Rahvakultuur</v>
      </c>
      <c r="E483" t="str">
        <f>Koond_kulud!E512</f>
        <v>Vabaaeg, kultuur ja religioon</v>
      </c>
      <c r="F483" t="str">
        <f>Koond_kulud!F512</f>
        <v>Laekvere Rahva Maja</v>
      </c>
      <c r="G483" t="str">
        <f>Koond_kulud!G512</f>
        <v>Töötajate tervisetõendid</v>
      </c>
      <c r="H483">
        <f>Koond_kulud!H512</f>
        <v>400</v>
      </c>
      <c r="I483">
        <f>Koond_kulud!I512</f>
        <v>0</v>
      </c>
      <c r="J483">
        <f>Koond_kulud!J512</f>
        <v>5522</v>
      </c>
      <c r="K483" t="str">
        <f>Koond_kulud!K512</f>
        <v>Meditsiinikulud ja hügieenitarbed</v>
      </c>
      <c r="L483">
        <f>Koond_kulud!L512</f>
        <v>55</v>
      </c>
      <c r="M483" t="str">
        <f>Koond_kulud!M512</f>
        <v>55</v>
      </c>
      <c r="N483" t="str">
        <f>Koond_kulud!N512</f>
        <v>Muud tegevuskulud</v>
      </c>
      <c r="O483" t="str">
        <f>Koond_kulud!O512</f>
        <v>Majandamiskulud</v>
      </c>
      <c r="P483" t="str">
        <f>Koond_kulud!P512</f>
        <v>Põhitegevuse kulu</v>
      </c>
      <c r="Q483">
        <f>Koond_kulud!Q512</f>
        <v>0</v>
      </c>
    </row>
    <row r="484" spans="1:17" hidden="1" x14ac:dyDescent="0.25">
      <c r="A484" t="str">
        <f>Koond_kulud!A513</f>
        <v>08</v>
      </c>
      <c r="B484" t="str">
        <f>Koond_kulud!B513</f>
        <v xml:space="preserve">0820205         </v>
      </c>
      <c r="C484" t="str">
        <f>Koond_kulud!C513</f>
        <v>Laekvere Rahvamaja</v>
      </c>
      <c r="D484" t="str">
        <f>Koond_kulud!D513</f>
        <v>Rahvakultuur</v>
      </c>
      <c r="E484" t="str">
        <f>Koond_kulud!E513</f>
        <v>Vabaaeg, kultuur ja religioon</v>
      </c>
      <c r="F484" t="str">
        <f>Koond_kulud!F513</f>
        <v>Laekvere Rahva Maja</v>
      </c>
      <c r="G484" t="str">
        <f>Koond_kulud!G513</f>
        <v>Üritused</v>
      </c>
      <c r="H484">
        <f>Koond_kulud!H513</f>
        <v>18800</v>
      </c>
      <c r="I484" t="str">
        <f>Koond_kulud!I513</f>
        <v>(jõulupidu Muuga mõisas 600eur, kokkusaamised, väljasõidud sünnipäevade tähistamine), muud ettenägematud kulud.</v>
      </c>
      <c r="J484">
        <f>Koond_kulud!J513</f>
        <v>5525</v>
      </c>
      <c r="K484" t="str">
        <f>Koond_kulud!K513</f>
        <v>Kommunikatsiooni-, kultuuri- ja vaba aja sisustamise kulud</v>
      </c>
      <c r="L484">
        <f>Koond_kulud!L513</f>
        <v>55</v>
      </c>
      <c r="M484" t="str">
        <f>Koond_kulud!M513</f>
        <v>55</v>
      </c>
      <c r="N484" t="str">
        <f>Koond_kulud!N513</f>
        <v>Muud tegevuskulud</v>
      </c>
      <c r="O484" t="str">
        <f>Koond_kulud!O513</f>
        <v>Majandamiskulud</v>
      </c>
      <c r="P484" t="str">
        <f>Koond_kulud!P513</f>
        <v>Põhitegevuse kulu</v>
      </c>
      <c r="Q484">
        <f>Koond_kulud!Q513</f>
        <v>0</v>
      </c>
    </row>
    <row r="485" spans="1:17" hidden="1" x14ac:dyDescent="0.25">
      <c r="A485" t="str">
        <f>Koond_kulud!A514</f>
        <v>08</v>
      </c>
      <c r="B485" t="str">
        <f>Koond_kulud!B514</f>
        <v xml:space="preserve">0820205         </v>
      </c>
      <c r="C485" t="str">
        <f>Koond_kulud!C514</f>
        <v>Laekvere Rahvamaja</v>
      </c>
      <c r="D485" t="str">
        <f>Koond_kulud!D514</f>
        <v>Rahvakultuur</v>
      </c>
      <c r="E485" t="str">
        <f>Koond_kulud!E514</f>
        <v>Vabaaeg, kultuur ja religioon</v>
      </c>
      <c r="F485" t="str">
        <f>Koond_kulud!F514</f>
        <v>Laekvere Rahva Maja</v>
      </c>
      <c r="G485" t="str">
        <f>Koond_kulud!G514</f>
        <v>Toiduained</v>
      </c>
      <c r="H485">
        <f>Koond_kulud!H514</f>
        <v>1000</v>
      </c>
      <c r="I485">
        <f>Koond_kulud!I514</f>
        <v>0</v>
      </c>
      <c r="J485">
        <f>Koond_kulud!J514</f>
        <v>5525</v>
      </c>
      <c r="K485" t="str">
        <f>Koond_kulud!K514</f>
        <v>Kommunikatsiooni-, kultuuri- ja vaba aja sisustamise kulud</v>
      </c>
      <c r="L485">
        <f>Koond_kulud!L514</f>
        <v>55</v>
      </c>
      <c r="M485" t="str">
        <f>Koond_kulud!M514</f>
        <v>55</v>
      </c>
      <c r="N485" t="str">
        <f>Koond_kulud!N514</f>
        <v>Muud tegevuskulud</v>
      </c>
      <c r="O485" t="str">
        <f>Koond_kulud!O514</f>
        <v>Majandamiskulud</v>
      </c>
      <c r="P485" t="str">
        <f>Koond_kulud!P514</f>
        <v>Põhitegevuse kulu</v>
      </c>
      <c r="Q485">
        <f>Koond_kulud!Q514</f>
        <v>0</v>
      </c>
    </row>
    <row r="486" spans="1:17" hidden="1" x14ac:dyDescent="0.25">
      <c r="A486" t="str">
        <f>Koond_kulud!A515</f>
        <v>08</v>
      </c>
      <c r="B486" t="str">
        <f>Koond_kulud!B515</f>
        <v xml:space="preserve">0820205         </v>
      </c>
      <c r="C486" t="str">
        <f>Koond_kulud!C515</f>
        <v>Laekvere Rahvamaja</v>
      </c>
      <c r="D486" t="str">
        <f>Koond_kulud!D515</f>
        <v>Rahvakultuur</v>
      </c>
      <c r="E486" t="str">
        <f>Koond_kulud!E515</f>
        <v>Vabaaeg, kultuur ja religioon</v>
      </c>
      <c r="F486" t="str">
        <f>Koond_kulud!F515</f>
        <v>Laekvere Rahva Maja</v>
      </c>
      <c r="G486" t="str">
        <f>Koond_kulud!G515</f>
        <v>Küte</v>
      </c>
      <c r="H486">
        <f>Koond_kulud!H515</f>
        <v>20000</v>
      </c>
      <c r="I486">
        <f>Koond_kulud!I515</f>
        <v>0</v>
      </c>
      <c r="J486">
        <f>Koond_kulud!J515</f>
        <v>5511</v>
      </c>
      <c r="K486" t="str">
        <f>Koond_kulud!K515</f>
        <v>Kinnistute, hoonete ja ruumide majandamiskulud</v>
      </c>
      <c r="L486">
        <f>Koond_kulud!L515</f>
        <v>55</v>
      </c>
      <c r="M486" t="str">
        <f>Koond_kulud!M515</f>
        <v>55</v>
      </c>
      <c r="N486" t="str">
        <f>Koond_kulud!N515</f>
        <v>Muud tegevuskulud</v>
      </c>
      <c r="O486" t="str">
        <f>Koond_kulud!O515</f>
        <v>Majandamiskulud</v>
      </c>
      <c r="P486" t="str">
        <f>Koond_kulud!P515</f>
        <v>Põhitegevuse kulu</v>
      </c>
      <c r="Q486">
        <f>Koond_kulud!Q515</f>
        <v>0</v>
      </c>
    </row>
    <row r="487" spans="1:17" hidden="1" x14ac:dyDescent="0.25">
      <c r="A487" t="str">
        <f>Koond_kulud!A516</f>
        <v>08</v>
      </c>
      <c r="B487" t="str">
        <f>Koond_kulud!B516</f>
        <v xml:space="preserve">0820205         </v>
      </c>
      <c r="C487" t="str">
        <f>Koond_kulud!C516</f>
        <v>Laekvere Rahvamaja</v>
      </c>
      <c r="D487" t="str">
        <f>Koond_kulud!D516</f>
        <v>Rahvakultuur</v>
      </c>
      <c r="E487" t="str">
        <f>Koond_kulud!E516</f>
        <v>Vabaaeg, kultuur ja religioon</v>
      </c>
      <c r="F487" t="str">
        <f>Koond_kulud!F516</f>
        <v>Laekvere Rahva Maja</v>
      </c>
      <c r="G487" t="str">
        <f>Koond_kulud!G516</f>
        <v>Elekter</v>
      </c>
      <c r="H487">
        <f>Koond_kulud!H516</f>
        <v>3000</v>
      </c>
      <c r="I487">
        <f>Koond_kulud!I516</f>
        <v>0</v>
      </c>
      <c r="J487">
        <f>Koond_kulud!J516</f>
        <v>5511</v>
      </c>
      <c r="K487" t="str">
        <f>Koond_kulud!K516</f>
        <v>Kinnistute, hoonete ja ruumide majandamiskulud</v>
      </c>
      <c r="L487">
        <f>Koond_kulud!L516</f>
        <v>55</v>
      </c>
      <c r="M487" t="str">
        <f>Koond_kulud!M516</f>
        <v>55</v>
      </c>
      <c r="N487" t="str">
        <f>Koond_kulud!N516</f>
        <v>Muud tegevuskulud</v>
      </c>
      <c r="O487" t="str">
        <f>Koond_kulud!O516</f>
        <v>Majandamiskulud</v>
      </c>
      <c r="P487" t="str">
        <f>Koond_kulud!P516</f>
        <v>Põhitegevuse kulu</v>
      </c>
      <c r="Q487">
        <f>Koond_kulud!Q516</f>
        <v>0</v>
      </c>
    </row>
    <row r="488" spans="1:17" hidden="1" x14ac:dyDescent="0.25">
      <c r="A488" t="str">
        <f>Koond_kulud!A517</f>
        <v>08</v>
      </c>
      <c r="B488" t="str">
        <f>Koond_kulud!B517</f>
        <v xml:space="preserve">0820205         </v>
      </c>
      <c r="C488" t="str">
        <f>Koond_kulud!C517</f>
        <v>Laekvere Rahvamaja</v>
      </c>
      <c r="D488" t="str">
        <f>Koond_kulud!D517</f>
        <v>Rahvakultuur</v>
      </c>
      <c r="E488" t="str">
        <f>Koond_kulud!E517</f>
        <v>Vabaaeg, kultuur ja religioon</v>
      </c>
      <c r="F488" t="str">
        <f>Koond_kulud!F517</f>
        <v>Laekvere Rahva Maja</v>
      </c>
      <c r="G488" t="str">
        <f>Koond_kulud!G517</f>
        <v>Elektrikäitlemiskulu</v>
      </c>
      <c r="H488">
        <f>Koond_kulud!H517</f>
        <v>400</v>
      </c>
      <c r="I488">
        <f>Koond_kulud!I517</f>
        <v>0</v>
      </c>
      <c r="J488">
        <f>Koond_kulud!J517</f>
        <v>5511</v>
      </c>
      <c r="K488" t="str">
        <f>Koond_kulud!K517</f>
        <v>Kinnistute, hoonete ja ruumide majandamiskulud</v>
      </c>
      <c r="L488">
        <f>Koond_kulud!L517</f>
        <v>55</v>
      </c>
      <c r="M488" t="str">
        <f>Koond_kulud!M517</f>
        <v>55</v>
      </c>
      <c r="N488" t="str">
        <f>Koond_kulud!N517</f>
        <v>Muud tegevuskulud</v>
      </c>
      <c r="O488" t="str">
        <f>Koond_kulud!O517</f>
        <v>Majandamiskulud</v>
      </c>
      <c r="P488" t="str">
        <f>Koond_kulud!P517</f>
        <v>Põhitegevuse kulu</v>
      </c>
      <c r="Q488">
        <f>Koond_kulud!Q517</f>
        <v>0</v>
      </c>
    </row>
    <row r="489" spans="1:17" hidden="1" x14ac:dyDescent="0.25">
      <c r="A489" t="str">
        <f>Koond_kulud!A518</f>
        <v>08</v>
      </c>
      <c r="B489" t="str">
        <f>Koond_kulud!B518</f>
        <v xml:space="preserve">0820205         </v>
      </c>
      <c r="C489" t="str">
        <f>Koond_kulud!C518</f>
        <v>Laekvere Rahvamaja</v>
      </c>
      <c r="D489" t="str">
        <f>Koond_kulud!D518</f>
        <v>Rahvakultuur</v>
      </c>
      <c r="E489" t="str">
        <f>Koond_kulud!E518</f>
        <v>Vabaaeg, kultuur ja religioon</v>
      </c>
      <c r="F489" t="str">
        <f>Koond_kulud!F518</f>
        <v>Laekvere Rahva Maja</v>
      </c>
      <c r="G489" t="str">
        <f>Koond_kulud!G518</f>
        <v>Korrashoid, remont</v>
      </c>
      <c r="H489">
        <f>Koond_kulud!H518</f>
        <v>2000</v>
      </c>
      <c r="I489" t="str">
        <f>Koond_kulud!I518</f>
        <v>Remonttööd siseruumides</v>
      </c>
      <c r="J489">
        <f>Koond_kulud!J518</f>
        <v>5511</v>
      </c>
      <c r="K489" t="str">
        <f>Koond_kulud!K518</f>
        <v>Kinnistute, hoonete ja ruumide majandamiskulud</v>
      </c>
      <c r="L489">
        <f>Koond_kulud!L518</f>
        <v>55</v>
      </c>
      <c r="M489" t="str">
        <f>Koond_kulud!M518</f>
        <v>55</v>
      </c>
      <c r="N489" t="str">
        <f>Koond_kulud!N518</f>
        <v>Muud tegevuskulud</v>
      </c>
      <c r="O489" t="str">
        <f>Koond_kulud!O518</f>
        <v>Majandamiskulud</v>
      </c>
      <c r="P489" t="str">
        <f>Koond_kulud!P518</f>
        <v>Põhitegevuse kulu</v>
      </c>
      <c r="Q489">
        <f>Koond_kulud!Q518</f>
        <v>0</v>
      </c>
    </row>
    <row r="490" spans="1:17" hidden="1" x14ac:dyDescent="0.25">
      <c r="A490" t="str">
        <f>Koond_kulud!A519</f>
        <v>08</v>
      </c>
      <c r="B490" t="str">
        <f>Koond_kulud!B519</f>
        <v xml:space="preserve">0820205         </v>
      </c>
      <c r="C490" t="str">
        <f>Koond_kulud!C519</f>
        <v>Laekvere Rahvamaja</v>
      </c>
      <c r="D490" t="str">
        <f>Koond_kulud!D519</f>
        <v>Rahvakultuur</v>
      </c>
      <c r="E490" t="str">
        <f>Koond_kulud!E519</f>
        <v>Vabaaeg, kultuur ja religioon</v>
      </c>
      <c r="F490" t="str">
        <f>Koond_kulud!F519</f>
        <v>Laekvere Rahva Maja</v>
      </c>
      <c r="G490" t="str">
        <f>Koond_kulud!G519</f>
        <v>Prügivedu</v>
      </c>
      <c r="H490">
        <f>Koond_kulud!H519</f>
        <v>100</v>
      </c>
      <c r="I490">
        <f>Koond_kulud!I519</f>
        <v>0</v>
      </c>
      <c r="J490">
        <f>Koond_kulud!J519</f>
        <v>5511</v>
      </c>
      <c r="K490" t="str">
        <f>Koond_kulud!K519</f>
        <v>Kinnistute, hoonete ja ruumide majandamiskulud</v>
      </c>
      <c r="L490">
        <f>Koond_kulud!L519</f>
        <v>55</v>
      </c>
      <c r="M490" t="str">
        <f>Koond_kulud!M519</f>
        <v>55</v>
      </c>
      <c r="N490" t="str">
        <f>Koond_kulud!N519</f>
        <v>Muud tegevuskulud</v>
      </c>
      <c r="O490" t="str">
        <f>Koond_kulud!O519</f>
        <v>Majandamiskulud</v>
      </c>
      <c r="P490" t="str">
        <f>Koond_kulud!P519</f>
        <v>Põhitegevuse kulu</v>
      </c>
      <c r="Q490">
        <f>Koond_kulud!Q519</f>
        <v>0</v>
      </c>
    </row>
    <row r="491" spans="1:17" hidden="1" x14ac:dyDescent="0.25">
      <c r="A491" t="str">
        <f>Koond_kulud!A520</f>
        <v>08</v>
      </c>
      <c r="B491" t="str">
        <f>Koond_kulud!B520</f>
        <v xml:space="preserve">0820205         </v>
      </c>
      <c r="C491" t="str">
        <f>Koond_kulud!C520</f>
        <v>Laekvere Rahvamaja</v>
      </c>
      <c r="D491" t="str">
        <f>Koond_kulud!D520</f>
        <v>Rahvakultuur</v>
      </c>
      <c r="E491" t="str">
        <f>Koond_kulud!E520</f>
        <v>Vabaaeg, kultuur ja religioon</v>
      </c>
      <c r="F491" t="str">
        <f>Koond_kulud!F520</f>
        <v>Laekvere Rahva Maja</v>
      </c>
      <c r="G491" t="str">
        <f>Koond_kulud!G520</f>
        <v>Vesi, kanalisatsioon</v>
      </c>
      <c r="H491">
        <f>Koond_kulud!H520</f>
        <v>500</v>
      </c>
      <c r="I491">
        <f>Koond_kulud!I520</f>
        <v>0</v>
      </c>
      <c r="J491">
        <f>Koond_kulud!J520</f>
        <v>5511</v>
      </c>
      <c r="K491" t="str">
        <f>Koond_kulud!K520</f>
        <v>Kinnistute, hoonete ja ruumide majandamiskulud</v>
      </c>
      <c r="L491">
        <f>Koond_kulud!L520</f>
        <v>55</v>
      </c>
      <c r="M491" t="str">
        <f>Koond_kulud!M520</f>
        <v>55</v>
      </c>
      <c r="N491" t="str">
        <f>Koond_kulud!N520</f>
        <v>Muud tegevuskulud</v>
      </c>
      <c r="O491" t="str">
        <f>Koond_kulud!O520</f>
        <v>Majandamiskulud</v>
      </c>
      <c r="P491" t="str">
        <f>Koond_kulud!P520</f>
        <v>Põhitegevuse kulu</v>
      </c>
      <c r="Q491">
        <f>Koond_kulud!Q520</f>
        <v>0</v>
      </c>
    </row>
    <row r="492" spans="1:17" hidden="1" x14ac:dyDescent="0.25">
      <c r="A492" t="str">
        <f>Koond_kulud!A521</f>
        <v>08</v>
      </c>
      <c r="B492" t="str">
        <f>Koond_kulud!B521</f>
        <v xml:space="preserve">0820205         </v>
      </c>
      <c r="C492" t="str">
        <f>Koond_kulud!C521</f>
        <v>Laekvere Rahvamaja</v>
      </c>
      <c r="D492" t="str">
        <f>Koond_kulud!D521</f>
        <v>Rahvakultuur</v>
      </c>
      <c r="E492" t="str">
        <f>Koond_kulud!E521</f>
        <v>Vabaaeg, kultuur ja religioon</v>
      </c>
      <c r="F492" t="str">
        <f>Koond_kulud!F521</f>
        <v>Laekvere Rahva Maja</v>
      </c>
      <c r="G492" t="str">
        <f>Koond_kulud!G521</f>
        <v>Kindlustusmaksed</v>
      </c>
      <c r="H492">
        <f>Koond_kulud!H521</f>
        <v>100</v>
      </c>
      <c r="I492">
        <f>Koond_kulud!I521</f>
        <v>0</v>
      </c>
      <c r="J492">
        <f>Koond_kulud!J521</f>
        <v>5511</v>
      </c>
      <c r="K492" t="str">
        <f>Koond_kulud!K521</f>
        <v>Kinnistute, hoonete ja ruumide majandamiskulud</v>
      </c>
      <c r="L492">
        <f>Koond_kulud!L521</f>
        <v>55</v>
      </c>
      <c r="M492" t="str">
        <f>Koond_kulud!M521</f>
        <v>55</v>
      </c>
      <c r="N492" t="str">
        <f>Koond_kulud!N521</f>
        <v>Muud tegevuskulud</v>
      </c>
      <c r="O492" t="str">
        <f>Koond_kulud!O521</f>
        <v>Majandamiskulud</v>
      </c>
      <c r="P492" t="str">
        <f>Koond_kulud!P521</f>
        <v>Põhitegevuse kulu</v>
      </c>
      <c r="Q492">
        <f>Koond_kulud!Q521</f>
        <v>0</v>
      </c>
    </row>
    <row r="493" spans="1:17" hidden="1" x14ac:dyDescent="0.25">
      <c r="A493" t="str">
        <f>Koond_kulud!A522</f>
        <v>08</v>
      </c>
      <c r="B493" t="str">
        <f>Koond_kulud!B522</f>
        <v xml:space="preserve">0820205         </v>
      </c>
      <c r="C493" t="str">
        <f>Koond_kulud!C522</f>
        <v>Laekvere Rahvamaja</v>
      </c>
      <c r="D493" t="str">
        <f>Koond_kulud!D522</f>
        <v>Rahvakultuur</v>
      </c>
      <c r="E493" t="str">
        <f>Koond_kulud!E522</f>
        <v>Vabaaeg, kultuur ja religioon</v>
      </c>
      <c r="F493" t="str">
        <f>Koond_kulud!F522</f>
        <v>Laekvere Rahva Maja</v>
      </c>
      <c r="G493" t="str">
        <f>Koond_kulud!G522</f>
        <v>Elektritarvikud</v>
      </c>
      <c r="H493">
        <f>Koond_kulud!H522</f>
        <v>500</v>
      </c>
      <c r="I493" t="str">
        <f>Koond_kulud!I522</f>
        <v xml:space="preserve"> valgustus, pirnid, patareid</v>
      </c>
      <c r="J493">
        <f>Koond_kulud!J522</f>
        <v>5511</v>
      </c>
      <c r="K493" t="str">
        <f>Koond_kulud!K522</f>
        <v>Kinnistute, hoonete ja ruumide majandamiskulud</v>
      </c>
      <c r="L493">
        <f>Koond_kulud!L522</f>
        <v>55</v>
      </c>
      <c r="M493" t="str">
        <f>Koond_kulud!M522</f>
        <v>55</v>
      </c>
      <c r="N493" t="str">
        <f>Koond_kulud!N522</f>
        <v>Muud tegevuskulud</v>
      </c>
      <c r="O493" t="str">
        <f>Koond_kulud!O522</f>
        <v>Majandamiskulud</v>
      </c>
      <c r="P493" t="str">
        <f>Koond_kulud!P522</f>
        <v>Põhitegevuse kulu</v>
      </c>
      <c r="Q493">
        <f>Koond_kulud!Q522</f>
        <v>0</v>
      </c>
    </row>
    <row r="494" spans="1:17" hidden="1" x14ac:dyDescent="0.25">
      <c r="A494" t="str">
        <f>Koond_kulud!A525</f>
        <v>08</v>
      </c>
      <c r="B494" t="str">
        <f>Koond_kulud!B525</f>
        <v xml:space="preserve">0820205         </v>
      </c>
      <c r="C494" t="str">
        <f>Koond_kulud!C525</f>
        <v>Laekvere Rahvamaja</v>
      </c>
      <c r="D494" t="str">
        <f>Koond_kulud!D525</f>
        <v>Rahvakultuur</v>
      </c>
      <c r="E494" t="str">
        <f>Koond_kulud!E525</f>
        <v>Vabaaeg, kultuur ja religioon</v>
      </c>
      <c r="F494" t="str">
        <f>Koond_kulud!F525</f>
        <v>Laekvere Rahva Maja</v>
      </c>
      <c r="G494" t="str">
        <f>Koond_kulud!G525</f>
        <v>MTÜ Eha kapellijuhendaja sõidukulud</v>
      </c>
      <c r="H494">
        <f>Koond_kulud!H525</f>
        <v>552</v>
      </c>
      <c r="I494">
        <f>Koond_kulud!I525</f>
        <v>0</v>
      </c>
      <c r="J494">
        <f>Koond_kulud!J525</f>
        <v>5513</v>
      </c>
      <c r="K494" t="str">
        <f>Koond_kulud!K525</f>
        <v>Sõidukite ülalpidamise kulud</v>
      </c>
      <c r="L494">
        <f>Koond_kulud!L525</f>
        <v>55</v>
      </c>
      <c r="M494" t="str">
        <f>Koond_kulud!M525</f>
        <v>55</v>
      </c>
      <c r="N494" t="str">
        <f>Koond_kulud!N525</f>
        <v>Muud tegevuskulud</v>
      </c>
      <c r="O494" t="str">
        <f>Koond_kulud!O525</f>
        <v>Majandamiskulud</v>
      </c>
      <c r="P494" t="str">
        <f>Koond_kulud!P525</f>
        <v>Põhitegevuse kulu</v>
      </c>
      <c r="Q494">
        <f>Koond_kulud!Q525</f>
        <v>0</v>
      </c>
    </row>
    <row r="495" spans="1:17" hidden="1" x14ac:dyDescent="0.25">
      <c r="A495" t="str">
        <f>Koond_kulud!A527</f>
        <v>08</v>
      </c>
      <c r="B495" t="str">
        <f>Koond_kulud!B527</f>
        <v xml:space="preserve">0820206         </v>
      </c>
      <c r="C495" t="str">
        <f>Koond_kulud!C527</f>
        <v>Venevere Seltsimaja</v>
      </c>
      <c r="D495" t="str">
        <f>Koond_kulud!D527</f>
        <v>Rahvakultuur</v>
      </c>
      <c r="E495" t="str">
        <f>Koond_kulud!E527</f>
        <v>Vabaaeg, kultuur ja religioon</v>
      </c>
      <c r="F495" t="str">
        <f>Koond_kulud!F527</f>
        <v>Venevere seltsimaja</v>
      </c>
      <c r="G495" t="str">
        <f>Koond_kulud!G527</f>
        <v>kinnistukulud</v>
      </c>
      <c r="H495">
        <f>Koond_kulud!H527</f>
        <v>8000</v>
      </c>
      <c r="I495">
        <f>Koond_kulud!I527</f>
        <v>0</v>
      </c>
      <c r="J495">
        <f>Koond_kulud!J527</f>
        <v>5511</v>
      </c>
      <c r="K495" t="str">
        <f>Koond_kulud!K527</f>
        <v>Kinnistute, hoonete ja ruumide majandamiskulud</v>
      </c>
      <c r="L495">
        <f>Koond_kulud!L527</f>
        <v>55</v>
      </c>
      <c r="M495" t="str">
        <f>Koond_kulud!M527</f>
        <v>55</v>
      </c>
      <c r="N495" t="str">
        <f>Koond_kulud!N527</f>
        <v>Muud tegevuskulud</v>
      </c>
      <c r="O495" t="str">
        <f>Koond_kulud!O527</f>
        <v>Majandamiskulud</v>
      </c>
      <c r="P495" t="str">
        <f>Koond_kulud!P527</f>
        <v>Põhitegevuse kulu</v>
      </c>
      <c r="Q495">
        <f>Koond_kulud!Q527</f>
        <v>0</v>
      </c>
    </row>
    <row r="496" spans="1:17" hidden="1" x14ac:dyDescent="0.25">
      <c r="A496" t="str">
        <f>Koond_kulud!A528</f>
        <v>08</v>
      </c>
      <c r="B496" t="str">
        <f>Koond_kulud!B528</f>
        <v xml:space="preserve">0820206         </v>
      </c>
      <c r="C496" t="str">
        <f>Koond_kulud!C528</f>
        <v>Venevere Seltsimaja</v>
      </c>
      <c r="D496" t="str">
        <f>Koond_kulud!D528</f>
        <v>Rahvakultuur</v>
      </c>
      <c r="E496" t="str">
        <f>Koond_kulud!E528</f>
        <v>Vabaaeg, kultuur ja religioon</v>
      </c>
      <c r="F496" t="str">
        <f>Koond_kulud!F528</f>
        <v>Venevere seltsimaja</v>
      </c>
      <c r="G496" t="str">
        <f>Koond_kulud!G528</f>
        <v>Bürootarbed</v>
      </c>
      <c r="H496">
        <f>Koond_kulud!H528</f>
        <v>120</v>
      </c>
      <c r="I496">
        <f>Koond_kulud!I528</f>
        <v>0</v>
      </c>
      <c r="J496">
        <f>Koond_kulud!J528</f>
        <v>5500</v>
      </c>
      <c r="K496" t="str">
        <f>Koond_kulud!K528</f>
        <v>Administreerimiskulud</v>
      </c>
      <c r="L496">
        <f>Koond_kulud!L528</f>
        <v>55</v>
      </c>
      <c r="M496" t="str">
        <f>Koond_kulud!M528</f>
        <v>55</v>
      </c>
      <c r="N496" t="str">
        <f>Koond_kulud!N528</f>
        <v>Muud tegevuskulud</v>
      </c>
      <c r="O496" t="str">
        <f>Koond_kulud!O528</f>
        <v>Majandamiskulud</v>
      </c>
      <c r="P496" t="str">
        <f>Koond_kulud!P528</f>
        <v>Põhitegevuse kulu</v>
      </c>
      <c r="Q496">
        <f>Koond_kulud!Q528</f>
        <v>0</v>
      </c>
    </row>
    <row r="497" spans="1:17" hidden="1" x14ac:dyDescent="0.25">
      <c r="A497" t="str">
        <f>Koond_kulud!A529</f>
        <v>08</v>
      </c>
      <c r="B497" t="str">
        <f>Koond_kulud!B529</f>
        <v xml:space="preserve">0820206         </v>
      </c>
      <c r="C497" t="str">
        <f>Koond_kulud!C529</f>
        <v>Venevere Seltsimaja</v>
      </c>
      <c r="D497" t="str">
        <f>Koond_kulud!D529</f>
        <v>Rahvakultuur</v>
      </c>
      <c r="E497" t="str">
        <f>Koond_kulud!E529</f>
        <v>Vabaaeg, kultuur ja religioon</v>
      </c>
      <c r="F497" t="str">
        <f>Koond_kulud!F529</f>
        <v>Venevere seltsimaja</v>
      </c>
      <c r="G497" t="str">
        <f>Koond_kulud!G529</f>
        <v>koolitused</v>
      </c>
      <c r="H497">
        <f>Koond_kulud!H529</f>
        <v>100</v>
      </c>
      <c r="I497">
        <f>Koond_kulud!I529</f>
        <v>0</v>
      </c>
      <c r="J497">
        <f>Koond_kulud!J529</f>
        <v>5504</v>
      </c>
      <c r="K497" t="str">
        <f>Koond_kulud!K529</f>
        <v>Koolituskulud</v>
      </c>
      <c r="L497">
        <f>Koond_kulud!L529</f>
        <v>55</v>
      </c>
      <c r="M497" t="str">
        <f>Koond_kulud!M529</f>
        <v>55</v>
      </c>
      <c r="N497" t="str">
        <f>Koond_kulud!N529</f>
        <v>Muud tegevuskulud</v>
      </c>
      <c r="O497" t="str">
        <f>Koond_kulud!O529</f>
        <v>Majandamiskulud</v>
      </c>
      <c r="P497" t="str">
        <f>Koond_kulud!P529</f>
        <v>Põhitegevuse kulu</v>
      </c>
      <c r="Q497">
        <f>Koond_kulud!Q529</f>
        <v>0</v>
      </c>
    </row>
    <row r="498" spans="1:17" hidden="1" x14ac:dyDescent="0.25">
      <c r="A498" t="str">
        <f>Koond_kulud!A530</f>
        <v>08</v>
      </c>
      <c r="B498" t="str">
        <f>Koond_kulud!B530</f>
        <v xml:space="preserve">0820206         </v>
      </c>
      <c r="C498" t="str">
        <f>Koond_kulud!C530</f>
        <v>Venevere Seltsimaja</v>
      </c>
      <c r="D498" t="str">
        <f>Koond_kulud!D530</f>
        <v>Rahvakultuur</v>
      </c>
      <c r="E498" t="str">
        <f>Koond_kulud!E530</f>
        <v>Vabaaeg, kultuur ja religioon</v>
      </c>
      <c r="F498" t="str">
        <f>Koond_kulud!F530</f>
        <v>Venevere seltsimaja</v>
      </c>
      <c r="G498" t="str">
        <f>Koond_kulud!G530</f>
        <v>Sõidukite majandamiskulud</v>
      </c>
      <c r="H498">
        <f>Koond_kulud!H530</f>
        <v>400</v>
      </c>
      <c r="I498">
        <f>Koond_kulud!I530</f>
        <v>0</v>
      </c>
      <c r="J498">
        <f>Koond_kulud!J530</f>
        <v>5513</v>
      </c>
      <c r="K498" t="str">
        <f>Koond_kulud!K530</f>
        <v>Sõidukite ülalpidamise kulud</v>
      </c>
      <c r="L498">
        <f>Koond_kulud!L530</f>
        <v>55</v>
      </c>
      <c r="M498" t="str">
        <f>Koond_kulud!M530</f>
        <v>55</v>
      </c>
      <c r="N498" t="str">
        <f>Koond_kulud!N530</f>
        <v>Muud tegevuskulud</v>
      </c>
      <c r="O498" t="str">
        <f>Koond_kulud!O530</f>
        <v>Majandamiskulud</v>
      </c>
      <c r="P498" t="str">
        <f>Koond_kulud!P530</f>
        <v>Põhitegevuse kulu</v>
      </c>
      <c r="Q498">
        <f>Koond_kulud!Q530</f>
        <v>0</v>
      </c>
    </row>
    <row r="499" spans="1:17" hidden="1" x14ac:dyDescent="0.25">
      <c r="A499" t="str">
        <f>Koond_kulud!A531</f>
        <v>08</v>
      </c>
      <c r="B499" t="str">
        <f>Koond_kulud!B531</f>
        <v xml:space="preserve">0820206         </v>
      </c>
      <c r="C499" t="str">
        <f>Koond_kulud!C531</f>
        <v>Venevere Seltsimaja</v>
      </c>
      <c r="D499" t="str">
        <f>Koond_kulud!D531</f>
        <v>Rahvakultuur</v>
      </c>
      <c r="E499" t="str">
        <f>Koond_kulud!E531</f>
        <v>Vabaaeg, kultuur ja religioon</v>
      </c>
      <c r="F499" t="str">
        <f>Koond_kulud!F531</f>
        <v>Venevere seltsimaja</v>
      </c>
      <c r="G499" t="str">
        <f>Koond_kulud!G531</f>
        <v>Pokaalid 50tk 90.00, muu inventar vastavalt vajadusele</v>
      </c>
      <c r="H499">
        <f>Koond_kulud!H531</f>
        <v>500</v>
      </c>
      <c r="I499">
        <f>Koond_kulud!I531</f>
        <v>0</v>
      </c>
      <c r="J499">
        <f>Koond_kulud!J531</f>
        <v>5515</v>
      </c>
      <c r="K499" t="str">
        <f>Koond_kulud!K531</f>
        <v>Inventari kulud, v.a infotehnoloogia ja kaitseotstarbelised kulud</v>
      </c>
      <c r="L499">
        <f>Koond_kulud!L531</f>
        <v>55</v>
      </c>
      <c r="M499" t="str">
        <f>Koond_kulud!M531</f>
        <v>55</v>
      </c>
      <c r="N499" t="str">
        <f>Koond_kulud!N531</f>
        <v>Muud tegevuskulud</v>
      </c>
      <c r="O499" t="str">
        <f>Koond_kulud!O531</f>
        <v>Majandamiskulud</v>
      </c>
      <c r="P499" t="str">
        <f>Koond_kulud!P531</f>
        <v>Põhitegevuse kulu</v>
      </c>
      <c r="Q499">
        <f>Koond_kulud!Q531</f>
        <v>0</v>
      </c>
    </row>
    <row r="500" spans="1:17" hidden="1" x14ac:dyDescent="0.25">
      <c r="A500" t="str">
        <f>Koond_kulud!A532</f>
        <v>08</v>
      </c>
      <c r="B500" t="str">
        <f>Koond_kulud!B532</f>
        <v xml:space="preserve">0820206         </v>
      </c>
      <c r="C500" t="str">
        <f>Koond_kulud!C532</f>
        <v>Venevere Seltsimaja</v>
      </c>
      <c r="D500" t="str">
        <f>Koond_kulud!D532</f>
        <v>Rahvakultuur</v>
      </c>
      <c r="E500" t="str">
        <f>Koond_kulud!E532</f>
        <v>Vabaaeg, kultuur ja religioon</v>
      </c>
      <c r="F500" t="str">
        <f>Koond_kulud!F532</f>
        <v>Venevere seltsimaja</v>
      </c>
      <c r="G500" t="str">
        <f>Koond_kulud!G532</f>
        <v>Üritused</v>
      </c>
      <c r="H500">
        <f>Koond_kulud!H532</f>
        <v>2730</v>
      </c>
      <c r="I500">
        <f>Koond_kulud!I532</f>
        <v>0</v>
      </c>
      <c r="J500">
        <f>Koond_kulud!J532</f>
        <v>5525</v>
      </c>
      <c r="K500" t="str">
        <f>Koond_kulud!K532</f>
        <v>Kommunikatsiooni-, kultuuri- ja vaba aja sisustamise kulud</v>
      </c>
      <c r="L500">
        <f>Koond_kulud!L532</f>
        <v>55</v>
      </c>
      <c r="M500" t="str">
        <f>Koond_kulud!M532</f>
        <v>55</v>
      </c>
      <c r="N500" t="str">
        <f>Koond_kulud!N532</f>
        <v>Muud tegevuskulud</v>
      </c>
      <c r="O500" t="str">
        <f>Koond_kulud!O532</f>
        <v>Majandamiskulud</v>
      </c>
      <c r="P500" t="str">
        <f>Koond_kulud!P532</f>
        <v>Põhitegevuse kulu</v>
      </c>
      <c r="Q500">
        <f>Koond_kulud!Q532</f>
        <v>0</v>
      </c>
    </row>
    <row r="501" spans="1:17" hidden="1" x14ac:dyDescent="0.25">
      <c r="A501" t="str">
        <f>Koond_kulud!A533</f>
        <v>08</v>
      </c>
      <c r="B501" t="str">
        <f>Koond_kulud!B533</f>
        <v xml:space="preserve">0820206         </v>
      </c>
      <c r="C501" t="str">
        <f>Koond_kulud!C533</f>
        <v>Venevere Seltsimaja</v>
      </c>
      <c r="D501" t="str">
        <f>Koond_kulud!D533</f>
        <v>Rahvakultuur</v>
      </c>
      <c r="E501" t="str">
        <f>Koond_kulud!E533</f>
        <v>Vabaaeg, kultuur ja religioon</v>
      </c>
      <c r="F501" t="str">
        <f>Koond_kulud!F533</f>
        <v>Venevere seltsimaja</v>
      </c>
      <c r="G501" t="str">
        <f>Koond_kulud!G533</f>
        <v>IT kulud</v>
      </c>
      <c r="H501">
        <f>Koond_kulud!H533</f>
        <v>600</v>
      </c>
      <c r="I501">
        <f>Koond_kulud!I533</f>
        <v>0</v>
      </c>
      <c r="J501">
        <f>Koond_kulud!J533</f>
        <v>5514</v>
      </c>
      <c r="K501" t="str">
        <f>Koond_kulud!K533</f>
        <v>Info- ja kommunikatsioonitehnoliigised kulud</v>
      </c>
      <c r="L501">
        <f>Koond_kulud!L533</f>
        <v>55</v>
      </c>
      <c r="M501" t="str">
        <f>Koond_kulud!M533</f>
        <v>55</v>
      </c>
      <c r="N501" t="str">
        <f>Koond_kulud!N533</f>
        <v>Muud tegevuskulud</v>
      </c>
      <c r="O501" t="str">
        <f>Koond_kulud!O533</f>
        <v>Majandamiskulud</v>
      </c>
      <c r="P501" t="str">
        <f>Koond_kulud!P533</f>
        <v>Põhitegevuse kulu</v>
      </c>
      <c r="Q501">
        <f>Koond_kulud!Q533</f>
        <v>0</v>
      </c>
    </row>
    <row r="502" spans="1:17" hidden="1" x14ac:dyDescent="0.25">
      <c r="A502" t="str">
        <f>Koond_kulud!A534</f>
        <v>08</v>
      </c>
      <c r="B502" t="str">
        <f>Koond_kulud!B534</f>
        <v xml:space="preserve">0820207         </v>
      </c>
      <c r="C502" t="str">
        <f>Koond_kulud!C534</f>
        <v>Ulvi Klubi</v>
      </c>
      <c r="D502" t="str">
        <f>Koond_kulud!D534</f>
        <v>Rahvakultuur</v>
      </c>
      <c r="E502" t="str">
        <f>Koond_kulud!E534</f>
        <v>Vabaaeg, kultuur ja religioon</v>
      </c>
      <c r="F502" t="str">
        <f>Koond_kulud!F534</f>
        <v>Ulvi klubi</v>
      </c>
      <c r="G502" t="str">
        <f>Koond_kulud!G534</f>
        <v>telefon ja internet</v>
      </c>
      <c r="H502">
        <f>Koond_kulud!H534</f>
        <v>350</v>
      </c>
      <c r="I502" t="str">
        <f>Koond_kulud!I534</f>
        <v xml:space="preserve">telefon 3295418, internet Andigo OÜ 25.90 x 12 </v>
      </c>
      <c r="J502">
        <f>Koond_kulud!J534</f>
        <v>5500</v>
      </c>
      <c r="K502" t="str">
        <f>Koond_kulud!K534</f>
        <v>Administreerimiskulud</v>
      </c>
      <c r="L502">
        <f>Koond_kulud!L534</f>
        <v>55</v>
      </c>
      <c r="M502" t="str">
        <f>Koond_kulud!M534</f>
        <v>55</v>
      </c>
      <c r="N502" t="str">
        <f>Koond_kulud!N534</f>
        <v>Muud tegevuskulud</v>
      </c>
      <c r="O502" t="str">
        <f>Koond_kulud!O534</f>
        <v>Majandamiskulud</v>
      </c>
      <c r="P502" t="str">
        <f>Koond_kulud!P534</f>
        <v>Põhitegevuse kulu</v>
      </c>
      <c r="Q502">
        <f>Koond_kulud!Q534</f>
        <v>0</v>
      </c>
    </row>
    <row r="503" spans="1:17" hidden="1" x14ac:dyDescent="0.25">
      <c r="A503" t="str">
        <f>Koond_kulud!A535</f>
        <v>08</v>
      </c>
      <c r="B503" t="str">
        <f>Koond_kulud!B535</f>
        <v xml:space="preserve">0820207         </v>
      </c>
      <c r="C503" t="str">
        <f>Koond_kulud!C535</f>
        <v>Ulvi Klubi</v>
      </c>
      <c r="D503" t="str">
        <f>Koond_kulud!D535</f>
        <v>Rahvakultuur</v>
      </c>
      <c r="E503" t="str">
        <f>Koond_kulud!E535</f>
        <v>Vabaaeg, kultuur ja religioon</v>
      </c>
      <c r="F503" t="str">
        <f>Koond_kulud!F535</f>
        <v>Ulvi klubi</v>
      </c>
      <c r="G503" t="str">
        <f>Koond_kulud!G535</f>
        <v xml:space="preserve">printeri tahm </v>
      </c>
      <c r="H503">
        <f>Koond_kulud!H535</f>
        <v>100</v>
      </c>
      <c r="I503" t="str">
        <f>Koond_kulud!I535</f>
        <v xml:space="preserve">värviprinteri tahm </v>
      </c>
      <c r="J503">
        <f>Koond_kulud!J535</f>
        <v>5500</v>
      </c>
      <c r="K503" t="str">
        <f>Koond_kulud!K535</f>
        <v>Administreerimiskulud</v>
      </c>
      <c r="L503">
        <f>Koond_kulud!L535</f>
        <v>55</v>
      </c>
      <c r="M503" t="str">
        <f>Koond_kulud!M535</f>
        <v>55</v>
      </c>
      <c r="N503" t="str">
        <f>Koond_kulud!N535</f>
        <v>Muud tegevuskulud</v>
      </c>
      <c r="O503" t="str">
        <f>Koond_kulud!O535</f>
        <v>Majandamiskulud</v>
      </c>
      <c r="P503" t="str">
        <f>Koond_kulud!P535</f>
        <v>Põhitegevuse kulu</v>
      </c>
      <c r="Q503">
        <f>Koond_kulud!Q535</f>
        <v>0</v>
      </c>
    </row>
    <row r="504" spans="1:17" hidden="1" x14ac:dyDescent="0.25">
      <c r="A504" t="str">
        <f>Koond_kulud!A536</f>
        <v>08</v>
      </c>
      <c r="B504" t="str">
        <f>Koond_kulud!B536</f>
        <v xml:space="preserve">0820207         </v>
      </c>
      <c r="C504" t="str">
        <f>Koond_kulud!C536</f>
        <v>Ulvi Klubi</v>
      </c>
      <c r="D504" t="str">
        <f>Koond_kulud!D536</f>
        <v>Rahvakultuur</v>
      </c>
      <c r="E504" t="str">
        <f>Koond_kulud!E536</f>
        <v>Vabaaeg, kultuur ja religioon</v>
      </c>
      <c r="F504" t="str">
        <f>Koond_kulud!F536</f>
        <v>Ulvi klubi</v>
      </c>
      <c r="G504" t="str">
        <f>Koond_kulud!G536</f>
        <v>paber, pliiats, markerid</v>
      </c>
      <c r="H504">
        <f>Koond_kulud!H536</f>
        <v>50</v>
      </c>
      <c r="I504">
        <f>Koond_kulud!I536</f>
        <v>0</v>
      </c>
      <c r="J504">
        <f>Koond_kulud!J536</f>
        <v>5500</v>
      </c>
      <c r="K504" t="str">
        <f>Koond_kulud!K536</f>
        <v>Administreerimiskulud</v>
      </c>
      <c r="L504">
        <f>Koond_kulud!L536</f>
        <v>55</v>
      </c>
      <c r="M504" t="str">
        <f>Koond_kulud!M536</f>
        <v>55</v>
      </c>
      <c r="N504" t="str">
        <f>Koond_kulud!N536</f>
        <v>Muud tegevuskulud</v>
      </c>
      <c r="O504" t="str">
        <f>Koond_kulud!O536</f>
        <v>Majandamiskulud</v>
      </c>
      <c r="P504" t="str">
        <f>Koond_kulud!P536</f>
        <v>Põhitegevuse kulu</v>
      </c>
      <c r="Q504">
        <f>Koond_kulud!Q536</f>
        <v>0</v>
      </c>
    </row>
    <row r="505" spans="1:17" hidden="1" x14ac:dyDescent="0.25">
      <c r="A505" t="str">
        <f>Koond_kulud!A537</f>
        <v>08</v>
      </c>
      <c r="B505" t="str">
        <f>Koond_kulud!B537</f>
        <v xml:space="preserve">0820207         </v>
      </c>
      <c r="C505" t="str">
        <f>Koond_kulud!C537</f>
        <v>Ulvi Klubi</v>
      </c>
      <c r="D505" t="str">
        <f>Koond_kulud!D537</f>
        <v>Rahvakultuur</v>
      </c>
      <c r="E505" t="str">
        <f>Koond_kulud!E537</f>
        <v>Vabaaeg, kultuur ja religioon</v>
      </c>
      <c r="F505" t="str">
        <f>Koond_kulud!F537</f>
        <v>Ulvi klubi</v>
      </c>
      <c r="G505" t="str">
        <f>Koond_kulud!G537</f>
        <v>klubi juhataja koolitused</v>
      </c>
      <c r="H505">
        <f>Koond_kulud!H537</f>
        <v>450</v>
      </c>
      <c r="I505" t="str">
        <f>Koond_kulud!I537</f>
        <v>juhataja koolitused/täiendkursused/suvekool</v>
      </c>
      <c r="J505">
        <f>Koond_kulud!J537</f>
        <v>5504</v>
      </c>
      <c r="K505" t="str">
        <f>Koond_kulud!K537</f>
        <v>Koolituskulud</v>
      </c>
      <c r="L505">
        <f>Koond_kulud!L537</f>
        <v>55</v>
      </c>
      <c r="M505" t="str">
        <f>Koond_kulud!M537</f>
        <v>55</v>
      </c>
      <c r="N505" t="str">
        <f>Koond_kulud!N537</f>
        <v>Muud tegevuskulud</v>
      </c>
      <c r="O505" t="str">
        <f>Koond_kulud!O537</f>
        <v>Majandamiskulud</v>
      </c>
      <c r="P505" t="str">
        <f>Koond_kulud!P537</f>
        <v>Põhitegevuse kulu</v>
      </c>
      <c r="Q505">
        <f>Koond_kulud!Q537</f>
        <v>0</v>
      </c>
    </row>
    <row r="506" spans="1:17" hidden="1" x14ac:dyDescent="0.25">
      <c r="A506" t="str">
        <f>Koond_kulud!A538</f>
        <v>08</v>
      </c>
      <c r="B506" t="str">
        <f>Koond_kulud!B538</f>
        <v xml:space="preserve">0820207         </v>
      </c>
      <c r="C506" t="str">
        <f>Koond_kulud!C538</f>
        <v>Ulvi Klubi</v>
      </c>
      <c r="D506" t="str">
        <f>Koond_kulud!D538</f>
        <v>Rahvakultuur</v>
      </c>
      <c r="E506" t="str">
        <f>Koond_kulud!E538</f>
        <v>Vabaaeg, kultuur ja religioon</v>
      </c>
      <c r="F506" t="str">
        <f>Koond_kulud!F538</f>
        <v>Ulvi klubi</v>
      </c>
      <c r="G506" t="str">
        <f>Koond_kulud!G538</f>
        <v>isikliku sõiduauto kasutamine juhatajal</v>
      </c>
      <c r="H506">
        <f>Koond_kulud!H538</f>
        <v>720</v>
      </c>
      <c r="I506" t="str">
        <f>Koond_kulud!I538</f>
        <v xml:space="preserve">12 x 60.- </v>
      </c>
      <c r="J506">
        <f>Koond_kulud!J538</f>
        <v>5513</v>
      </c>
      <c r="K506" t="str">
        <f>Koond_kulud!K538</f>
        <v>Sõidukite ülalpidamise kulud</v>
      </c>
      <c r="L506">
        <f>Koond_kulud!L538</f>
        <v>55</v>
      </c>
      <c r="M506" t="str">
        <f>Koond_kulud!M538</f>
        <v>55</v>
      </c>
      <c r="N506" t="str">
        <f>Koond_kulud!N538</f>
        <v>Muud tegevuskulud</v>
      </c>
      <c r="O506" t="str">
        <f>Koond_kulud!O538</f>
        <v>Majandamiskulud</v>
      </c>
      <c r="P506" t="str">
        <f>Koond_kulud!P538</f>
        <v>Põhitegevuse kulu</v>
      </c>
      <c r="Q506">
        <f>Koond_kulud!Q538</f>
        <v>0</v>
      </c>
    </row>
    <row r="507" spans="1:17" hidden="1" x14ac:dyDescent="0.25">
      <c r="A507" t="str">
        <f>Koond_kulud!A539</f>
        <v>08</v>
      </c>
      <c r="B507" t="str">
        <f>Koond_kulud!B539</f>
        <v xml:space="preserve">0820207         </v>
      </c>
      <c r="C507" t="str">
        <f>Koond_kulud!C539</f>
        <v>Ulvi Klubi</v>
      </c>
      <c r="D507" t="str">
        <f>Koond_kulud!D539</f>
        <v>Rahvakultuur</v>
      </c>
      <c r="E507" t="str">
        <f>Koond_kulud!E539</f>
        <v>Vabaaeg, kultuur ja religioon</v>
      </c>
      <c r="F507" t="str">
        <f>Koond_kulud!F539</f>
        <v>Ulvi klubi</v>
      </c>
      <c r="G507" t="str">
        <f>Koond_kulud!G539</f>
        <v>klubi ringide esinemisväljasõidud</v>
      </c>
      <c r="H507">
        <f>Koond_kulud!H539</f>
        <v>1500</v>
      </c>
      <c r="I507" t="str">
        <f>Koond_kulud!I539</f>
        <v>bussi tellimine</v>
      </c>
      <c r="J507">
        <f>Koond_kulud!J539</f>
        <v>5525</v>
      </c>
      <c r="K507" t="str">
        <f>Koond_kulud!K539</f>
        <v>Kommunikatsiooni-, kultuuri- ja vaba aja sisustamise kulud</v>
      </c>
      <c r="L507">
        <f>Koond_kulud!L539</f>
        <v>55</v>
      </c>
      <c r="M507" t="str">
        <f>Koond_kulud!M539</f>
        <v>55</v>
      </c>
      <c r="N507" t="str">
        <f>Koond_kulud!N539</f>
        <v>Muud tegevuskulud</v>
      </c>
      <c r="O507" t="str">
        <f>Koond_kulud!O539</f>
        <v>Majandamiskulud</v>
      </c>
      <c r="P507" t="str">
        <f>Koond_kulud!P539</f>
        <v>Põhitegevuse kulu</v>
      </c>
      <c r="Q507">
        <f>Koond_kulud!Q539</f>
        <v>0</v>
      </c>
    </row>
    <row r="508" spans="1:17" hidden="1" x14ac:dyDescent="0.25">
      <c r="A508" t="str">
        <f>Koond_kulud!A540</f>
        <v>08</v>
      </c>
      <c r="B508" t="str">
        <f>Koond_kulud!B540</f>
        <v xml:space="preserve">0820207         </v>
      </c>
      <c r="C508" t="str">
        <f>Koond_kulud!C540</f>
        <v>Ulvi Klubi</v>
      </c>
      <c r="D508" t="str">
        <f>Koond_kulud!D540</f>
        <v>Rahvakultuur</v>
      </c>
      <c r="E508" t="str">
        <f>Koond_kulud!E540</f>
        <v>Vabaaeg, kultuur ja religioon</v>
      </c>
      <c r="F508" t="str">
        <f>Koond_kulud!F540</f>
        <v>Ulvi klubi</v>
      </c>
      <c r="G508" t="str">
        <f>Koond_kulud!G540</f>
        <v>lilleteenus</v>
      </c>
      <c r="H508">
        <f>Koond_kulud!H540</f>
        <v>150</v>
      </c>
      <c r="I508" t="str">
        <f>Koond_kulud!I540</f>
        <v>ringijuhtide õnnitlemine, teiste asutuste õnnitlemine</v>
      </c>
      <c r="J508">
        <f>Koond_kulud!J540</f>
        <v>5525</v>
      </c>
      <c r="K508" t="str">
        <f>Koond_kulud!K540</f>
        <v>Kommunikatsiooni-, kultuuri- ja vaba aja sisustamise kulud</v>
      </c>
      <c r="L508">
        <f>Koond_kulud!L540</f>
        <v>55</v>
      </c>
      <c r="M508" t="str">
        <f>Koond_kulud!M540</f>
        <v>55</v>
      </c>
      <c r="N508" t="str">
        <f>Koond_kulud!N540</f>
        <v>Muud tegevuskulud</v>
      </c>
      <c r="O508" t="str">
        <f>Koond_kulud!O540</f>
        <v>Majandamiskulud</v>
      </c>
      <c r="P508" t="str">
        <f>Koond_kulud!P540</f>
        <v>Põhitegevuse kulu</v>
      </c>
      <c r="Q508">
        <f>Koond_kulud!Q540</f>
        <v>0</v>
      </c>
    </row>
    <row r="509" spans="1:17" hidden="1" x14ac:dyDescent="0.25">
      <c r="A509" t="str">
        <f>Koond_kulud!A541</f>
        <v>08</v>
      </c>
      <c r="B509" t="str">
        <f>Koond_kulud!B541</f>
        <v xml:space="preserve">0820207         </v>
      </c>
      <c r="C509" t="str">
        <f>Koond_kulud!C541</f>
        <v>Ulvi Klubi</v>
      </c>
      <c r="D509" t="str">
        <f>Koond_kulud!D541</f>
        <v>Rahvakultuur</v>
      </c>
      <c r="E509" t="str">
        <f>Koond_kulud!E541</f>
        <v>Vabaaeg, kultuur ja religioon</v>
      </c>
      <c r="F509" t="str">
        <f>Koond_kulud!F541</f>
        <v>Ulvi klubi</v>
      </c>
      <c r="G509" t="str">
        <f>Koond_kulud!G541</f>
        <v>Vabariigi aastapäeva lipuheiskamine</v>
      </c>
      <c r="H509">
        <f>Koond_kulud!H541</f>
        <v>200</v>
      </c>
      <c r="I509" t="str">
        <f>Koond_kulud!I541</f>
        <v>esineja tellimine,vastuvõtulaud</v>
      </c>
      <c r="J509">
        <f>Koond_kulud!J541</f>
        <v>5525</v>
      </c>
      <c r="K509" t="str">
        <f>Koond_kulud!K541</f>
        <v>Kommunikatsiooni-, kultuuri- ja vaba aja sisustamise kulud</v>
      </c>
      <c r="L509">
        <f>Koond_kulud!L541</f>
        <v>55</v>
      </c>
      <c r="M509" t="str">
        <f>Koond_kulud!M541</f>
        <v>55</v>
      </c>
      <c r="N509" t="str">
        <f>Koond_kulud!N541</f>
        <v>Muud tegevuskulud</v>
      </c>
      <c r="O509" t="str">
        <f>Koond_kulud!O541</f>
        <v>Majandamiskulud</v>
      </c>
      <c r="P509" t="str">
        <f>Koond_kulud!P541</f>
        <v>Põhitegevuse kulu</v>
      </c>
      <c r="Q509">
        <f>Koond_kulud!Q541</f>
        <v>0</v>
      </c>
    </row>
    <row r="510" spans="1:17" hidden="1" x14ac:dyDescent="0.25">
      <c r="A510" t="str">
        <f>Koond_kulud!A542</f>
        <v>08</v>
      </c>
      <c r="B510" t="str">
        <f>Koond_kulud!B542</f>
        <v xml:space="preserve">0820207         </v>
      </c>
      <c r="C510" t="str">
        <f>Koond_kulud!C542</f>
        <v>Ulvi Klubi</v>
      </c>
      <c r="D510" t="str">
        <f>Koond_kulud!D542</f>
        <v>Rahvakultuur</v>
      </c>
      <c r="E510" t="str">
        <f>Koond_kulud!E542</f>
        <v>Vabaaeg, kultuur ja religioon</v>
      </c>
      <c r="F510" t="str">
        <f>Koond_kulud!F542</f>
        <v>Ulvi klubi</v>
      </c>
      <c r="G510" t="str">
        <f>Koond_kulud!G542</f>
        <v>väiksemad üritused/koosviibimised</v>
      </c>
      <c r="H510">
        <f>Koond_kulud!H542</f>
        <v>1000</v>
      </c>
      <c r="I510" t="str">
        <f>Koond_kulud!I542</f>
        <v>aasta jooksul lisanduvad mitte pikalt ette planeeritud üritused</v>
      </c>
      <c r="J510">
        <f>Koond_kulud!J542</f>
        <v>5525</v>
      </c>
      <c r="K510" t="str">
        <f>Koond_kulud!K542</f>
        <v>Kommunikatsiooni-, kultuuri- ja vaba aja sisustamise kulud</v>
      </c>
      <c r="L510">
        <f>Koond_kulud!L542</f>
        <v>55</v>
      </c>
      <c r="M510" t="str">
        <f>Koond_kulud!M542</f>
        <v>55</v>
      </c>
      <c r="N510" t="str">
        <f>Koond_kulud!N542</f>
        <v>Muud tegevuskulud</v>
      </c>
      <c r="O510" t="str">
        <f>Koond_kulud!O542</f>
        <v>Majandamiskulud</v>
      </c>
      <c r="P510" t="str">
        <f>Koond_kulud!P542</f>
        <v>Põhitegevuse kulu</v>
      </c>
      <c r="Q510">
        <f>Koond_kulud!Q542</f>
        <v>0</v>
      </c>
    </row>
    <row r="511" spans="1:17" hidden="1" x14ac:dyDescent="0.25">
      <c r="A511" t="str">
        <f>Koond_kulud!A543</f>
        <v>08</v>
      </c>
      <c r="B511" t="str">
        <f>Koond_kulud!B543</f>
        <v xml:space="preserve">0820207         </v>
      </c>
      <c r="C511" t="str">
        <f>Koond_kulud!C543</f>
        <v>Ulvi Klubi</v>
      </c>
      <c r="D511" t="str">
        <f>Koond_kulud!D543</f>
        <v>Rahvakultuur</v>
      </c>
      <c r="E511" t="str">
        <f>Koond_kulud!E543</f>
        <v>Vabaaeg, kultuur ja religioon</v>
      </c>
      <c r="F511" t="str">
        <f>Koond_kulud!F543</f>
        <v>Ulvi klubi</v>
      </c>
      <c r="G511" t="str">
        <f>Koond_kulud!G543</f>
        <v xml:space="preserve">emadepäeva kontsert </v>
      </c>
      <c r="H511">
        <f>Koond_kulud!H543</f>
        <v>100</v>
      </c>
      <c r="I511" t="str">
        <f>Koond_kulud!I543</f>
        <v>tort/lilled/esineja</v>
      </c>
      <c r="J511">
        <f>Koond_kulud!J543</f>
        <v>5525</v>
      </c>
      <c r="K511" t="str">
        <f>Koond_kulud!K543</f>
        <v>Kommunikatsiooni-, kultuuri- ja vaba aja sisustamise kulud</v>
      </c>
      <c r="L511">
        <f>Koond_kulud!L543</f>
        <v>55</v>
      </c>
      <c r="M511" t="str">
        <f>Koond_kulud!M543</f>
        <v>55</v>
      </c>
      <c r="N511" t="str">
        <f>Koond_kulud!N543</f>
        <v>Muud tegevuskulud</v>
      </c>
      <c r="O511" t="str">
        <f>Koond_kulud!O543</f>
        <v>Majandamiskulud</v>
      </c>
      <c r="P511" t="str">
        <f>Koond_kulud!P543</f>
        <v>Põhitegevuse kulu</v>
      </c>
      <c r="Q511">
        <f>Koond_kulud!Q543</f>
        <v>0</v>
      </c>
    </row>
    <row r="512" spans="1:17" hidden="1" x14ac:dyDescent="0.25">
      <c r="A512" t="str">
        <f>Koond_kulud!A544</f>
        <v>08</v>
      </c>
      <c r="B512" t="str">
        <f>Koond_kulud!B544</f>
        <v xml:space="preserve">0820207         </v>
      </c>
      <c r="C512" t="str">
        <f>Koond_kulud!C544</f>
        <v>Ulvi Klubi</v>
      </c>
      <c r="D512" t="str">
        <f>Koond_kulud!D544</f>
        <v>Rahvakultuur</v>
      </c>
      <c r="E512" t="str">
        <f>Koond_kulud!E544</f>
        <v>Vabaaeg, kultuur ja religioon</v>
      </c>
      <c r="F512" t="str">
        <f>Koond_kulud!F544</f>
        <v>Ulvi klubi</v>
      </c>
      <c r="G512" t="str">
        <f>Koond_kulud!G544</f>
        <v>Rägavere piirkonna jaanituli</v>
      </c>
      <c r="H512">
        <f>Koond_kulud!H544</f>
        <v>1500</v>
      </c>
      <c r="I512" t="str">
        <f>Koond_kulud!I544</f>
        <v>ansambel/õhtujuht/auhinnad/lõke/lasteala</v>
      </c>
      <c r="J512">
        <f>Koond_kulud!J544</f>
        <v>5525</v>
      </c>
      <c r="K512" t="str">
        <f>Koond_kulud!K544</f>
        <v>Kommunikatsiooni-, kultuuri- ja vaba aja sisustamise kulud</v>
      </c>
      <c r="L512">
        <f>Koond_kulud!L544</f>
        <v>55</v>
      </c>
      <c r="M512" t="str">
        <f>Koond_kulud!M544</f>
        <v>55</v>
      </c>
      <c r="N512" t="str">
        <f>Koond_kulud!N544</f>
        <v>Muud tegevuskulud</v>
      </c>
      <c r="O512" t="str">
        <f>Koond_kulud!O544</f>
        <v>Majandamiskulud</v>
      </c>
      <c r="P512" t="str">
        <f>Koond_kulud!P544</f>
        <v>Põhitegevuse kulu</v>
      </c>
      <c r="Q512">
        <f>Koond_kulud!Q544</f>
        <v>0</v>
      </c>
    </row>
    <row r="513" spans="1:17" hidden="1" x14ac:dyDescent="0.25">
      <c r="A513" t="str">
        <f>Koond_kulud!A545</f>
        <v>08</v>
      </c>
      <c r="B513" t="str">
        <f>Koond_kulud!B545</f>
        <v xml:space="preserve">0820207         </v>
      </c>
      <c r="C513" t="str">
        <f>Koond_kulud!C545</f>
        <v>Ulvi Klubi</v>
      </c>
      <c r="D513" t="str">
        <f>Koond_kulud!D545</f>
        <v>Rahvakultuur</v>
      </c>
      <c r="E513" t="str">
        <f>Koond_kulud!E545</f>
        <v>Vabaaeg, kultuur ja religioon</v>
      </c>
      <c r="F513" t="str">
        <f>Koond_kulud!F545</f>
        <v>Ulvi klubi</v>
      </c>
      <c r="G513" t="str">
        <f>Koond_kulud!G545</f>
        <v xml:space="preserve">koduste laste jõulupidu </v>
      </c>
      <c r="H513">
        <f>Koond_kulud!H545</f>
        <v>100</v>
      </c>
      <c r="I513" t="str">
        <f>Koond_kulud!I545</f>
        <v>jõuluvana tellimine</v>
      </c>
      <c r="J513">
        <f>Koond_kulud!J545</f>
        <v>5525</v>
      </c>
      <c r="K513" t="str">
        <f>Koond_kulud!K545</f>
        <v>Kommunikatsiooni-, kultuuri- ja vaba aja sisustamise kulud</v>
      </c>
      <c r="L513">
        <f>Koond_kulud!L545</f>
        <v>55</v>
      </c>
      <c r="M513" t="str">
        <f>Koond_kulud!M545</f>
        <v>55</v>
      </c>
      <c r="N513" t="str">
        <f>Koond_kulud!N545</f>
        <v>Muud tegevuskulud</v>
      </c>
      <c r="O513" t="str">
        <f>Koond_kulud!O545</f>
        <v>Majandamiskulud</v>
      </c>
      <c r="P513" t="str">
        <f>Koond_kulud!P545</f>
        <v>Põhitegevuse kulu</v>
      </c>
      <c r="Q513">
        <f>Koond_kulud!Q545</f>
        <v>0</v>
      </c>
    </row>
    <row r="514" spans="1:17" hidden="1" x14ac:dyDescent="0.25">
      <c r="A514" t="str">
        <f>Koond_kulud!A546</f>
        <v>08</v>
      </c>
      <c r="B514" t="str">
        <f>Koond_kulud!B546</f>
        <v xml:space="preserve">0820207         </v>
      </c>
      <c r="C514" t="str">
        <f>Koond_kulud!C546</f>
        <v>Ulvi Klubi</v>
      </c>
      <c r="D514" t="str">
        <f>Koond_kulud!D546</f>
        <v>Rahvakultuur</v>
      </c>
      <c r="E514" t="str">
        <f>Koond_kulud!E546</f>
        <v>Vabaaeg, kultuur ja religioon</v>
      </c>
      <c r="F514" t="str">
        <f>Koond_kulud!F546</f>
        <v>Ulvi klubi</v>
      </c>
      <c r="G514" t="str">
        <f>Koond_kulud!G546</f>
        <v>taidlejate/piirkonna jõulupidu</v>
      </c>
      <c r="H514">
        <f>Koond_kulud!H546</f>
        <v>200</v>
      </c>
      <c r="I514" t="str">
        <f>Koond_kulud!I546</f>
        <v>esinejate tellimine/ ringijuhtide jõulupakid</v>
      </c>
      <c r="J514">
        <f>Koond_kulud!J546</f>
        <v>5525</v>
      </c>
      <c r="K514" t="str">
        <f>Koond_kulud!K546</f>
        <v>Kommunikatsiooni-, kultuuri- ja vaba aja sisustamise kulud</v>
      </c>
      <c r="L514">
        <f>Koond_kulud!L546</f>
        <v>55</v>
      </c>
      <c r="M514" t="str">
        <f>Koond_kulud!M546</f>
        <v>55</v>
      </c>
      <c r="N514" t="str">
        <f>Koond_kulud!N546</f>
        <v>Muud tegevuskulud</v>
      </c>
      <c r="O514" t="str">
        <f>Koond_kulud!O546</f>
        <v>Majandamiskulud</v>
      </c>
      <c r="P514" t="str">
        <f>Koond_kulud!P546</f>
        <v>Põhitegevuse kulu</v>
      </c>
      <c r="Q514">
        <f>Koond_kulud!Q546</f>
        <v>0</v>
      </c>
    </row>
    <row r="515" spans="1:17" hidden="1" x14ac:dyDescent="0.25">
      <c r="A515" t="str">
        <f>Koond_kulud!A547</f>
        <v>08</v>
      </c>
      <c r="B515" t="str">
        <f>Koond_kulud!B547</f>
        <v xml:space="preserve">0820207         </v>
      </c>
      <c r="C515" t="str">
        <f>Koond_kulud!C547</f>
        <v>Ulvi Klubi</v>
      </c>
      <c r="D515" t="str">
        <f>Koond_kulud!D547</f>
        <v>Rahvakultuur</v>
      </c>
      <c r="E515" t="str">
        <f>Koond_kulud!E547</f>
        <v>Vabaaeg, kultuur ja religioon</v>
      </c>
      <c r="F515" t="str">
        <f>Koond_kulud!F547</f>
        <v>Ulvi klubi</v>
      </c>
      <c r="G515" t="str">
        <f>Koond_kulud!G547</f>
        <v xml:space="preserve">kevadine hooaja lõpetamine </v>
      </c>
      <c r="H515">
        <f>Koond_kulud!H547</f>
        <v>300</v>
      </c>
      <c r="I515" t="str">
        <f>Koond_kulud!I547</f>
        <v>esineja/tänukirjad/kringel/kohv</v>
      </c>
      <c r="J515">
        <f>Koond_kulud!J547</f>
        <v>5525</v>
      </c>
      <c r="K515" t="str">
        <f>Koond_kulud!K547</f>
        <v>Kommunikatsiooni-, kultuuri- ja vaba aja sisustamise kulud</v>
      </c>
      <c r="L515">
        <f>Koond_kulud!L547</f>
        <v>55</v>
      </c>
      <c r="M515" t="str">
        <f>Koond_kulud!M547</f>
        <v>55</v>
      </c>
      <c r="N515" t="str">
        <f>Koond_kulud!N547</f>
        <v>Muud tegevuskulud</v>
      </c>
      <c r="O515" t="str">
        <f>Koond_kulud!O547</f>
        <v>Majandamiskulud</v>
      </c>
      <c r="P515" t="str">
        <f>Koond_kulud!P547</f>
        <v>Põhitegevuse kulu</v>
      </c>
      <c r="Q515">
        <f>Koond_kulud!Q547</f>
        <v>0</v>
      </c>
    </row>
    <row r="516" spans="1:17" hidden="1" x14ac:dyDescent="0.25">
      <c r="A516" t="str">
        <f>Koond_kulud!A548</f>
        <v>08</v>
      </c>
      <c r="B516" t="str">
        <f>Koond_kulud!B548</f>
        <v xml:space="preserve">0820207         </v>
      </c>
      <c r="C516" t="str">
        <f>Koond_kulud!C548</f>
        <v>Ulvi Klubi</v>
      </c>
      <c r="D516" t="str">
        <f>Koond_kulud!D548</f>
        <v>Rahvakultuur</v>
      </c>
      <c r="E516" t="str">
        <f>Koond_kulud!E548</f>
        <v>Vabaaeg, kultuur ja religioon</v>
      </c>
      <c r="F516" t="str">
        <f>Koond_kulud!F548</f>
        <v>Ulvi klubi</v>
      </c>
      <c r="G516" t="str">
        <f>Koond_kulud!G548</f>
        <v>Rägavere piirkonna vastalpäev</v>
      </c>
      <c r="H516">
        <f>Koond_kulud!H548</f>
        <v>150</v>
      </c>
      <c r="I516" t="str">
        <f>Koond_kulud!I548</f>
        <v>supp/kukklid/auhinnad</v>
      </c>
      <c r="J516">
        <f>Koond_kulud!J548</f>
        <v>5525</v>
      </c>
      <c r="K516" t="str">
        <f>Koond_kulud!K548</f>
        <v>Kommunikatsiooni-, kultuuri- ja vaba aja sisustamise kulud</v>
      </c>
      <c r="L516">
        <f>Koond_kulud!L548</f>
        <v>55</v>
      </c>
      <c r="M516" t="str">
        <f>Koond_kulud!M548</f>
        <v>55</v>
      </c>
      <c r="N516" t="str">
        <f>Koond_kulud!N548</f>
        <v>Muud tegevuskulud</v>
      </c>
      <c r="O516" t="str">
        <f>Koond_kulud!O548</f>
        <v>Majandamiskulud</v>
      </c>
      <c r="P516" t="str">
        <f>Koond_kulud!P548</f>
        <v>Põhitegevuse kulu</v>
      </c>
      <c r="Q516">
        <f>Koond_kulud!Q548</f>
        <v>0</v>
      </c>
    </row>
    <row r="517" spans="1:17" hidden="1" x14ac:dyDescent="0.25">
      <c r="A517" t="str">
        <f>Koond_kulud!A549</f>
        <v>08</v>
      </c>
      <c r="B517" t="str">
        <f>Koond_kulud!B549</f>
        <v xml:space="preserve">0820207         </v>
      </c>
      <c r="C517" t="str">
        <f>Koond_kulud!C549</f>
        <v>Ulvi Klubi</v>
      </c>
      <c r="D517" t="str">
        <f>Koond_kulud!D549</f>
        <v>Rahvakultuur</v>
      </c>
      <c r="E517" t="str">
        <f>Koond_kulud!E549</f>
        <v>Vabaaeg, kultuur ja religioon</v>
      </c>
      <c r="F517" t="str">
        <f>Koond_kulud!F549</f>
        <v>Ulvi klubi</v>
      </c>
      <c r="G517" t="str">
        <f>Koond_kulud!G549</f>
        <v>dekoratsioonid üritustele</v>
      </c>
      <c r="H517">
        <f>Koond_kulud!H549</f>
        <v>150</v>
      </c>
      <c r="I517">
        <f>Koond_kulud!I549</f>
        <v>0</v>
      </c>
      <c r="J517">
        <f>Koond_kulud!J549</f>
        <v>5525</v>
      </c>
      <c r="K517" t="str">
        <f>Koond_kulud!K549</f>
        <v>Kommunikatsiooni-, kultuuri- ja vaba aja sisustamise kulud</v>
      </c>
      <c r="L517">
        <f>Koond_kulud!L549</f>
        <v>55</v>
      </c>
      <c r="M517" t="str">
        <f>Koond_kulud!M549</f>
        <v>55</v>
      </c>
      <c r="N517" t="str">
        <f>Koond_kulud!N549</f>
        <v>Muud tegevuskulud</v>
      </c>
      <c r="O517" t="str">
        <f>Koond_kulud!O549</f>
        <v>Majandamiskulud</v>
      </c>
      <c r="P517" t="str">
        <f>Koond_kulud!P549</f>
        <v>Põhitegevuse kulu</v>
      </c>
      <c r="Q517">
        <f>Koond_kulud!Q549</f>
        <v>0</v>
      </c>
    </row>
    <row r="518" spans="1:17" hidden="1" x14ac:dyDescent="0.25">
      <c r="A518" t="str">
        <f>Koond_kulud!A550</f>
        <v>08</v>
      </c>
      <c r="B518" t="str">
        <f>Koond_kulud!B550</f>
        <v xml:space="preserve">0820207         </v>
      </c>
      <c r="C518" t="str">
        <f>Koond_kulud!C550</f>
        <v>Ulvi Klubi</v>
      </c>
      <c r="D518" t="str">
        <f>Koond_kulud!D550</f>
        <v>Rahvakultuur</v>
      </c>
      <c r="E518" t="str">
        <f>Koond_kulud!E550</f>
        <v>Vabaaeg, kultuur ja religioon</v>
      </c>
      <c r="F518" t="str">
        <f>Koond_kulud!F550</f>
        <v>Ulvi klubi</v>
      </c>
      <c r="G518" t="str">
        <f>Koond_kulud!G550</f>
        <v xml:space="preserve">eakate päeva tähistamine </v>
      </c>
      <c r="H518">
        <f>Koond_kulud!H550</f>
        <v>100</v>
      </c>
      <c r="I518">
        <f>Koond_kulud!I550</f>
        <v>0</v>
      </c>
      <c r="J518">
        <f>Koond_kulud!J550</f>
        <v>5525</v>
      </c>
      <c r="K518" t="str">
        <f>Koond_kulud!K550</f>
        <v>Kommunikatsiooni-, kultuuri- ja vaba aja sisustamise kulud</v>
      </c>
      <c r="L518">
        <f>Koond_kulud!L550</f>
        <v>55</v>
      </c>
      <c r="M518" t="str">
        <f>Koond_kulud!M550</f>
        <v>55</v>
      </c>
      <c r="N518" t="str">
        <f>Koond_kulud!N550</f>
        <v>Muud tegevuskulud</v>
      </c>
      <c r="O518" t="str">
        <f>Koond_kulud!O550</f>
        <v>Majandamiskulud</v>
      </c>
      <c r="P518" t="str">
        <f>Koond_kulud!P550</f>
        <v>Põhitegevuse kulu</v>
      </c>
      <c r="Q518">
        <f>Koond_kulud!Q550</f>
        <v>0</v>
      </c>
    </row>
    <row r="519" spans="1:17" hidden="1" x14ac:dyDescent="0.25">
      <c r="A519" t="str">
        <f>Koond_kulud!A551</f>
        <v>08</v>
      </c>
      <c r="B519" t="str">
        <f>Koond_kulud!B551</f>
        <v xml:space="preserve">0820207         </v>
      </c>
      <c r="C519" t="str">
        <f>Koond_kulud!C551</f>
        <v>Ulvi Klubi</v>
      </c>
      <c r="D519" t="str">
        <f>Koond_kulud!D551</f>
        <v>Rahvakultuur</v>
      </c>
      <c r="E519" t="str">
        <f>Koond_kulud!E551</f>
        <v>Vabaaeg, kultuur ja religioon</v>
      </c>
      <c r="F519" t="str">
        <f>Koond_kulud!F551</f>
        <v>Ulvi klubi</v>
      </c>
      <c r="G519" t="str">
        <f>Koond_kulud!G551</f>
        <v>pesutöötlus</v>
      </c>
      <c r="H519">
        <f>Koond_kulud!H551</f>
        <v>100</v>
      </c>
      <c r="I519" t="str">
        <f>Koond_kulud!I551</f>
        <v xml:space="preserve">Virumaa Puhastus OÜ </v>
      </c>
      <c r="J519">
        <f>Koond_kulud!J551</f>
        <v>5511</v>
      </c>
      <c r="K519" t="str">
        <f>Koond_kulud!K551</f>
        <v>Kinnistute, hoonete ja ruumide majandamiskulud</v>
      </c>
      <c r="L519">
        <f>Koond_kulud!L551</f>
        <v>55</v>
      </c>
      <c r="M519" t="str">
        <f>Koond_kulud!M551</f>
        <v>55</v>
      </c>
      <c r="N519" t="str">
        <f>Koond_kulud!N551</f>
        <v>Muud tegevuskulud</v>
      </c>
      <c r="O519" t="str">
        <f>Koond_kulud!O551</f>
        <v>Majandamiskulud</v>
      </c>
      <c r="P519" t="str">
        <f>Koond_kulud!P551</f>
        <v>Põhitegevuse kulu</v>
      </c>
      <c r="Q519">
        <f>Koond_kulud!Q551</f>
        <v>0</v>
      </c>
    </row>
    <row r="520" spans="1:17" hidden="1" x14ac:dyDescent="0.25">
      <c r="A520" t="str">
        <f>Koond_kulud!A552</f>
        <v>08</v>
      </c>
      <c r="B520" t="str">
        <f>Koond_kulud!B552</f>
        <v xml:space="preserve">0820207         </v>
      </c>
      <c r="C520" t="str">
        <f>Koond_kulud!C552</f>
        <v>Ulvi Klubi</v>
      </c>
      <c r="D520" t="str">
        <f>Koond_kulud!D552</f>
        <v>Rahvakultuur</v>
      </c>
      <c r="E520" t="str">
        <f>Koond_kulud!E552</f>
        <v>Vabaaeg, kultuur ja religioon</v>
      </c>
      <c r="F520" t="str">
        <f>Koond_kulud!F552</f>
        <v>Ulvi klubi</v>
      </c>
      <c r="G520" t="str">
        <f>Koond_kulud!G552</f>
        <v xml:space="preserve">vesi ja kanalisatsioon </v>
      </c>
      <c r="H520">
        <f>Koond_kulud!H552</f>
        <v>400</v>
      </c>
      <c r="I520" t="str">
        <f>Koond_kulud!I552</f>
        <v>Kunda Vesi OÜ</v>
      </c>
      <c r="J520">
        <f>Koond_kulud!J552</f>
        <v>5511</v>
      </c>
      <c r="K520" t="str">
        <f>Koond_kulud!K552</f>
        <v>Kinnistute, hoonete ja ruumide majandamiskulud</v>
      </c>
      <c r="L520">
        <f>Koond_kulud!L552</f>
        <v>55</v>
      </c>
      <c r="M520" t="str">
        <f>Koond_kulud!M552</f>
        <v>55</v>
      </c>
      <c r="N520" t="str">
        <f>Koond_kulud!N552</f>
        <v>Muud tegevuskulud</v>
      </c>
      <c r="O520" t="str">
        <f>Koond_kulud!O552</f>
        <v>Majandamiskulud</v>
      </c>
      <c r="P520" t="str">
        <f>Koond_kulud!P552</f>
        <v>Põhitegevuse kulu</v>
      </c>
      <c r="Q520">
        <f>Koond_kulud!Q552</f>
        <v>0</v>
      </c>
    </row>
    <row r="521" spans="1:17" hidden="1" x14ac:dyDescent="0.25">
      <c r="A521" t="str">
        <f>Koond_kulud!A553</f>
        <v>08</v>
      </c>
      <c r="B521" t="str">
        <f>Koond_kulud!B553</f>
        <v xml:space="preserve">0820207         </v>
      </c>
      <c r="C521" t="str">
        <f>Koond_kulud!C553</f>
        <v>Ulvi Klubi</v>
      </c>
      <c r="D521" t="str">
        <f>Koond_kulud!D553</f>
        <v>Rahvakultuur</v>
      </c>
      <c r="E521" t="str">
        <f>Koond_kulud!E553</f>
        <v>Vabaaeg, kultuur ja religioon</v>
      </c>
      <c r="F521" t="str">
        <f>Koond_kulud!F553</f>
        <v>Ulvi klubi</v>
      </c>
      <c r="G521" t="str">
        <f>Koond_kulud!G553</f>
        <v>veeautomaadi rent/vesi</v>
      </c>
      <c r="H521">
        <f>Koond_kulud!H553</f>
        <v>100</v>
      </c>
      <c r="I521" t="str">
        <f>Koond_kulud!I553</f>
        <v xml:space="preserve">6.- x 12 </v>
      </c>
      <c r="J521">
        <f>Koond_kulud!J553</f>
        <v>5511</v>
      </c>
      <c r="K521" t="str">
        <f>Koond_kulud!K553</f>
        <v>Kinnistute, hoonete ja ruumide majandamiskulud</v>
      </c>
      <c r="L521">
        <f>Koond_kulud!L553</f>
        <v>55</v>
      </c>
      <c r="M521" t="str">
        <f>Koond_kulud!M553</f>
        <v>55</v>
      </c>
      <c r="N521" t="str">
        <f>Koond_kulud!N553</f>
        <v>Muud tegevuskulud</v>
      </c>
      <c r="O521" t="str">
        <f>Koond_kulud!O553</f>
        <v>Majandamiskulud</v>
      </c>
      <c r="P521" t="str">
        <f>Koond_kulud!P553</f>
        <v>Põhitegevuse kulu</v>
      </c>
      <c r="Q521">
        <f>Koond_kulud!Q553</f>
        <v>0</v>
      </c>
    </row>
    <row r="522" spans="1:17" hidden="1" x14ac:dyDescent="0.25">
      <c r="A522" t="str">
        <f>Koond_kulud!A554</f>
        <v>08</v>
      </c>
      <c r="B522" t="str">
        <f>Koond_kulud!B554</f>
        <v xml:space="preserve">0820207         </v>
      </c>
      <c r="C522" t="str">
        <f>Koond_kulud!C554</f>
        <v>Ulvi Klubi</v>
      </c>
      <c r="D522" t="str">
        <f>Koond_kulud!D554</f>
        <v>Rahvakultuur</v>
      </c>
      <c r="E522" t="str">
        <f>Koond_kulud!E554</f>
        <v>Vabaaeg, kultuur ja religioon</v>
      </c>
      <c r="F522" t="str">
        <f>Koond_kulud!F554</f>
        <v>Ulvi klubi</v>
      </c>
      <c r="G522" t="str">
        <f>Koond_kulud!G554</f>
        <v>elekter</v>
      </c>
      <c r="H522">
        <f>Koond_kulud!H554</f>
        <v>10000</v>
      </c>
      <c r="I522" t="str">
        <f>Koond_kulud!I554</f>
        <v>Eesti Energia AS</v>
      </c>
      <c r="J522">
        <f>Koond_kulud!J554</f>
        <v>5511</v>
      </c>
      <c r="K522" t="str">
        <f>Koond_kulud!K554</f>
        <v>Kinnistute, hoonete ja ruumide majandamiskulud</v>
      </c>
      <c r="L522">
        <f>Koond_kulud!L554</f>
        <v>55</v>
      </c>
      <c r="M522" t="str">
        <f>Koond_kulud!M554</f>
        <v>55</v>
      </c>
      <c r="N522" t="str">
        <f>Koond_kulud!N554</f>
        <v>Muud tegevuskulud</v>
      </c>
      <c r="O522" t="str">
        <f>Koond_kulud!O554</f>
        <v>Majandamiskulud</v>
      </c>
      <c r="P522" t="str">
        <f>Koond_kulud!P554</f>
        <v>Põhitegevuse kulu</v>
      </c>
      <c r="Q522">
        <f>Koond_kulud!Q554</f>
        <v>0</v>
      </c>
    </row>
    <row r="523" spans="1:17" hidden="1" x14ac:dyDescent="0.25">
      <c r="A523" t="str">
        <f>Koond_kulud!A555</f>
        <v>08</v>
      </c>
      <c r="B523" t="str">
        <f>Koond_kulud!B555</f>
        <v xml:space="preserve">0820207         </v>
      </c>
      <c r="C523" t="str">
        <f>Koond_kulud!C555</f>
        <v>Ulvi Klubi</v>
      </c>
      <c r="D523" t="str">
        <f>Koond_kulud!D555</f>
        <v>Rahvakultuur</v>
      </c>
      <c r="E523" t="str">
        <f>Koond_kulud!E555</f>
        <v>Vabaaeg, kultuur ja religioon</v>
      </c>
      <c r="F523" t="str">
        <f>Koond_kulud!F555</f>
        <v>Ulvi klubi</v>
      </c>
      <c r="G523" t="str">
        <f>Koond_kulud!G555</f>
        <v>maaküte</v>
      </c>
      <c r="H523">
        <f>Koond_kulud!H555</f>
        <v>1000</v>
      </c>
      <c r="I523" t="str">
        <f>Koond_kulud!I555</f>
        <v xml:space="preserve">Viru Maaküte OÜ </v>
      </c>
      <c r="J523">
        <f>Koond_kulud!J555</f>
        <v>5511</v>
      </c>
      <c r="K523" t="str">
        <f>Koond_kulud!K555</f>
        <v>Kinnistute, hoonete ja ruumide majandamiskulud</v>
      </c>
      <c r="L523">
        <f>Koond_kulud!L555</f>
        <v>55</v>
      </c>
      <c r="M523" t="str">
        <f>Koond_kulud!M555</f>
        <v>55</v>
      </c>
      <c r="N523" t="str">
        <f>Koond_kulud!N555</f>
        <v>Muud tegevuskulud</v>
      </c>
      <c r="O523" t="str">
        <f>Koond_kulud!O555</f>
        <v>Majandamiskulud</v>
      </c>
      <c r="P523" t="str">
        <f>Koond_kulud!P555</f>
        <v>Põhitegevuse kulu</v>
      </c>
      <c r="Q523">
        <f>Koond_kulud!Q555</f>
        <v>0</v>
      </c>
    </row>
    <row r="524" spans="1:17" hidden="1" x14ac:dyDescent="0.25">
      <c r="A524" t="str">
        <f>Koond_kulud!A556</f>
        <v>08</v>
      </c>
      <c r="B524" t="str">
        <f>Koond_kulud!B556</f>
        <v xml:space="preserve">0820207         </v>
      </c>
      <c r="C524" t="str">
        <f>Koond_kulud!C556</f>
        <v>Ulvi Klubi</v>
      </c>
      <c r="D524" t="str">
        <f>Koond_kulud!D556</f>
        <v>Rahvakultuur</v>
      </c>
      <c r="E524" t="str">
        <f>Koond_kulud!E556</f>
        <v>Vabaaeg, kultuur ja religioon</v>
      </c>
      <c r="F524" t="str">
        <f>Koond_kulud!F556</f>
        <v>Ulvi klubi</v>
      </c>
      <c r="G524" t="str">
        <f>Koond_kulud!G556</f>
        <v>tulekustutite kontroll/hooldusteenus</v>
      </c>
      <c r="H524">
        <f>Koond_kulud!H556</f>
        <v>200</v>
      </c>
      <c r="I524" t="str">
        <f>Koond_kulud!I556</f>
        <v>Tamrex Ohutuse OÜ</v>
      </c>
      <c r="J524">
        <f>Koond_kulud!J556</f>
        <v>5511</v>
      </c>
      <c r="K524" t="str">
        <f>Koond_kulud!K556</f>
        <v>Kinnistute, hoonete ja ruumide majandamiskulud</v>
      </c>
      <c r="L524">
        <f>Koond_kulud!L556</f>
        <v>55</v>
      </c>
      <c r="M524" t="str">
        <f>Koond_kulud!M556</f>
        <v>55</v>
      </c>
      <c r="N524" t="str">
        <f>Koond_kulud!N556</f>
        <v>Muud tegevuskulud</v>
      </c>
      <c r="O524" t="str">
        <f>Koond_kulud!O556</f>
        <v>Majandamiskulud</v>
      </c>
      <c r="P524" t="str">
        <f>Koond_kulud!P556</f>
        <v>Põhitegevuse kulu</v>
      </c>
      <c r="Q524">
        <f>Koond_kulud!Q556</f>
        <v>0</v>
      </c>
    </row>
    <row r="525" spans="1:17" hidden="1" x14ac:dyDescent="0.25">
      <c r="A525" t="str">
        <f>Koond_kulud!A557</f>
        <v>08</v>
      </c>
      <c r="B525" t="str">
        <f>Koond_kulud!B557</f>
        <v xml:space="preserve">0820207         </v>
      </c>
      <c r="C525" t="str">
        <f>Koond_kulud!C557</f>
        <v>Ulvi Klubi</v>
      </c>
      <c r="D525" t="str">
        <f>Koond_kulud!D557</f>
        <v>Rahvakultuur</v>
      </c>
      <c r="E525" t="str">
        <f>Koond_kulud!E557</f>
        <v>Vabaaeg, kultuur ja religioon</v>
      </c>
      <c r="F525" t="str">
        <f>Koond_kulud!F557</f>
        <v>Ulvi klubi</v>
      </c>
      <c r="G525" t="str">
        <f>Koond_kulud!G557</f>
        <v>valvesüsteemi hooldusteenua</v>
      </c>
      <c r="H525">
        <f>Koond_kulud!H557</f>
        <v>120</v>
      </c>
      <c r="I525" t="str">
        <f>Koond_kulud!I557</f>
        <v>KMPH Grupp OÜ</v>
      </c>
      <c r="J525">
        <f>Koond_kulud!J557</f>
        <v>5511</v>
      </c>
      <c r="K525" t="str">
        <f>Koond_kulud!K557</f>
        <v>Kinnistute, hoonete ja ruumide majandamiskulud</v>
      </c>
      <c r="L525">
        <f>Koond_kulud!L557</f>
        <v>55</v>
      </c>
      <c r="M525" t="str">
        <f>Koond_kulud!M557</f>
        <v>55</v>
      </c>
      <c r="N525" t="str">
        <f>Koond_kulud!N557</f>
        <v>Muud tegevuskulud</v>
      </c>
      <c r="O525" t="str">
        <f>Koond_kulud!O557</f>
        <v>Majandamiskulud</v>
      </c>
      <c r="P525" t="str">
        <f>Koond_kulud!P557</f>
        <v>Põhitegevuse kulu</v>
      </c>
      <c r="Q525">
        <f>Koond_kulud!Q557</f>
        <v>0</v>
      </c>
    </row>
    <row r="526" spans="1:17" hidden="1" x14ac:dyDescent="0.25">
      <c r="A526" t="str">
        <f>Koond_kulud!A558</f>
        <v>08</v>
      </c>
      <c r="B526" t="str">
        <f>Koond_kulud!B558</f>
        <v xml:space="preserve">0820207         </v>
      </c>
      <c r="C526" t="str">
        <f>Koond_kulud!C558</f>
        <v>Ulvi Klubi</v>
      </c>
      <c r="D526" t="str">
        <f>Koond_kulud!D558</f>
        <v>Rahvakultuur</v>
      </c>
      <c r="E526" t="str">
        <f>Koond_kulud!E558</f>
        <v>Vabaaeg, kultuur ja religioon</v>
      </c>
      <c r="F526" t="str">
        <f>Koond_kulud!F558</f>
        <v>Ulvi klubi</v>
      </c>
      <c r="G526" t="str">
        <f>Koond_kulud!G558</f>
        <v>maja korrashoiuvahendid</v>
      </c>
      <c r="H526">
        <f>Koond_kulud!H558</f>
        <v>1000</v>
      </c>
      <c r="I526" t="str">
        <f>Koond_kulud!I558</f>
        <v>puh.vahendid, lapid, mopid, harjad, WC- ja kätebaperid, seebi jne.</v>
      </c>
      <c r="J526">
        <f>Koond_kulud!J558</f>
        <v>5511</v>
      </c>
      <c r="K526" t="str">
        <f>Koond_kulud!K558</f>
        <v>Kinnistute, hoonete ja ruumide majandamiskulud</v>
      </c>
      <c r="L526">
        <f>Koond_kulud!L558</f>
        <v>55</v>
      </c>
      <c r="M526" t="str">
        <f>Koond_kulud!M558</f>
        <v>55</v>
      </c>
      <c r="N526" t="str">
        <f>Koond_kulud!N558</f>
        <v>Muud tegevuskulud</v>
      </c>
      <c r="O526" t="str">
        <f>Koond_kulud!O558</f>
        <v>Majandamiskulud</v>
      </c>
      <c r="P526" t="str">
        <f>Koond_kulud!P558</f>
        <v>Põhitegevuse kulu</v>
      </c>
      <c r="Q526">
        <f>Koond_kulud!Q558</f>
        <v>0</v>
      </c>
    </row>
    <row r="527" spans="1:17" hidden="1" x14ac:dyDescent="0.25">
      <c r="A527" t="str">
        <f>Koond_kulud!A559</f>
        <v>08</v>
      </c>
      <c r="B527" t="str">
        <f>Koond_kulud!B559</f>
        <v xml:space="preserve">0820207         </v>
      </c>
      <c r="C527" t="str">
        <f>Koond_kulud!C559</f>
        <v>Ulvi Klubi</v>
      </c>
      <c r="D527" t="str">
        <f>Koond_kulud!D559</f>
        <v>Rahvakultuur</v>
      </c>
      <c r="E527" t="str">
        <f>Koond_kulud!E559</f>
        <v>Vabaaeg, kultuur ja religioon</v>
      </c>
      <c r="F527" t="str">
        <f>Koond_kulud!F559</f>
        <v>Ulvi klubi</v>
      </c>
      <c r="G527" t="str">
        <f>Koond_kulud!G559</f>
        <v xml:space="preserve">saali parketihooldus </v>
      </c>
      <c r="H527">
        <f>Koond_kulud!H559</f>
        <v>800</v>
      </c>
      <c r="I527" t="str">
        <f>Koond_kulud!I559</f>
        <v>iga aastane parketihooldus/vahendid/tööaeg</v>
      </c>
      <c r="J527">
        <f>Koond_kulud!J559</f>
        <v>5511</v>
      </c>
      <c r="K527" t="str">
        <f>Koond_kulud!K559</f>
        <v>Kinnistute, hoonete ja ruumide majandamiskulud</v>
      </c>
      <c r="L527">
        <f>Koond_kulud!L559</f>
        <v>55</v>
      </c>
      <c r="M527" t="str">
        <f>Koond_kulud!M559</f>
        <v>55</v>
      </c>
      <c r="N527" t="str">
        <f>Koond_kulud!N559</f>
        <v>Muud tegevuskulud</v>
      </c>
      <c r="O527" t="str">
        <f>Koond_kulud!O559</f>
        <v>Majandamiskulud</v>
      </c>
      <c r="P527" t="str">
        <f>Koond_kulud!P559</f>
        <v>Põhitegevuse kulu</v>
      </c>
      <c r="Q527">
        <f>Koond_kulud!Q559</f>
        <v>0</v>
      </c>
    </row>
    <row r="528" spans="1:17" hidden="1" x14ac:dyDescent="0.25">
      <c r="A528" t="str">
        <f>Koond_kulud!A560</f>
        <v>08</v>
      </c>
      <c r="B528" t="str">
        <f>Koond_kulud!B560</f>
        <v xml:space="preserve">0820207         </v>
      </c>
      <c r="C528" t="str">
        <f>Koond_kulud!C560</f>
        <v>Ulvi Klubi</v>
      </c>
      <c r="D528" t="str">
        <f>Koond_kulud!D560</f>
        <v>Rahvakultuur</v>
      </c>
      <c r="E528" t="str">
        <f>Koond_kulud!E560</f>
        <v>Vabaaeg, kultuur ja religioon</v>
      </c>
      <c r="F528" t="str">
        <f>Koond_kulud!F560</f>
        <v>Ulvi klubi</v>
      </c>
      <c r="G528" t="str">
        <f>Koond_kulud!G560</f>
        <v>maja hooldustööd/remont</v>
      </c>
      <c r="H528">
        <f>Koond_kulud!H560</f>
        <v>1000</v>
      </c>
      <c r="I528" t="str">
        <f>Koond_kulud!I560</f>
        <v>ettenägematud kulud maja remondiks/pirnide vahetus/parandustööd/kanalisatsioonitööd</v>
      </c>
      <c r="J528">
        <f>Koond_kulud!J560</f>
        <v>5511</v>
      </c>
      <c r="K528" t="str">
        <f>Koond_kulud!K560</f>
        <v>Kinnistute, hoonete ja ruumide majandamiskulud</v>
      </c>
      <c r="L528">
        <f>Koond_kulud!L560</f>
        <v>55</v>
      </c>
      <c r="M528" t="str">
        <f>Koond_kulud!M560</f>
        <v>55</v>
      </c>
      <c r="N528" t="str">
        <f>Koond_kulud!N560</f>
        <v>Muud tegevuskulud</v>
      </c>
      <c r="O528" t="str">
        <f>Koond_kulud!O560</f>
        <v>Majandamiskulud</v>
      </c>
      <c r="P528" t="str">
        <f>Koond_kulud!P560</f>
        <v>Põhitegevuse kulu</v>
      </c>
      <c r="Q528">
        <f>Koond_kulud!Q560</f>
        <v>0</v>
      </c>
    </row>
    <row r="529" spans="1:17" hidden="1" x14ac:dyDescent="0.25">
      <c r="A529" t="str">
        <f>Koond_kulud!A561</f>
        <v>08</v>
      </c>
      <c r="B529" t="str">
        <f>Koond_kulud!B561</f>
        <v xml:space="preserve">0820207         </v>
      </c>
      <c r="C529" t="str">
        <f>Koond_kulud!C561</f>
        <v>Ulvi Klubi</v>
      </c>
      <c r="D529" t="str">
        <f>Koond_kulud!D561</f>
        <v>Rahvakultuur</v>
      </c>
      <c r="E529" t="str">
        <f>Koond_kulud!E561</f>
        <v>Vabaaeg, kultuur ja religioon</v>
      </c>
      <c r="F529" t="str">
        <f>Koond_kulud!F561</f>
        <v>Ulvi klubi</v>
      </c>
      <c r="G529" t="str">
        <f>Koond_kulud!G561</f>
        <v>lilled õue lillekastidesse, amplid suvel maja ees</v>
      </c>
      <c r="H529">
        <f>Koond_kulud!H561</f>
        <v>100</v>
      </c>
      <c r="I529">
        <f>Koond_kulud!I561</f>
        <v>0</v>
      </c>
      <c r="J529">
        <f>Koond_kulud!J561</f>
        <v>5511</v>
      </c>
      <c r="K529" t="str">
        <f>Koond_kulud!K561</f>
        <v>Kinnistute, hoonete ja ruumide majandamiskulud</v>
      </c>
      <c r="L529">
        <f>Koond_kulud!L561</f>
        <v>55</v>
      </c>
      <c r="M529" t="str">
        <f>Koond_kulud!M561</f>
        <v>55</v>
      </c>
      <c r="N529" t="str">
        <f>Koond_kulud!N561</f>
        <v>Muud tegevuskulud</v>
      </c>
      <c r="O529" t="str">
        <f>Koond_kulud!O561</f>
        <v>Majandamiskulud</v>
      </c>
      <c r="P529" t="str">
        <f>Koond_kulud!P561</f>
        <v>Põhitegevuse kulu</v>
      </c>
      <c r="Q529">
        <f>Koond_kulud!Q561</f>
        <v>0</v>
      </c>
    </row>
    <row r="530" spans="1:17" hidden="1" x14ac:dyDescent="0.25">
      <c r="A530" t="str">
        <f>Koond_kulud!A562</f>
        <v>08</v>
      </c>
      <c r="B530" t="str">
        <f>Koond_kulud!B562</f>
        <v xml:space="preserve">0820207         </v>
      </c>
      <c r="C530" t="str">
        <f>Koond_kulud!C562</f>
        <v>Ulvi Klubi</v>
      </c>
      <c r="D530" t="str">
        <f>Koond_kulud!D562</f>
        <v>Rahvakultuur</v>
      </c>
      <c r="E530" t="str">
        <f>Koond_kulud!E562</f>
        <v>Vabaaeg, kultuur ja religioon</v>
      </c>
      <c r="F530" t="str">
        <f>Koond_kulud!F562</f>
        <v>Ulvi klubi</v>
      </c>
      <c r="G530" t="str">
        <f>Koond_kulud!G562</f>
        <v xml:space="preserve">hoone kindlustus </v>
      </c>
      <c r="H530">
        <f>Koond_kulud!H562</f>
        <v>300</v>
      </c>
      <c r="I530">
        <f>Koond_kulud!I562</f>
        <v>0</v>
      </c>
      <c r="J530">
        <f>Koond_kulud!J562</f>
        <v>5511</v>
      </c>
      <c r="K530" t="str">
        <f>Koond_kulud!K562</f>
        <v>Kinnistute, hoonete ja ruumide majandamiskulud</v>
      </c>
      <c r="L530">
        <f>Koond_kulud!L562</f>
        <v>55</v>
      </c>
      <c r="M530" t="str">
        <f>Koond_kulud!M562</f>
        <v>55</v>
      </c>
      <c r="N530" t="str">
        <f>Koond_kulud!N562</f>
        <v>Muud tegevuskulud</v>
      </c>
      <c r="O530" t="str">
        <f>Koond_kulud!O562</f>
        <v>Majandamiskulud</v>
      </c>
      <c r="P530" t="str">
        <f>Koond_kulud!P562</f>
        <v>Põhitegevuse kulu</v>
      </c>
      <c r="Q530">
        <f>Koond_kulud!Q562</f>
        <v>0</v>
      </c>
    </row>
    <row r="531" spans="1:17" hidden="1" x14ac:dyDescent="0.25">
      <c r="A531" t="str">
        <f>Koond_kulud!A563</f>
        <v>08</v>
      </c>
      <c r="B531" t="str">
        <f>Koond_kulud!B563</f>
        <v xml:space="preserve">0820207         </v>
      </c>
      <c r="C531" t="str">
        <f>Koond_kulud!C563</f>
        <v>Ulvi Klubi</v>
      </c>
      <c r="D531" t="str">
        <f>Koond_kulud!D563</f>
        <v>Rahvakultuur</v>
      </c>
      <c r="E531" t="str">
        <f>Koond_kulud!E563</f>
        <v>Vabaaeg, kultuur ja religioon</v>
      </c>
      <c r="F531" t="str">
        <f>Koond_kulud!F563</f>
        <v>Ulvi klubi</v>
      </c>
      <c r="G531" t="str">
        <f>Koond_kulud!G563</f>
        <v>arvutihooldus/programmid</v>
      </c>
      <c r="H531">
        <f>Koond_kulud!H563</f>
        <v>300</v>
      </c>
      <c r="I531">
        <f>Koond_kulud!I563</f>
        <v>0</v>
      </c>
      <c r="J531">
        <f>Koond_kulud!J563</f>
        <v>5514</v>
      </c>
      <c r="K531" t="str">
        <f>Koond_kulud!K563</f>
        <v>Info- ja kommunikatsioonitehnoliigised kulud</v>
      </c>
      <c r="L531">
        <f>Koond_kulud!L563</f>
        <v>55</v>
      </c>
      <c r="M531" t="str">
        <f>Koond_kulud!M563</f>
        <v>55</v>
      </c>
      <c r="N531" t="str">
        <f>Koond_kulud!N563</f>
        <v>Muud tegevuskulud</v>
      </c>
      <c r="O531" t="str">
        <f>Koond_kulud!O563</f>
        <v>Majandamiskulud</v>
      </c>
      <c r="P531" t="str">
        <f>Koond_kulud!P563</f>
        <v>Põhitegevuse kulu</v>
      </c>
      <c r="Q531">
        <f>Koond_kulud!Q563</f>
        <v>0</v>
      </c>
    </row>
    <row r="532" spans="1:17" hidden="1" x14ac:dyDescent="0.25">
      <c r="A532" t="str">
        <f>Koond_kulud!A564</f>
        <v>08</v>
      </c>
      <c r="B532" t="str">
        <f>Koond_kulud!B564</f>
        <v>0820301</v>
      </c>
      <c r="C532" t="str">
        <f>Koond_kulud!C564</f>
        <v>Vinni Vallamuuseum</v>
      </c>
      <c r="D532" t="str">
        <f>Koond_kulud!D564</f>
        <v>Muuseumid</v>
      </c>
      <c r="E532" t="str">
        <f>Koond_kulud!E564</f>
        <v>Vabaaeg, kultuur ja religioon</v>
      </c>
      <c r="F532" t="str">
        <f>Koond_kulud!F564</f>
        <v>Muuseumi juhataja</v>
      </c>
      <c r="G532" t="str">
        <f>Koond_kulud!G564</f>
        <v>Transpordikulud</v>
      </c>
      <c r="H532">
        <f>Koond_kulud!H564</f>
        <v>1000</v>
      </c>
      <c r="I532" t="str">
        <f>Koond_kulud!I564</f>
        <v>Põlula, Tudu muuseumisse isikute vedu</v>
      </c>
      <c r="J532">
        <f>Koond_kulud!J564</f>
        <v>5540</v>
      </c>
      <c r="K532" t="str">
        <f>Koond_kulud!K564</f>
        <v>Mitmesugused majanduskulud</v>
      </c>
      <c r="L532">
        <f>Koond_kulud!L564</f>
        <v>55</v>
      </c>
      <c r="M532" t="str">
        <f>Koond_kulud!M564</f>
        <v>55</v>
      </c>
      <c r="N532" t="str">
        <f>Koond_kulud!N564</f>
        <v>Muud tegevuskulud</v>
      </c>
      <c r="O532" t="str">
        <f>Koond_kulud!O564</f>
        <v>Majandamiskulud</v>
      </c>
      <c r="P532" t="str">
        <f>Koond_kulud!P564</f>
        <v>Põhitegevuse kulu</v>
      </c>
      <c r="Q532">
        <f>Koond_kulud!Q564</f>
        <v>0</v>
      </c>
    </row>
    <row r="533" spans="1:17" hidden="1" x14ac:dyDescent="0.25">
      <c r="A533" t="str">
        <f>Koond_kulud!A565</f>
        <v>08</v>
      </c>
      <c r="B533" t="str">
        <f>Koond_kulud!B565</f>
        <v>0820301</v>
      </c>
      <c r="C533" t="str">
        <f>Koond_kulud!C565</f>
        <v>Vinni Vallamuuseum</v>
      </c>
      <c r="D533" t="str">
        <f>Koond_kulud!D565</f>
        <v>Muuseumid</v>
      </c>
      <c r="E533" t="str">
        <f>Koond_kulud!E565</f>
        <v>Vabaaeg, kultuur ja religioon</v>
      </c>
      <c r="F533" t="str">
        <f>Koond_kulud!F565</f>
        <v>Muuseumi juhataja</v>
      </c>
      <c r="G533" t="str">
        <f>Koond_kulud!G565</f>
        <v>Skännerid</v>
      </c>
      <c r="H533">
        <f>Koond_kulud!H565</f>
        <v>540</v>
      </c>
      <c r="I533" t="str">
        <f>Koond_kulud!I565</f>
        <v>Põlula, Tudu, Roela, Viru-Jaagupi, Kadila, Laekvere</v>
      </c>
      <c r="J533">
        <f>Koond_kulud!J565</f>
        <v>5514</v>
      </c>
      <c r="K533" t="str">
        <f>Koond_kulud!K565</f>
        <v>Info- ja kommunikatsioonitehnoliigised kulud</v>
      </c>
      <c r="L533">
        <f>Koond_kulud!L565</f>
        <v>55</v>
      </c>
      <c r="M533" t="str">
        <f>Koond_kulud!M565</f>
        <v>55</v>
      </c>
      <c r="N533" t="str">
        <f>Koond_kulud!N565</f>
        <v>Muud tegevuskulud</v>
      </c>
      <c r="O533" t="str">
        <f>Koond_kulud!O565</f>
        <v>Majandamiskulud</v>
      </c>
      <c r="P533" t="str">
        <f>Koond_kulud!P565</f>
        <v>Põhitegevuse kulu</v>
      </c>
      <c r="Q533">
        <f>Koond_kulud!Q565</f>
        <v>0</v>
      </c>
    </row>
    <row r="534" spans="1:17" hidden="1" x14ac:dyDescent="0.25">
      <c r="A534" t="str">
        <f>Koond_kulud!A566</f>
        <v>08</v>
      </c>
      <c r="B534" t="str">
        <f>Koond_kulud!B566</f>
        <v>0820301</v>
      </c>
      <c r="C534" t="str">
        <f>Koond_kulud!C566</f>
        <v>Vinni Vallamuuseum</v>
      </c>
      <c r="D534" t="str">
        <f>Koond_kulud!D566</f>
        <v>Muuseumid</v>
      </c>
      <c r="E534" t="str">
        <f>Koond_kulud!E566</f>
        <v>Vabaaeg, kultuur ja religioon</v>
      </c>
      <c r="F534" t="str">
        <f>Koond_kulud!F566</f>
        <v>Muuseumi juhataja</v>
      </c>
      <c r="G534" t="str">
        <f>Koond_kulud!G566</f>
        <v>Arhiveerimistarvikud</v>
      </c>
      <c r="H534">
        <f>Koond_kulud!H566</f>
        <v>2400</v>
      </c>
      <c r="I534" t="str">
        <f>Koond_kulud!I566</f>
        <v>Põlula, Tudu, Roela, Viru-Jaagupi, Kadila, Laekvere</v>
      </c>
      <c r="J534">
        <f>Koond_kulud!J566</f>
        <v>5500</v>
      </c>
      <c r="K534" t="str">
        <f>Koond_kulud!K566</f>
        <v>Administreerimiskulud</v>
      </c>
      <c r="L534">
        <f>Koond_kulud!L566</f>
        <v>55</v>
      </c>
      <c r="M534" t="str">
        <f>Koond_kulud!M566</f>
        <v>55</v>
      </c>
      <c r="N534" t="str">
        <f>Koond_kulud!N566</f>
        <v>Muud tegevuskulud</v>
      </c>
      <c r="O534" t="str">
        <f>Koond_kulud!O566</f>
        <v>Majandamiskulud</v>
      </c>
      <c r="P534" t="str">
        <f>Koond_kulud!P566</f>
        <v>Põhitegevuse kulu</v>
      </c>
      <c r="Q534">
        <f>Koond_kulud!Q566</f>
        <v>0</v>
      </c>
    </row>
    <row r="535" spans="1:17" hidden="1" x14ac:dyDescent="0.25">
      <c r="A535" t="str">
        <f>Koond_kulud!A567</f>
        <v>08</v>
      </c>
      <c r="B535" t="str">
        <f>Koond_kulud!B567</f>
        <v>0820301</v>
      </c>
      <c r="C535" t="str">
        <f>Koond_kulud!C567</f>
        <v>Vinni Vallamuuseum</v>
      </c>
      <c r="D535" t="str">
        <f>Koond_kulud!D567</f>
        <v>Muuseumid</v>
      </c>
      <c r="E535" t="str">
        <f>Koond_kulud!E567</f>
        <v>Vabaaeg, kultuur ja religioon</v>
      </c>
      <c r="F535" t="str">
        <f>Koond_kulud!F567</f>
        <v>Muuseumi juhataja</v>
      </c>
      <c r="G535" t="str">
        <f>Koond_kulud!G567</f>
        <v>Materjalide ettevalmistamine näituseks</v>
      </c>
      <c r="H535">
        <f>Koond_kulud!H567</f>
        <v>1500</v>
      </c>
      <c r="I535" t="str">
        <f>Koond_kulud!I567</f>
        <v xml:space="preserve">Põlula, Tudu, Roela </v>
      </c>
      <c r="J535">
        <f>Koond_kulud!J567</f>
        <v>5540</v>
      </c>
      <c r="K535" t="str">
        <f>Koond_kulud!K567</f>
        <v>Mitmesugused majanduskulud</v>
      </c>
      <c r="L535">
        <f>Koond_kulud!L567</f>
        <v>55</v>
      </c>
      <c r="M535" t="str">
        <f>Koond_kulud!M567</f>
        <v>55</v>
      </c>
      <c r="N535" t="str">
        <f>Koond_kulud!N567</f>
        <v>Muud tegevuskulud</v>
      </c>
      <c r="O535" t="str">
        <f>Koond_kulud!O567</f>
        <v>Majandamiskulud</v>
      </c>
      <c r="P535" t="str">
        <f>Koond_kulud!P567</f>
        <v>Põhitegevuse kulu</v>
      </c>
      <c r="Q535">
        <f>Koond_kulud!Q567</f>
        <v>0</v>
      </c>
    </row>
    <row r="536" spans="1:17" hidden="1" x14ac:dyDescent="0.25">
      <c r="A536" t="str">
        <f>Koond_kulud!A568</f>
        <v>08</v>
      </c>
      <c r="B536" t="str">
        <f>Koond_kulud!B568</f>
        <v>0820301</v>
      </c>
      <c r="C536" t="str">
        <f>Koond_kulud!C568</f>
        <v>Vinni Vallamuuseum</v>
      </c>
      <c r="D536" t="str">
        <f>Koond_kulud!D568</f>
        <v>Muuseumid</v>
      </c>
      <c r="E536" t="str">
        <f>Koond_kulud!E568</f>
        <v>Vabaaeg, kultuur ja religioon</v>
      </c>
      <c r="F536" t="str">
        <f>Koond_kulud!F568</f>
        <v>Muuseumi juhataja</v>
      </c>
      <c r="G536" t="str">
        <f>Koond_kulud!G568</f>
        <v>Isikliku sõiduauto komp.</v>
      </c>
      <c r="H536">
        <f>Koond_kulud!H568</f>
        <v>3685</v>
      </c>
      <c r="I536">
        <f>Koond_kulud!I568</f>
        <v>0</v>
      </c>
      <c r="J536">
        <f>Koond_kulud!J568</f>
        <v>5513</v>
      </c>
      <c r="K536" t="str">
        <f>Koond_kulud!K568</f>
        <v>Sõidukite ülalpidamise kulud</v>
      </c>
      <c r="L536">
        <f>Koond_kulud!L568</f>
        <v>55</v>
      </c>
      <c r="M536" t="str">
        <f>Koond_kulud!M568</f>
        <v>55</v>
      </c>
      <c r="N536" t="str">
        <f>Koond_kulud!N568</f>
        <v>Muud tegevuskulud</v>
      </c>
      <c r="O536" t="str">
        <f>Koond_kulud!O568</f>
        <v>Majandamiskulud</v>
      </c>
      <c r="P536" t="str">
        <f>Koond_kulud!P568</f>
        <v>Põhitegevuse kulu</v>
      </c>
      <c r="Q536">
        <f>Koond_kulud!Q568</f>
        <v>0</v>
      </c>
    </row>
    <row r="537" spans="1:17" hidden="1" x14ac:dyDescent="0.25">
      <c r="A537" t="str">
        <f>Koond_kulud!A569</f>
        <v>08</v>
      </c>
      <c r="B537" t="str">
        <f>Koond_kulud!B569</f>
        <v>0820301</v>
      </c>
      <c r="C537" t="str">
        <f>Koond_kulud!C569</f>
        <v>Vinni Vallamuuseum</v>
      </c>
      <c r="D537" t="str">
        <f>Koond_kulud!D569</f>
        <v>Muuseumid</v>
      </c>
      <c r="E537" t="str">
        <f>Koond_kulud!E569</f>
        <v>Vabaaeg, kultuur ja religioon</v>
      </c>
      <c r="F537" t="str">
        <f>Koond_kulud!F569</f>
        <v>Muuseumi juhataja</v>
      </c>
      <c r="G537" t="str">
        <f>Koond_kulud!G569</f>
        <v>Sideteenused</v>
      </c>
      <c r="H537">
        <f>Koond_kulud!H569</f>
        <v>180</v>
      </c>
      <c r="I537">
        <f>Koond_kulud!I569</f>
        <v>0</v>
      </c>
      <c r="J537">
        <f>Koond_kulud!J569</f>
        <v>5500</v>
      </c>
      <c r="K537" t="str">
        <f>Koond_kulud!K569</f>
        <v>Administreerimiskulud</v>
      </c>
      <c r="L537">
        <f>Koond_kulud!L569</f>
        <v>55</v>
      </c>
      <c r="M537" t="str">
        <f>Koond_kulud!M569</f>
        <v>55</v>
      </c>
      <c r="N537" t="str">
        <f>Koond_kulud!N569</f>
        <v>Muud tegevuskulud</v>
      </c>
      <c r="O537" t="str">
        <f>Koond_kulud!O569</f>
        <v>Majandamiskulud</v>
      </c>
      <c r="P537" t="str">
        <f>Koond_kulud!P569</f>
        <v>Põhitegevuse kulu</v>
      </c>
      <c r="Q537">
        <f>Koond_kulud!Q569</f>
        <v>0</v>
      </c>
    </row>
    <row r="538" spans="1:17" hidden="1" x14ac:dyDescent="0.25">
      <c r="A538" t="str">
        <f>Koond_kulud!A570</f>
        <v>08</v>
      </c>
      <c r="B538" t="str">
        <f>Koond_kulud!B570</f>
        <v>0820301</v>
      </c>
      <c r="C538" t="str">
        <f>Koond_kulud!C570</f>
        <v>Vinni Vallamuuseum</v>
      </c>
      <c r="D538" t="str">
        <f>Koond_kulud!D570</f>
        <v>Muuseumid</v>
      </c>
      <c r="E538" t="str">
        <f>Koond_kulud!E570</f>
        <v>Vabaaeg, kultuur ja religioon</v>
      </c>
      <c r="F538" t="str">
        <f>Koond_kulud!F570</f>
        <v>Muuseumi juhataja</v>
      </c>
      <c r="G538" t="str">
        <f>Koond_kulud!G570</f>
        <v>Topoteegi aastane hooldustasu</v>
      </c>
      <c r="H538">
        <f>Koond_kulud!H570</f>
        <v>300</v>
      </c>
      <c r="I538">
        <f>Koond_kulud!I570</f>
        <v>0</v>
      </c>
      <c r="J538">
        <f>Koond_kulud!J570</f>
        <v>5514</v>
      </c>
      <c r="K538" t="str">
        <f>Koond_kulud!K570</f>
        <v>Info- ja kommunikatsioonitehnoliigised kulud</v>
      </c>
      <c r="L538">
        <f>Koond_kulud!L570</f>
        <v>55</v>
      </c>
      <c r="M538" t="str">
        <f>Koond_kulud!M570</f>
        <v>55</v>
      </c>
      <c r="N538" t="str">
        <f>Koond_kulud!N570</f>
        <v>Muud tegevuskulud</v>
      </c>
      <c r="O538" t="str">
        <f>Koond_kulud!O570</f>
        <v>Majandamiskulud</v>
      </c>
      <c r="P538" t="str">
        <f>Koond_kulud!P570</f>
        <v>Põhitegevuse kulu</v>
      </c>
      <c r="Q538">
        <f>Koond_kulud!Q570</f>
        <v>0</v>
      </c>
    </row>
    <row r="539" spans="1:17" hidden="1" x14ac:dyDescent="0.25">
      <c r="A539" t="str">
        <f>Koond_kulud!A571</f>
        <v>08</v>
      </c>
      <c r="B539" t="str">
        <f>Koond_kulud!B571</f>
        <v>0820301</v>
      </c>
      <c r="C539" t="str">
        <f>Koond_kulud!C571</f>
        <v>Vinni Vallamuuseum</v>
      </c>
      <c r="D539" t="str">
        <f>Koond_kulud!D571</f>
        <v>Muuseumid</v>
      </c>
      <c r="E539" t="str">
        <f>Koond_kulud!E571</f>
        <v>Vabaaeg, kultuur ja religioon</v>
      </c>
      <c r="F539" t="str">
        <f>Koond_kulud!F571</f>
        <v>Muuseumi juhataja</v>
      </c>
      <c r="G539" t="str">
        <f>Koond_kulud!G571</f>
        <v>Topoteegi pidajate koolitus</v>
      </c>
      <c r="H539">
        <f>Koond_kulud!H571</f>
        <v>200</v>
      </c>
      <c r="I539">
        <f>Koond_kulud!I571</f>
        <v>0</v>
      </c>
      <c r="J539">
        <f>Koond_kulud!J571</f>
        <v>5504</v>
      </c>
      <c r="K539" t="str">
        <f>Koond_kulud!K571</f>
        <v>Koolituskulud</v>
      </c>
      <c r="L539">
        <f>Koond_kulud!L571</f>
        <v>55</v>
      </c>
      <c r="M539" t="str">
        <f>Koond_kulud!M571</f>
        <v>55</v>
      </c>
      <c r="N539" t="str">
        <f>Koond_kulud!N571</f>
        <v>Muud tegevuskulud</v>
      </c>
      <c r="O539" t="str">
        <f>Koond_kulud!O571</f>
        <v>Majandamiskulud</v>
      </c>
      <c r="P539" t="str">
        <f>Koond_kulud!P571</f>
        <v>Põhitegevuse kulu</v>
      </c>
      <c r="Q539">
        <f>Koond_kulud!Q571</f>
        <v>0</v>
      </c>
    </row>
    <row r="540" spans="1:17" hidden="1" x14ac:dyDescent="0.25">
      <c r="A540" t="str">
        <f>Koond_kulud!A572</f>
        <v>08</v>
      </c>
      <c r="B540" t="str">
        <f>Koond_kulud!B572</f>
        <v>0820301</v>
      </c>
      <c r="C540" t="str">
        <f>Koond_kulud!C572</f>
        <v>Vinni Vallamuuseum</v>
      </c>
      <c r="D540" t="str">
        <f>Koond_kulud!D572</f>
        <v>Muuseumid</v>
      </c>
      <c r="E540" t="str">
        <f>Koond_kulud!E572</f>
        <v>Vabaaeg, kultuur ja religioon</v>
      </c>
      <c r="F540" t="str">
        <f>Koond_kulud!F572</f>
        <v>Muuseumi juhataja</v>
      </c>
      <c r="G540" t="str">
        <f>Koond_kulud!G572</f>
        <v>TLU töögrupi tegevuse kompenseerimine</v>
      </c>
      <c r="H540">
        <f>Koond_kulud!H572</f>
        <v>1200</v>
      </c>
      <c r="I540" t="str">
        <f>Koond_kulud!I572</f>
        <v>Majutus, transport, toitlustus</v>
      </c>
      <c r="J540">
        <f>Koond_kulud!J572</f>
        <v>5540</v>
      </c>
      <c r="K540" t="str">
        <f>Koond_kulud!K572</f>
        <v>Mitmesugused majanduskulud</v>
      </c>
      <c r="L540">
        <f>Koond_kulud!L572</f>
        <v>55</v>
      </c>
      <c r="M540" t="str">
        <f>Koond_kulud!M572</f>
        <v>55</v>
      </c>
      <c r="N540" t="str">
        <f>Koond_kulud!N572</f>
        <v>Muud tegevuskulud</v>
      </c>
      <c r="O540" t="str">
        <f>Koond_kulud!O572</f>
        <v>Majandamiskulud</v>
      </c>
      <c r="P540" t="str">
        <f>Koond_kulud!P572</f>
        <v>Põhitegevuse kulu</v>
      </c>
      <c r="Q540">
        <f>Koond_kulud!Q572</f>
        <v>0</v>
      </c>
    </row>
    <row r="541" spans="1:17" hidden="1" x14ac:dyDescent="0.25">
      <c r="A541" t="str">
        <f>Koond_kulud!A573</f>
        <v>08</v>
      </c>
      <c r="B541" t="str">
        <f>Koond_kulud!B573</f>
        <v>0820301</v>
      </c>
      <c r="C541" t="str">
        <f>Koond_kulud!C573</f>
        <v>Vinni Vallamuuseum</v>
      </c>
      <c r="D541" t="str">
        <f>Koond_kulud!D573</f>
        <v>Muuseumid</v>
      </c>
      <c r="E541" t="str">
        <f>Koond_kulud!E573</f>
        <v>Vabaaeg, kultuur ja religioon</v>
      </c>
      <c r="F541" t="str">
        <f>Koond_kulud!F573</f>
        <v>Muuseumi juhataja</v>
      </c>
      <c r="G541" t="str">
        <f>Koond_kulud!G573</f>
        <v>Arhiveerimistarvikud</v>
      </c>
      <c r="H541">
        <f>Koond_kulud!H573</f>
        <v>1000</v>
      </c>
      <c r="I541">
        <f>Koond_kulud!I573</f>
        <v>0</v>
      </c>
      <c r="J541">
        <f>Koond_kulud!J573</f>
        <v>5500</v>
      </c>
      <c r="K541" t="str">
        <f>Koond_kulud!K573</f>
        <v>Administreerimiskulud</v>
      </c>
      <c r="L541">
        <f>Koond_kulud!L573</f>
        <v>55</v>
      </c>
      <c r="M541" t="str">
        <f>Koond_kulud!M573</f>
        <v>55</v>
      </c>
      <c r="N541" t="str">
        <f>Koond_kulud!N573</f>
        <v>Muud tegevuskulud</v>
      </c>
      <c r="O541" t="str">
        <f>Koond_kulud!O573</f>
        <v>Majandamiskulud</v>
      </c>
      <c r="P541" t="str">
        <f>Koond_kulud!P573</f>
        <v>Põhitegevuse kulu</v>
      </c>
      <c r="Q541">
        <f>Koond_kulud!Q573</f>
        <v>0</v>
      </c>
    </row>
    <row r="542" spans="1:17" hidden="1" x14ac:dyDescent="0.25">
      <c r="A542" t="str">
        <f>Koond_kulud!A574</f>
        <v>08</v>
      </c>
      <c r="B542" t="str">
        <f>Koond_kulud!B574</f>
        <v>0820301</v>
      </c>
      <c r="C542" t="str">
        <f>Koond_kulud!C574</f>
        <v>Vinni Vallamuuseum</v>
      </c>
      <c r="D542" t="str">
        <f>Koond_kulud!D574</f>
        <v>Muuseumid</v>
      </c>
      <c r="E542" t="str">
        <f>Koond_kulud!E574</f>
        <v>Vabaaeg, kultuur ja religioon</v>
      </c>
      <c r="F542" t="str">
        <f>Koond_kulud!F574</f>
        <v>Muuseumi juhataja</v>
      </c>
      <c r="G542" t="str">
        <f>Koond_kulud!G574</f>
        <v>Koolitused</v>
      </c>
      <c r="H542">
        <f>Koond_kulud!H574</f>
        <v>500</v>
      </c>
      <c r="I542">
        <f>Koond_kulud!I574</f>
        <v>0</v>
      </c>
      <c r="J542">
        <f>Koond_kulud!J574</f>
        <v>5504</v>
      </c>
      <c r="K542" t="str">
        <f>Koond_kulud!K574</f>
        <v>Koolituskulud</v>
      </c>
      <c r="L542">
        <f>Koond_kulud!L574</f>
        <v>55</v>
      </c>
      <c r="M542" t="str">
        <f>Koond_kulud!M574</f>
        <v>55</v>
      </c>
      <c r="N542" t="str">
        <f>Koond_kulud!N574</f>
        <v>Muud tegevuskulud</v>
      </c>
      <c r="O542" t="str">
        <f>Koond_kulud!O574</f>
        <v>Majandamiskulud</v>
      </c>
      <c r="P542" t="str">
        <f>Koond_kulud!P574</f>
        <v>Põhitegevuse kulu</v>
      </c>
      <c r="Q542">
        <f>Koond_kulud!Q574</f>
        <v>0</v>
      </c>
    </row>
    <row r="543" spans="1:17" hidden="1" x14ac:dyDescent="0.25">
      <c r="A543" t="str">
        <f>Koond_kulud!A575</f>
        <v>08</v>
      </c>
      <c r="B543" t="str">
        <f>Koond_kulud!B575</f>
        <v>0820301</v>
      </c>
      <c r="C543" t="str">
        <f>Koond_kulud!C575</f>
        <v>Vinni Vallamuuseum</v>
      </c>
      <c r="D543" t="str">
        <f>Koond_kulud!D575</f>
        <v>Muuseumid</v>
      </c>
      <c r="E543" t="str">
        <f>Koond_kulud!E575</f>
        <v>Vabaaeg, kultuur ja religioon</v>
      </c>
      <c r="F543" t="str">
        <f>Koond_kulud!F575</f>
        <v>Muuseumi juhataja</v>
      </c>
      <c r="G543" t="str">
        <f>Koond_kulud!G575</f>
        <v>Eksperdi kaasamine ERMist</v>
      </c>
      <c r="H543">
        <f>Koond_kulud!H575</f>
        <v>600</v>
      </c>
      <c r="I543">
        <f>Koond_kulud!I575</f>
        <v>0</v>
      </c>
      <c r="J543">
        <f>Koond_kulud!J575</f>
        <v>5540</v>
      </c>
      <c r="K543" t="str">
        <f>Koond_kulud!K575</f>
        <v>Mitmesugused majanduskulud</v>
      </c>
      <c r="L543">
        <f>Koond_kulud!L575</f>
        <v>55</v>
      </c>
      <c r="M543" t="str">
        <f>Koond_kulud!M575</f>
        <v>55</v>
      </c>
      <c r="N543" t="str">
        <f>Koond_kulud!N575</f>
        <v>Muud tegevuskulud</v>
      </c>
      <c r="O543" t="str">
        <f>Koond_kulud!O575</f>
        <v>Majandamiskulud</v>
      </c>
      <c r="P543" t="str">
        <f>Koond_kulud!P575</f>
        <v>Põhitegevuse kulu</v>
      </c>
      <c r="Q543">
        <f>Koond_kulud!Q575</f>
        <v>0</v>
      </c>
    </row>
    <row r="544" spans="1:17" hidden="1" x14ac:dyDescent="0.25">
      <c r="A544" t="str">
        <f>Koond_kulud!A576</f>
        <v>08</v>
      </c>
      <c r="B544" t="str">
        <f>Koond_kulud!B576</f>
        <v>0820301</v>
      </c>
      <c r="C544" t="str">
        <f>Koond_kulud!C576</f>
        <v>Vinni Vallamuuseum</v>
      </c>
      <c r="D544" t="str">
        <f>Koond_kulud!D576</f>
        <v>Muuseumid</v>
      </c>
      <c r="E544" t="str">
        <f>Koond_kulud!E576</f>
        <v>Vabaaeg, kultuur ja religioon</v>
      </c>
      <c r="F544" t="str">
        <f>Koond_kulud!F576</f>
        <v>Muuseumi juhataja</v>
      </c>
      <c r="G544" t="str">
        <f>Koond_kulud!G576</f>
        <v>Ettenägematud kulud</v>
      </c>
      <c r="H544">
        <f>Koond_kulud!H576</f>
        <v>2500</v>
      </c>
      <c r="I544">
        <f>Koond_kulud!I576</f>
        <v>0</v>
      </c>
      <c r="J544">
        <f>Koond_kulud!J576</f>
        <v>5540</v>
      </c>
      <c r="K544" t="str">
        <f>Koond_kulud!K576</f>
        <v>Mitmesugused majanduskulud</v>
      </c>
      <c r="L544">
        <f>Koond_kulud!L576</f>
        <v>55</v>
      </c>
      <c r="M544" t="str">
        <f>Koond_kulud!M576</f>
        <v>55</v>
      </c>
      <c r="N544" t="str">
        <f>Koond_kulud!N576</f>
        <v>Muud tegevuskulud</v>
      </c>
      <c r="O544" t="str">
        <f>Koond_kulud!O576</f>
        <v>Majandamiskulud</v>
      </c>
      <c r="P544" t="str">
        <f>Koond_kulud!P576</f>
        <v>Põhitegevuse kulu</v>
      </c>
      <c r="Q544">
        <f>Koond_kulud!Q576</f>
        <v>0</v>
      </c>
    </row>
    <row r="545" spans="1:17" hidden="1" x14ac:dyDescent="0.25">
      <c r="A545" t="str">
        <f>Koond_kulud!A577</f>
        <v>08</v>
      </c>
      <c r="B545" t="str">
        <f>Koond_kulud!B577</f>
        <v xml:space="preserve">08300           </v>
      </c>
      <c r="C545" t="str">
        <f>Koond_kulud!C577</f>
        <v xml:space="preserve"> Ringhäälingu- ja kirjastamisteenused</v>
      </c>
      <c r="D545" t="str">
        <f>Koond_kulud!D577</f>
        <v>Ringhäälingu- ja kirjastamisteenused</v>
      </c>
      <c r="E545" t="str">
        <f>Koond_kulud!E577</f>
        <v>Vabaaeg, kultuur ja religioon</v>
      </c>
      <c r="F545" t="str">
        <f>Koond_kulud!F577</f>
        <v>Kultuuri-ja avalike suhete nõunik</v>
      </c>
      <c r="G545" t="str">
        <f>Koond_kulud!G577</f>
        <v>Vallalehe kirjastuskulud</v>
      </c>
      <c r="H545">
        <f>Koond_kulud!H577</f>
        <v>14000</v>
      </c>
      <c r="I545">
        <f>Koond_kulud!I577</f>
        <v>0</v>
      </c>
      <c r="J545">
        <f>Koond_kulud!J577</f>
        <v>5500</v>
      </c>
      <c r="K545" t="str">
        <f>Koond_kulud!K577</f>
        <v>Administreerimiskulud</v>
      </c>
      <c r="L545">
        <f>Koond_kulud!L577</f>
        <v>55</v>
      </c>
      <c r="M545" t="str">
        <f>Koond_kulud!M577</f>
        <v>55</v>
      </c>
      <c r="N545" t="str">
        <f>Koond_kulud!N577</f>
        <v>Muud tegevuskulud</v>
      </c>
      <c r="O545" t="str">
        <f>Koond_kulud!O577</f>
        <v>Majandamiskulud</v>
      </c>
      <c r="P545" t="str">
        <f>Koond_kulud!P577</f>
        <v>Põhitegevuse kulu</v>
      </c>
      <c r="Q545">
        <f>Koond_kulud!Q577</f>
        <v>0</v>
      </c>
    </row>
    <row r="546" spans="1:17" hidden="1" x14ac:dyDescent="0.25">
      <c r="A546" t="str">
        <f>Koond_kulud!A578</f>
        <v>08</v>
      </c>
      <c r="B546" t="str">
        <f>Koond_kulud!B578</f>
        <v xml:space="preserve">08600           </v>
      </c>
      <c r="C546" t="str">
        <f>Koond_kulud!C578</f>
        <v xml:space="preserve"> Muu vaba aeg, kultuur, religioon, sh haldus</v>
      </c>
      <c r="D546" t="str">
        <f>Koond_kulud!D578</f>
        <v>Muu vaba aeg, kultuur, religioon, sh haldus</v>
      </c>
      <c r="E546" t="str">
        <f>Koond_kulud!E578</f>
        <v>Vabaaeg, kultuur ja religioon</v>
      </c>
      <c r="F546" t="str">
        <f>Koond_kulud!F578</f>
        <v>Vallavanem</v>
      </c>
      <c r="G546" t="str">
        <f>Koond_kulud!G578</f>
        <v>Isikliku sõiduauto komp.</v>
      </c>
      <c r="H546">
        <f>Koond_kulud!H578</f>
        <v>1650</v>
      </c>
      <c r="I546" t="str">
        <f>Koond_kulud!I578</f>
        <v>Hilje ametikoht</v>
      </c>
      <c r="J546">
        <f>Koond_kulud!J578</f>
        <v>5513</v>
      </c>
      <c r="K546" t="str">
        <f>Koond_kulud!K578</f>
        <v>Sõidukite ülalpidamise kulud</v>
      </c>
      <c r="L546">
        <f>Koond_kulud!L578</f>
        <v>55</v>
      </c>
      <c r="M546" t="str">
        <f>Koond_kulud!M578</f>
        <v>55</v>
      </c>
      <c r="N546" t="str">
        <f>Koond_kulud!N578</f>
        <v>Muud tegevuskulud</v>
      </c>
      <c r="O546" t="str">
        <f>Koond_kulud!O578</f>
        <v>Majandamiskulud</v>
      </c>
      <c r="P546" t="str">
        <f>Koond_kulud!P578</f>
        <v>Põhitegevuse kulu</v>
      </c>
      <c r="Q546">
        <f>Koond_kulud!Q578</f>
        <v>0</v>
      </c>
    </row>
    <row r="547" spans="1:17" hidden="1" x14ac:dyDescent="0.25">
      <c r="A547" t="str">
        <f>Koond_kulud!A579</f>
        <v>08</v>
      </c>
      <c r="B547" t="str">
        <f>Koond_kulud!B579</f>
        <v xml:space="preserve">08600           </v>
      </c>
      <c r="C547" t="str">
        <f>Koond_kulud!C579</f>
        <v xml:space="preserve"> Muu vaba aeg, kultuur, religioon, sh haldus</v>
      </c>
      <c r="D547" t="str">
        <f>Koond_kulud!D579</f>
        <v>Muu vaba aeg, kultuur, religioon, sh haldus</v>
      </c>
      <c r="E547" t="str">
        <f>Koond_kulud!E579</f>
        <v>Vabaaeg, kultuur ja religioon</v>
      </c>
      <c r="F547" t="str">
        <f>Koond_kulud!F579</f>
        <v>Vallavanem</v>
      </c>
      <c r="G547" t="str">
        <f>Koond_kulud!G579</f>
        <v>koolitused</v>
      </c>
      <c r="H547">
        <f>Koond_kulud!H579</f>
        <v>350</v>
      </c>
      <c r="I547">
        <f>Koond_kulud!I579</f>
        <v>0</v>
      </c>
      <c r="J547">
        <f>Koond_kulud!J579</f>
        <v>5504</v>
      </c>
      <c r="K547" t="str">
        <f>Koond_kulud!K579</f>
        <v>Koolituskulud</v>
      </c>
      <c r="L547">
        <f>Koond_kulud!L579</f>
        <v>55</v>
      </c>
      <c r="M547" t="str">
        <f>Koond_kulud!M579</f>
        <v>55</v>
      </c>
      <c r="N547" t="str">
        <f>Koond_kulud!N579</f>
        <v>Muud tegevuskulud</v>
      </c>
      <c r="O547" t="str">
        <f>Koond_kulud!O579</f>
        <v>Majandamiskulud</v>
      </c>
      <c r="P547" t="str">
        <f>Koond_kulud!P579</f>
        <v>Põhitegevuse kulu</v>
      </c>
      <c r="Q547">
        <f>Koond_kulud!Q579</f>
        <v>0</v>
      </c>
    </row>
    <row r="548" spans="1:17" hidden="1" x14ac:dyDescent="0.25">
      <c r="A548" t="str">
        <f>Koond_kulud!A580</f>
        <v>08</v>
      </c>
      <c r="B548" t="str">
        <f>Koond_kulud!B580</f>
        <v xml:space="preserve">08600           </v>
      </c>
      <c r="C548" t="str">
        <f>Koond_kulud!C580</f>
        <v xml:space="preserve"> Muu vaba aeg, kultuur, religioon, sh haldus</v>
      </c>
      <c r="D548" t="str">
        <f>Koond_kulud!D580</f>
        <v>Muu vaba aeg, kultuur, religioon, sh haldus</v>
      </c>
      <c r="E548" t="str">
        <f>Koond_kulud!E580</f>
        <v>Vabaaeg, kultuur ja religioon</v>
      </c>
      <c r="F548" t="str">
        <f>Koond_kulud!F580</f>
        <v>Vallavanem</v>
      </c>
      <c r="G548" t="str">
        <f>Koond_kulud!G580</f>
        <v>Sideteenused</v>
      </c>
      <c r="H548">
        <f>Koond_kulud!H580</f>
        <v>120</v>
      </c>
      <c r="I548">
        <f>Koond_kulud!I580</f>
        <v>0</v>
      </c>
      <c r="J548">
        <f>Koond_kulud!J580</f>
        <v>5500</v>
      </c>
      <c r="K548" t="str">
        <f>Koond_kulud!K580</f>
        <v>Administreerimiskulud</v>
      </c>
      <c r="L548">
        <f>Koond_kulud!L580</f>
        <v>55</v>
      </c>
      <c r="M548" t="str">
        <f>Koond_kulud!M580</f>
        <v>55</v>
      </c>
      <c r="N548" t="str">
        <f>Koond_kulud!N580</f>
        <v>Muud tegevuskulud</v>
      </c>
      <c r="O548" t="str">
        <f>Koond_kulud!O580</f>
        <v>Majandamiskulud</v>
      </c>
      <c r="P548" t="str">
        <f>Koond_kulud!P580</f>
        <v>Põhitegevuse kulu</v>
      </c>
      <c r="Q548">
        <f>Koond_kulud!Q580</f>
        <v>0</v>
      </c>
    </row>
    <row r="549" spans="1:17" hidden="1" x14ac:dyDescent="0.25">
      <c r="A549" t="str">
        <f>Koond_kulud!A582</f>
        <v>09</v>
      </c>
      <c r="B549" t="str">
        <f>Koond_kulud!B582</f>
        <v xml:space="preserve">0911001         </v>
      </c>
      <c r="C549" t="str">
        <f>Koond_kulud!C582</f>
        <v xml:space="preserve"> Vinni Lasteaed</v>
      </c>
      <c r="D549" t="str">
        <f>Koond_kulud!D582</f>
        <v>Alusharidus</v>
      </c>
      <c r="E549" t="str">
        <f>Koond_kulud!E582</f>
        <v>Haridus</v>
      </c>
      <c r="F549" t="str">
        <f>Koond_kulud!F582</f>
        <v>Vinni lasteaed</v>
      </c>
      <c r="G549" t="str">
        <f>Koond_kulud!G582</f>
        <v>Telefonid, internet</v>
      </c>
      <c r="H549">
        <f>Koond_kulud!H582</f>
        <v>800</v>
      </c>
      <c r="I549" t="str">
        <f>Koond_kulud!I582</f>
        <v>Telia</v>
      </c>
      <c r="J549">
        <f>Koond_kulud!J582</f>
        <v>5500</v>
      </c>
      <c r="K549" t="str">
        <f>Koond_kulud!K582</f>
        <v>Administreerimiskulud</v>
      </c>
      <c r="L549">
        <f>Koond_kulud!L582</f>
        <v>55</v>
      </c>
      <c r="M549" t="str">
        <f>Koond_kulud!M582</f>
        <v>55</v>
      </c>
      <c r="N549" t="str">
        <f>Koond_kulud!N582</f>
        <v>Muud tegevuskulud</v>
      </c>
      <c r="O549" t="str">
        <f>Koond_kulud!O582</f>
        <v>Majandamiskulud</v>
      </c>
      <c r="P549" t="str">
        <f>Koond_kulud!P582</f>
        <v>Põhitegevuse kulu</v>
      </c>
      <c r="Q549">
        <f>Koond_kulud!Q582</f>
        <v>0</v>
      </c>
    </row>
    <row r="550" spans="1:17" hidden="1" x14ac:dyDescent="0.25">
      <c r="A550" t="str">
        <f>Koond_kulud!A583</f>
        <v>09</v>
      </c>
      <c r="B550" t="str">
        <f>Koond_kulud!B583</f>
        <v xml:space="preserve">0911001         </v>
      </c>
      <c r="C550" t="str">
        <f>Koond_kulud!C583</f>
        <v xml:space="preserve"> Vinni Lasteaed</v>
      </c>
      <c r="D550" t="str">
        <f>Koond_kulud!D583</f>
        <v>Alusharidus</v>
      </c>
      <c r="E550" t="str">
        <f>Koond_kulud!E583</f>
        <v>Haridus</v>
      </c>
      <c r="F550" t="str">
        <f>Koond_kulud!F583</f>
        <v>Vinni lasteaed</v>
      </c>
      <c r="G550" t="str">
        <f>Koond_kulud!G583</f>
        <v>Ajalehed, tööalane kirjandus, kuulutused</v>
      </c>
      <c r="H550">
        <f>Koond_kulud!H583</f>
        <v>500</v>
      </c>
      <c r="I550" t="str">
        <f>Koond_kulud!I583</f>
        <v>Õpetajate leht, tööalased teavikud jne</v>
      </c>
      <c r="J550">
        <f>Koond_kulud!J583</f>
        <v>5500</v>
      </c>
      <c r="K550" t="str">
        <f>Koond_kulud!K583</f>
        <v>Administreerimiskulud</v>
      </c>
      <c r="L550">
        <f>Koond_kulud!L583</f>
        <v>55</v>
      </c>
      <c r="M550" t="str">
        <f>Koond_kulud!M583</f>
        <v>55</v>
      </c>
      <c r="N550" t="str">
        <f>Koond_kulud!N583</f>
        <v>Muud tegevuskulud</v>
      </c>
      <c r="O550" t="str">
        <f>Koond_kulud!O583</f>
        <v>Majandamiskulud</v>
      </c>
      <c r="P550" t="str">
        <f>Koond_kulud!P583</f>
        <v>Põhitegevuse kulu</v>
      </c>
      <c r="Q550">
        <f>Koond_kulud!Q583</f>
        <v>0</v>
      </c>
    </row>
    <row r="551" spans="1:17" hidden="1" x14ac:dyDescent="0.25">
      <c r="A551" t="str">
        <f>Koond_kulud!A584</f>
        <v>09</v>
      </c>
      <c r="B551" t="str">
        <f>Koond_kulud!B584</f>
        <v xml:space="preserve">0911001         </v>
      </c>
      <c r="C551" t="str">
        <f>Koond_kulud!C584</f>
        <v xml:space="preserve"> Vinni Lasteaed</v>
      </c>
      <c r="D551" t="str">
        <f>Koond_kulud!D584</f>
        <v>Alusharidus</v>
      </c>
      <c r="E551" t="str">
        <f>Koond_kulud!E584</f>
        <v>Haridus</v>
      </c>
      <c r="F551" t="str">
        <f>Koond_kulud!F584</f>
        <v>Vinni lasteaed</v>
      </c>
      <c r="G551" t="str">
        <f>Koond_kulud!G584</f>
        <v>Kantseleikaubad</v>
      </c>
      <c r="H551">
        <f>Koond_kulud!H584</f>
        <v>450</v>
      </c>
      <c r="I551" t="str">
        <f>Koond_kulud!I584</f>
        <v>paber, pastakad, tahm jne</v>
      </c>
      <c r="J551">
        <f>Koond_kulud!J584</f>
        <v>5500</v>
      </c>
      <c r="K551" t="str">
        <f>Koond_kulud!K584</f>
        <v>Administreerimiskulud</v>
      </c>
      <c r="L551">
        <f>Koond_kulud!L584</f>
        <v>55</v>
      </c>
      <c r="M551" t="str">
        <f>Koond_kulud!M584</f>
        <v>55</v>
      </c>
      <c r="N551" t="str">
        <f>Koond_kulud!N584</f>
        <v>Muud tegevuskulud</v>
      </c>
      <c r="O551" t="str">
        <f>Koond_kulud!O584</f>
        <v>Majandamiskulud</v>
      </c>
      <c r="P551" t="str">
        <f>Koond_kulud!P584</f>
        <v>Põhitegevuse kulu</v>
      </c>
      <c r="Q551">
        <f>Koond_kulud!Q584</f>
        <v>0</v>
      </c>
    </row>
    <row r="552" spans="1:17" hidden="1" x14ac:dyDescent="0.25">
      <c r="A552" t="str">
        <f>Koond_kulud!A585</f>
        <v>09</v>
      </c>
      <c r="B552" t="str">
        <f>Koond_kulud!B585</f>
        <v xml:space="preserve">0911001         </v>
      </c>
      <c r="C552" t="str">
        <f>Koond_kulud!C585</f>
        <v xml:space="preserve"> Vinni Lasteaed</v>
      </c>
      <c r="D552" t="str">
        <f>Koond_kulud!D585</f>
        <v>Alusharidus</v>
      </c>
      <c r="E552" t="str">
        <f>Koond_kulud!E585</f>
        <v>Haridus</v>
      </c>
      <c r="F552" t="str">
        <f>Koond_kulud!F585</f>
        <v>Vinni lasteaed</v>
      </c>
      <c r="G552" t="str">
        <f>Koond_kulud!G585</f>
        <v>Koolitused pedagoogidele</v>
      </c>
      <c r="H552">
        <f>Koond_kulud!H585</f>
        <v>1200</v>
      </c>
      <c r="I552">
        <f>Koond_kulud!I585</f>
        <v>0</v>
      </c>
      <c r="J552">
        <f>Koond_kulud!J585</f>
        <v>5504</v>
      </c>
      <c r="K552" t="str">
        <f>Koond_kulud!K585</f>
        <v>Koolituskulud</v>
      </c>
      <c r="L552">
        <f>Koond_kulud!L585</f>
        <v>55</v>
      </c>
      <c r="M552" t="str">
        <f>Koond_kulud!M585</f>
        <v>55</v>
      </c>
      <c r="N552" t="str">
        <f>Koond_kulud!N585</f>
        <v>Muud tegevuskulud</v>
      </c>
      <c r="O552" t="str">
        <f>Koond_kulud!O585</f>
        <v>Majandamiskulud</v>
      </c>
      <c r="P552" t="str">
        <f>Koond_kulud!P585</f>
        <v>Põhitegevuse kulu</v>
      </c>
      <c r="Q552">
        <f>Koond_kulud!Q585</f>
        <v>0</v>
      </c>
    </row>
    <row r="553" spans="1:17" hidden="1" x14ac:dyDescent="0.25">
      <c r="A553" t="str">
        <f>Koond_kulud!A586</f>
        <v>09</v>
      </c>
      <c r="B553" t="str">
        <f>Koond_kulud!B586</f>
        <v xml:space="preserve">0911001         </v>
      </c>
      <c r="C553" t="str">
        <f>Koond_kulud!C586</f>
        <v xml:space="preserve"> Vinni Lasteaed</v>
      </c>
      <c r="D553" t="str">
        <f>Koond_kulud!D586</f>
        <v>Alusharidus</v>
      </c>
      <c r="E553" t="str">
        <f>Koond_kulud!E586</f>
        <v>Haridus</v>
      </c>
      <c r="F553" t="str">
        <f>Koond_kulud!F586</f>
        <v>Vinni lasteaed</v>
      </c>
      <c r="G553" t="str">
        <f>Koond_kulud!G586</f>
        <v>Tellitud koolitused majja</v>
      </c>
      <c r="H553">
        <f>Koond_kulud!H586</f>
        <v>500</v>
      </c>
      <c r="I553">
        <f>Koond_kulud!I586</f>
        <v>0</v>
      </c>
      <c r="J553">
        <f>Koond_kulud!J586</f>
        <v>5504</v>
      </c>
      <c r="K553" t="str">
        <f>Koond_kulud!K586</f>
        <v>Koolituskulud</v>
      </c>
      <c r="L553">
        <f>Koond_kulud!L586</f>
        <v>55</v>
      </c>
      <c r="M553" t="str">
        <f>Koond_kulud!M586</f>
        <v>55</v>
      </c>
      <c r="N553" t="str">
        <f>Koond_kulud!N586</f>
        <v>Muud tegevuskulud</v>
      </c>
      <c r="O553" t="str">
        <f>Koond_kulud!O586</f>
        <v>Majandamiskulud</v>
      </c>
      <c r="P553" t="str">
        <f>Koond_kulud!P586</f>
        <v>Põhitegevuse kulu</v>
      </c>
      <c r="Q553">
        <f>Koond_kulud!Q586</f>
        <v>0</v>
      </c>
    </row>
    <row r="554" spans="1:17" hidden="1" x14ac:dyDescent="0.25">
      <c r="A554" t="str">
        <f>Koond_kulud!A587</f>
        <v>09</v>
      </c>
      <c r="B554" t="str">
        <f>Koond_kulud!B587</f>
        <v xml:space="preserve">0911001         </v>
      </c>
      <c r="C554" t="str">
        <f>Koond_kulud!C587</f>
        <v xml:space="preserve"> Vinni Lasteaed</v>
      </c>
      <c r="D554" t="str">
        <f>Koond_kulud!D587</f>
        <v>Alusharidus</v>
      </c>
      <c r="E554" t="str">
        <f>Koond_kulud!E587</f>
        <v>Haridus</v>
      </c>
      <c r="F554" t="str">
        <f>Koond_kulud!F587</f>
        <v>Vinni lasteaed</v>
      </c>
      <c r="G554" t="str">
        <f>Koond_kulud!G587</f>
        <v>Ainesektsioonid</v>
      </c>
      <c r="H554">
        <f>Koond_kulud!H587</f>
        <v>300</v>
      </c>
      <c r="I554">
        <f>Koond_kulud!I587</f>
        <v>0</v>
      </c>
      <c r="J554">
        <f>Koond_kulud!J587</f>
        <v>5504</v>
      </c>
      <c r="K554" t="str">
        <f>Koond_kulud!K587</f>
        <v>Koolituskulud</v>
      </c>
      <c r="L554">
        <f>Koond_kulud!L587</f>
        <v>55</v>
      </c>
      <c r="M554" t="str">
        <f>Koond_kulud!M587</f>
        <v>55</v>
      </c>
      <c r="N554" t="str">
        <f>Koond_kulud!N587</f>
        <v>Muud tegevuskulud</v>
      </c>
      <c r="O554" t="str">
        <f>Koond_kulud!O587</f>
        <v>Majandamiskulud</v>
      </c>
      <c r="P554" t="str">
        <f>Koond_kulud!P587</f>
        <v>Põhitegevuse kulu</v>
      </c>
      <c r="Q554">
        <f>Koond_kulud!Q587</f>
        <v>0</v>
      </c>
    </row>
    <row r="555" spans="1:17" hidden="1" x14ac:dyDescent="0.25">
      <c r="A555" t="str">
        <f>Koond_kulud!A588</f>
        <v>09</v>
      </c>
      <c r="B555" t="str">
        <f>Koond_kulud!B588</f>
        <v xml:space="preserve">0911001         </v>
      </c>
      <c r="C555" t="str">
        <f>Koond_kulud!C588</f>
        <v xml:space="preserve"> Vinni Lasteaed</v>
      </c>
      <c r="D555" t="str">
        <f>Koond_kulud!D588</f>
        <v>Alusharidus</v>
      </c>
      <c r="E555" t="str">
        <f>Koond_kulud!E588</f>
        <v>Haridus</v>
      </c>
      <c r="F555" t="str">
        <f>Koond_kulud!F588</f>
        <v>Vinni lasteaed</v>
      </c>
      <c r="G555" t="str">
        <f>Koond_kulud!G588</f>
        <v>Lähetus</v>
      </c>
      <c r="H555">
        <f>Koond_kulud!H588</f>
        <v>300</v>
      </c>
      <c r="I555" t="str">
        <f>Koond_kulud!I588</f>
        <v>bussipiletid, kütus</v>
      </c>
      <c r="J555">
        <f>Koond_kulud!J588</f>
        <v>5504</v>
      </c>
      <c r="K555" t="str">
        <f>Koond_kulud!K588</f>
        <v>Koolituskulud</v>
      </c>
      <c r="L555">
        <f>Koond_kulud!L588</f>
        <v>55</v>
      </c>
      <c r="M555" t="str">
        <f>Koond_kulud!M588</f>
        <v>55</v>
      </c>
      <c r="N555" t="str">
        <f>Koond_kulud!N588</f>
        <v>Muud tegevuskulud</v>
      </c>
      <c r="O555" t="str">
        <f>Koond_kulud!O588</f>
        <v>Majandamiskulud</v>
      </c>
      <c r="P555" t="str">
        <f>Koond_kulud!P588</f>
        <v>Põhitegevuse kulu</v>
      </c>
      <c r="Q555">
        <f>Koond_kulud!Q588</f>
        <v>0</v>
      </c>
    </row>
    <row r="556" spans="1:17" hidden="1" x14ac:dyDescent="0.25">
      <c r="A556" t="str">
        <f>Koond_kulud!A589</f>
        <v>09</v>
      </c>
      <c r="B556" t="str">
        <f>Koond_kulud!B589</f>
        <v xml:space="preserve">0911001         </v>
      </c>
      <c r="C556" t="str">
        <f>Koond_kulud!C589</f>
        <v xml:space="preserve"> Vinni Lasteaed</v>
      </c>
      <c r="D556" t="str">
        <f>Koond_kulud!D589</f>
        <v>Alusharidus</v>
      </c>
      <c r="E556" t="str">
        <f>Koond_kulud!E589</f>
        <v>Haridus</v>
      </c>
      <c r="F556" t="str">
        <f>Koond_kulud!F589</f>
        <v>Vinni lasteaed</v>
      </c>
      <c r="G556" t="str">
        <f>Koond_kulud!G589</f>
        <v>Isikliku sõiduauto kasutus</v>
      </c>
      <c r="H556">
        <f>Koond_kulud!H589</f>
        <v>1536</v>
      </c>
      <c r="I556" t="str">
        <f>Koond_kulud!I589</f>
        <v>12x 64 x 2autot</v>
      </c>
      <c r="J556">
        <f>Koond_kulud!J589</f>
        <v>5513</v>
      </c>
      <c r="K556" t="str">
        <f>Koond_kulud!K589</f>
        <v>Sõidukite ülalpidamise kulud</v>
      </c>
      <c r="L556">
        <f>Koond_kulud!L589</f>
        <v>55</v>
      </c>
      <c r="M556" t="str">
        <f>Koond_kulud!M589</f>
        <v>55</v>
      </c>
      <c r="N556" t="str">
        <f>Koond_kulud!N589</f>
        <v>Muud tegevuskulud</v>
      </c>
      <c r="O556" t="str">
        <f>Koond_kulud!O589</f>
        <v>Majandamiskulud</v>
      </c>
      <c r="P556" t="str">
        <f>Koond_kulud!P589</f>
        <v>Põhitegevuse kulu</v>
      </c>
      <c r="Q556">
        <f>Koond_kulud!Q589</f>
        <v>0</v>
      </c>
    </row>
    <row r="557" spans="1:17" hidden="1" x14ac:dyDescent="0.25">
      <c r="A557" t="str">
        <f>Koond_kulud!A590</f>
        <v>09</v>
      </c>
      <c r="B557" t="str">
        <f>Koond_kulud!B590</f>
        <v xml:space="preserve">0911001         </v>
      </c>
      <c r="C557" t="str">
        <f>Koond_kulud!C590</f>
        <v xml:space="preserve"> Vinni Lasteaed</v>
      </c>
      <c r="D557" t="str">
        <f>Koond_kulud!D590</f>
        <v>Alusharidus</v>
      </c>
      <c r="E557" t="str">
        <f>Koond_kulud!E590</f>
        <v>Haridus</v>
      </c>
      <c r="F557" t="str">
        <f>Koond_kulud!F590</f>
        <v>Vinni lasteaed</v>
      </c>
      <c r="G557" t="str">
        <f>Koond_kulud!G590</f>
        <v>Süntesaator</v>
      </c>
      <c r="H557">
        <f>Koond_kulud!H590</f>
        <v>1500</v>
      </c>
      <c r="I557">
        <f>Koond_kulud!I590</f>
        <v>0</v>
      </c>
      <c r="J557">
        <f>Koond_kulud!J590</f>
        <v>5515</v>
      </c>
      <c r="K557" t="str">
        <f>Koond_kulud!K590</f>
        <v>Inventari kulud, v.a infotehnoloogia ja kaitseotstarbelised kulud</v>
      </c>
      <c r="L557">
        <f>Koond_kulud!L590</f>
        <v>55</v>
      </c>
      <c r="M557" t="str">
        <f>Koond_kulud!M590</f>
        <v>55</v>
      </c>
      <c r="N557" t="str">
        <f>Koond_kulud!N590</f>
        <v>Muud tegevuskulud</v>
      </c>
      <c r="O557" t="str">
        <f>Koond_kulud!O590</f>
        <v>Majandamiskulud</v>
      </c>
      <c r="P557" t="str">
        <f>Koond_kulud!P590</f>
        <v>Põhitegevuse kulu</v>
      </c>
      <c r="Q557">
        <f>Koond_kulud!Q590</f>
        <v>0</v>
      </c>
    </row>
    <row r="558" spans="1:17" hidden="1" x14ac:dyDescent="0.25">
      <c r="A558" t="str">
        <f>Koond_kulud!A591</f>
        <v>09</v>
      </c>
      <c r="B558" t="str">
        <f>Koond_kulud!B591</f>
        <v xml:space="preserve">0911001         </v>
      </c>
      <c r="C558" t="str">
        <f>Koond_kulud!C591</f>
        <v xml:space="preserve"> Vinni Lasteaed</v>
      </c>
      <c r="D558" t="str">
        <f>Koond_kulud!D591</f>
        <v>Alusharidus</v>
      </c>
      <c r="E558" t="str">
        <f>Koond_kulud!E591</f>
        <v>Haridus</v>
      </c>
      <c r="F558" t="str">
        <f>Koond_kulud!F591</f>
        <v>Vinni lasteaed</v>
      </c>
      <c r="G558" t="str">
        <f>Koond_kulud!G591</f>
        <v>Lumepuhur</v>
      </c>
      <c r="H558">
        <f>Koond_kulud!H591</f>
        <v>1000</v>
      </c>
      <c r="I558">
        <f>Koond_kulud!I591</f>
        <v>0</v>
      </c>
      <c r="J558">
        <f>Koond_kulud!J591</f>
        <v>5515</v>
      </c>
      <c r="K558" t="str">
        <f>Koond_kulud!K591</f>
        <v>Inventari kulud, v.a infotehnoloogia ja kaitseotstarbelised kulud</v>
      </c>
      <c r="L558">
        <f>Koond_kulud!L591</f>
        <v>55</v>
      </c>
      <c r="M558" t="str">
        <f>Koond_kulud!M591</f>
        <v>55</v>
      </c>
      <c r="N558" t="str">
        <f>Koond_kulud!N591</f>
        <v>Muud tegevuskulud</v>
      </c>
      <c r="O558" t="str">
        <f>Koond_kulud!O591</f>
        <v>Majandamiskulud</v>
      </c>
      <c r="P558" t="str">
        <f>Koond_kulud!P591</f>
        <v>Põhitegevuse kulu</v>
      </c>
      <c r="Q558">
        <f>Koond_kulud!Q591</f>
        <v>0</v>
      </c>
    </row>
    <row r="559" spans="1:17" hidden="1" x14ac:dyDescent="0.25">
      <c r="A559" t="str">
        <f>Koond_kulud!A592</f>
        <v>09</v>
      </c>
      <c r="B559" t="str">
        <f>Koond_kulud!B592</f>
        <v xml:space="preserve">0911001         </v>
      </c>
      <c r="C559" t="str">
        <f>Koond_kulud!C592</f>
        <v xml:space="preserve"> Vinni Lasteaed</v>
      </c>
      <c r="D559" t="str">
        <f>Koond_kulud!D592</f>
        <v>Alusharidus</v>
      </c>
      <c r="E559" t="str">
        <f>Koond_kulud!E592</f>
        <v>Haridus</v>
      </c>
      <c r="F559" t="str">
        <f>Koond_kulud!F592</f>
        <v>Vinni lasteaed</v>
      </c>
      <c r="G559" t="str">
        <f>Koond_kulud!G592</f>
        <v>toidupäevade arv x 1,60 euroga- 25% puudumised</v>
      </c>
      <c r="H559">
        <f>Koond_kulud!H592</f>
        <v>22000</v>
      </c>
      <c r="I559">
        <f>Koond_kulud!I592</f>
        <v>0</v>
      </c>
      <c r="J559">
        <f>Koond_kulud!J592</f>
        <v>5521</v>
      </c>
      <c r="K559" t="str">
        <f>Koond_kulud!K592</f>
        <v>Toiduained ja toitlustusteenused</v>
      </c>
      <c r="L559">
        <f>Koond_kulud!L592</f>
        <v>55</v>
      </c>
      <c r="M559" t="str">
        <f>Koond_kulud!M592</f>
        <v>55</v>
      </c>
      <c r="N559" t="str">
        <f>Koond_kulud!N592</f>
        <v>Muud tegevuskulud</v>
      </c>
      <c r="O559" t="str">
        <f>Koond_kulud!O592</f>
        <v>Majandamiskulud</v>
      </c>
      <c r="P559" t="str">
        <f>Koond_kulud!P592</f>
        <v>Põhitegevuse kulu</v>
      </c>
      <c r="Q559">
        <f>Koond_kulud!Q592</f>
        <v>0</v>
      </c>
    </row>
    <row r="560" spans="1:17" hidden="1" x14ac:dyDescent="0.25">
      <c r="A560" t="str">
        <f>Koond_kulud!A593</f>
        <v>09</v>
      </c>
      <c r="B560" t="str">
        <f>Koond_kulud!B593</f>
        <v xml:space="preserve">0911001         </v>
      </c>
      <c r="C560" t="str">
        <f>Koond_kulud!C593</f>
        <v xml:space="preserve"> Vinni Lasteaed</v>
      </c>
      <c r="D560" t="str">
        <f>Koond_kulud!D593</f>
        <v>Alusharidus</v>
      </c>
      <c r="E560" t="str">
        <f>Koond_kulud!E593</f>
        <v>Haridus</v>
      </c>
      <c r="F560" t="str">
        <f>Koond_kulud!F593</f>
        <v>Vinni lasteaed</v>
      </c>
      <c r="G560" t="str">
        <f>Koond_kulud!G593</f>
        <v>Hügieenitarbed</v>
      </c>
      <c r="H560">
        <f>Koond_kulud!H593</f>
        <v>300</v>
      </c>
      <c r="I560" t="str">
        <f>Koond_kulud!I593</f>
        <v>plaastrid, des.vahendid jne</v>
      </c>
      <c r="J560">
        <f>Koond_kulud!J593</f>
        <v>5522</v>
      </c>
      <c r="K560" t="str">
        <f>Koond_kulud!K593</f>
        <v>Meditsiinikulud ja hügieenitarbed</v>
      </c>
      <c r="L560">
        <f>Koond_kulud!L593</f>
        <v>55</v>
      </c>
      <c r="M560" t="str">
        <f>Koond_kulud!M593</f>
        <v>55</v>
      </c>
      <c r="N560" t="str">
        <f>Koond_kulud!N593</f>
        <v>Muud tegevuskulud</v>
      </c>
      <c r="O560" t="str">
        <f>Koond_kulud!O593</f>
        <v>Majandamiskulud</v>
      </c>
      <c r="P560" t="str">
        <f>Koond_kulud!P593</f>
        <v>Põhitegevuse kulu</v>
      </c>
      <c r="Q560">
        <f>Koond_kulud!Q593</f>
        <v>0</v>
      </c>
    </row>
    <row r="561" spans="1:17" hidden="1" x14ac:dyDescent="0.25">
      <c r="A561" t="str">
        <f>Koond_kulud!A594</f>
        <v>09</v>
      </c>
      <c r="B561" t="str">
        <f>Koond_kulud!B594</f>
        <v xml:space="preserve">0911001         </v>
      </c>
      <c r="C561" t="str">
        <f>Koond_kulud!C594</f>
        <v xml:space="preserve"> Vinni Lasteaed</v>
      </c>
      <c r="D561" t="str">
        <f>Koond_kulud!D594</f>
        <v>Alusharidus</v>
      </c>
      <c r="E561" t="str">
        <f>Koond_kulud!E594</f>
        <v>Haridus</v>
      </c>
      <c r="F561" t="str">
        <f>Koond_kulud!F594</f>
        <v>Vinni lasteaed</v>
      </c>
      <c r="G561" t="str">
        <f>Koond_kulud!G594</f>
        <v>Korralised med. tõendid</v>
      </c>
      <c r="H561">
        <f>Koond_kulud!H594</f>
        <v>200</v>
      </c>
      <c r="I561" t="str">
        <f>Koond_kulud!I594</f>
        <v>tervise tõend, töötervishoiu arst</v>
      </c>
      <c r="J561">
        <f>Koond_kulud!J594</f>
        <v>5522</v>
      </c>
      <c r="K561" t="str">
        <f>Koond_kulud!K594</f>
        <v>Meditsiinikulud ja hügieenitarbed</v>
      </c>
      <c r="L561">
        <f>Koond_kulud!L594</f>
        <v>55</v>
      </c>
      <c r="M561" t="str">
        <f>Koond_kulud!M594</f>
        <v>55</v>
      </c>
      <c r="N561" t="str">
        <f>Koond_kulud!N594</f>
        <v>Muud tegevuskulud</v>
      </c>
      <c r="O561" t="str">
        <f>Koond_kulud!O594</f>
        <v>Majandamiskulud</v>
      </c>
      <c r="P561" t="str">
        <f>Koond_kulud!P594</f>
        <v>Põhitegevuse kulu</v>
      </c>
      <c r="Q561">
        <f>Koond_kulud!Q594</f>
        <v>0</v>
      </c>
    </row>
    <row r="562" spans="1:17" hidden="1" x14ac:dyDescent="0.25">
      <c r="A562" t="str">
        <f>Koond_kulud!A595</f>
        <v>09</v>
      </c>
      <c r="B562" t="str">
        <f>Koond_kulud!B595</f>
        <v xml:space="preserve">0911001         </v>
      </c>
      <c r="C562" t="str">
        <f>Koond_kulud!C595</f>
        <v xml:space="preserve"> Vinni Lasteaed</v>
      </c>
      <c r="D562" t="str">
        <f>Koond_kulud!D595</f>
        <v>Alusharidus</v>
      </c>
      <c r="E562" t="str">
        <f>Koond_kulud!E595</f>
        <v>Haridus</v>
      </c>
      <c r="F562" t="str">
        <f>Koond_kulud!F595</f>
        <v>Vinni lasteaed</v>
      </c>
      <c r="G562" t="str">
        <f>Koond_kulud!G595</f>
        <v>Erialane pedagoogiline kirjandus</v>
      </c>
      <c r="H562">
        <f>Koond_kulud!H595</f>
        <v>500</v>
      </c>
      <c r="I562">
        <f>Koond_kulud!I595</f>
        <v>0</v>
      </c>
      <c r="J562">
        <f>Koond_kulud!J595</f>
        <v>5524</v>
      </c>
      <c r="K562" t="str">
        <f>Koond_kulud!K595</f>
        <v>Õppevahendid</v>
      </c>
      <c r="L562">
        <f>Koond_kulud!L595</f>
        <v>55</v>
      </c>
      <c r="M562" t="str">
        <f>Koond_kulud!M595</f>
        <v>55</v>
      </c>
      <c r="N562" t="str">
        <f>Koond_kulud!N595</f>
        <v>Muud tegevuskulud</v>
      </c>
      <c r="O562" t="str">
        <f>Koond_kulud!O595</f>
        <v>Majandamiskulud</v>
      </c>
      <c r="P562" t="str">
        <f>Koond_kulud!P595</f>
        <v>Põhitegevuse kulu</v>
      </c>
      <c r="Q562">
        <f>Koond_kulud!Q595</f>
        <v>0</v>
      </c>
    </row>
    <row r="563" spans="1:17" hidden="1" x14ac:dyDescent="0.25">
      <c r="A563" t="str">
        <f>Koond_kulud!A596</f>
        <v>09</v>
      </c>
      <c r="B563" t="str">
        <f>Koond_kulud!B596</f>
        <v xml:space="preserve">0911001         </v>
      </c>
      <c r="C563" t="str">
        <f>Koond_kulud!C596</f>
        <v xml:space="preserve"> Vinni Lasteaed</v>
      </c>
      <c r="D563" t="str">
        <f>Koond_kulud!D596</f>
        <v>Alusharidus</v>
      </c>
      <c r="E563" t="str">
        <f>Koond_kulud!E596</f>
        <v>Haridus</v>
      </c>
      <c r="F563" t="str">
        <f>Koond_kulud!F596</f>
        <v>Vinni lasteaed</v>
      </c>
      <c r="G563" t="str">
        <f>Koond_kulud!G596</f>
        <v>Lasteraamatud ja teatmeteosed</v>
      </c>
      <c r="H563">
        <f>Koond_kulud!H596</f>
        <v>500</v>
      </c>
      <c r="I563">
        <f>Koond_kulud!I596</f>
        <v>0</v>
      </c>
      <c r="J563">
        <f>Koond_kulud!J596</f>
        <v>5524</v>
      </c>
      <c r="K563" t="str">
        <f>Koond_kulud!K596</f>
        <v>Õppevahendid</v>
      </c>
      <c r="L563">
        <f>Koond_kulud!L596</f>
        <v>55</v>
      </c>
      <c r="M563" t="str">
        <f>Koond_kulud!M596</f>
        <v>55</v>
      </c>
      <c r="N563" t="str">
        <f>Koond_kulud!N596</f>
        <v>Muud tegevuskulud</v>
      </c>
      <c r="O563" t="str">
        <f>Koond_kulud!O596</f>
        <v>Majandamiskulud</v>
      </c>
      <c r="P563" t="str">
        <f>Koond_kulud!P596</f>
        <v>Põhitegevuse kulu</v>
      </c>
      <c r="Q563">
        <f>Koond_kulud!Q596</f>
        <v>0</v>
      </c>
    </row>
    <row r="564" spans="1:17" hidden="1" x14ac:dyDescent="0.25">
      <c r="A564" t="str">
        <f>Koond_kulud!A597</f>
        <v>09</v>
      </c>
      <c r="B564" t="str">
        <f>Koond_kulud!B597</f>
        <v xml:space="preserve">0911001         </v>
      </c>
      <c r="C564" t="str">
        <f>Koond_kulud!C597</f>
        <v xml:space="preserve"> Vinni Lasteaed</v>
      </c>
      <c r="D564" t="str">
        <f>Koond_kulud!D597</f>
        <v>Alusharidus</v>
      </c>
      <c r="E564" t="str">
        <f>Koond_kulud!E597</f>
        <v>Haridus</v>
      </c>
      <c r="F564" t="str">
        <f>Koond_kulud!F597</f>
        <v>Vinni lasteaed</v>
      </c>
      <c r="G564" t="str">
        <f>Koond_kulud!G597</f>
        <v>Paberid, värvid, pliiatsid, pintslid, liimid,meisterdamis vahendid jne</v>
      </c>
      <c r="H564">
        <f>Koond_kulud!H597</f>
        <v>4400</v>
      </c>
      <c r="I564">
        <f>Koond_kulud!I597</f>
        <v>0</v>
      </c>
      <c r="J564">
        <f>Koond_kulud!J597</f>
        <v>5524</v>
      </c>
      <c r="K564" t="str">
        <f>Koond_kulud!K597</f>
        <v>Õppevahendid</v>
      </c>
      <c r="L564">
        <f>Koond_kulud!L597</f>
        <v>55</v>
      </c>
      <c r="M564" t="str">
        <f>Koond_kulud!M597</f>
        <v>55</v>
      </c>
      <c r="N564" t="str">
        <f>Koond_kulud!N597</f>
        <v>Muud tegevuskulud</v>
      </c>
      <c r="O564" t="str">
        <f>Koond_kulud!O597</f>
        <v>Majandamiskulud</v>
      </c>
      <c r="P564" t="str">
        <f>Koond_kulud!P597</f>
        <v>Põhitegevuse kulu</v>
      </c>
      <c r="Q564">
        <f>Koond_kulud!Q597</f>
        <v>0</v>
      </c>
    </row>
    <row r="565" spans="1:17" hidden="1" x14ac:dyDescent="0.25">
      <c r="A565" t="str">
        <f>Koond_kulud!A598</f>
        <v>09</v>
      </c>
      <c r="B565" t="str">
        <f>Koond_kulud!B598</f>
        <v xml:space="preserve">0911001         </v>
      </c>
      <c r="C565" t="str">
        <f>Koond_kulud!C598</f>
        <v xml:space="preserve"> Vinni Lasteaed</v>
      </c>
      <c r="D565" t="str">
        <f>Koond_kulud!D598</f>
        <v>Alusharidus</v>
      </c>
      <c r="E565" t="str">
        <f>Koond_kulud!E598</f>
        <v>Haridus</v>
      </c>
      <c r="F565" t="str">
        <f>Koond_kulud!F598</f>
        <v>Vinni lasteaed</v>
      </c>
      <c r="G565" t="str">
        <f>Koond_kulud!G598</f>
        <v>Mänguvahendid, õpikud, töövihikud</v>
      </c>
      <c r="H565">
        <f>Koond_kulud!H598</f>
        <v>4400</v>
      </c>
      <c r="I565">
        <f>Koond_kulud!I598</f>
        <v>0</v>
      </c>
      <c r="J565">
        <f>Koond_kulud!J598</f>
        <v>5524</v>
      </c>
      <c r="K565" t="str">
        <f>Koond_kulud!K598</f>
        <v>Õppevahendid</v>
      </c>
      <c r="L565">
        <f>Koond_kulud!L598</f>
        <v>55</v>
      </c>
      <c r="M565" t="str">
        <f>Koond_kulud!M598</f>
        <v>55</v>
      </c>
      <c r="N565" t="str">
        <f>Koond_kulud!N598</f>
        <v>Muud tegevuskulud</v>
      </c>
      <c r="O565" t="str">
        <f>Koond_kulud!O598</f>
        <v>Majandamiskulud</v>
      </c>
      <c r="P565" t="str">
        <f>Koond_kulud!P598</f>
        <v>Põhitegevuse kulu</v>
      </c>
      <c r="Q565">
        <f>Koond_kulud!Q598</f>
        <v>0</v>
      </c>
    </row>
    <row r="566" spans="1:17" hidden="1" x14ac:dyDescent="0.25">
      <c r="A566" t="str">
        <f>Koond_kulud!A599</f>
        <v>09</v>
      </c>
      <c r="B566" t="str">
        <f>Koond_kulud!B599</f>
        <v xml:space="preserve">0911001         </v>
      </c>
      <c r="C566" t="str">
        <f>Koond_kulud!C599</f>
        <v xml:space="preserve"> Vinni Lasteaed</v>
      </c>
      <c r="D566" t="str">
        <f>Koond_kulud!D599</f>
        <v>Alusharidus</v>
      </c>
      <c r="E566" t="str">
        <f>Koond_kulud!E599</f>
        <v>Haridus</v>
      </c>
      <c r="F566" t="str">
        <f>Koond_kulud!F599</f>
        <v>Vinni lasteaed</v>
      </c>
      <c r="G566" t="str">
        <f>Koond_kulud!G599</f>
        <v>Mängupeod, väljasõidud, ühisüritused lastele</v>
      </c>
      <c r="H566">
        <f>Koond_kulud!H599</f>
        <v>2000</v>
      </c>
      <c r="I566" t="str">
        <f>Koond_kulud!I599</f>
        <v>auhinnad, bussi tellimine</v>
      </c>
      <c r="J566">
        <f>Koond_kulud!J599</f>
        <v>5525</v>
      </c>
      <c r="K566" t="str">
        <f>Koond_kulud!K599</f>
        <v>Kommunikatsiooni-, kultuuri- ja vaba aja sisustamise kulud</v>
      </c>
      <c r="L566">
        <f>Koond_kulud!L599</f>
        <v>55</v>
      </c>
      <c r="M566" t="str">
        <f>Koond_kulud!M599</f>
        <v>55</v>
      </c>
      <c r="N566" t="str">
        <f>Koond_kulud!N599</f>
        <v>Muud tegevuskulud</v>
      </c>
      <c r="O566" t="str">
        <f>Koond_kulud!O599</f>
        <v>Majandamiskulud</v>
      </c>
      <c r="P566" t="str">
        <f>Koond_kulud!P599</f>
        <v>Põhitegevuse kulu</v>
      </c>
      <c r="Q566">
        <f>Koond_kulud!Q599</f>
        <v>0</v>
      </c>
    </row>
    <row r="567" spans="1:17" hidden="1" x14ac:dyDescent="0.25">
      <c r="A567" t="str">
        <f>Koond_kulud!A600</f>
        <v>09</v>
      </c>
      <c r="B567" t="str">
        <f>Koond_kulud!B600</f>
        <v xml:space="preserve">0911001         </v>
      </c>
      <c r="C567" t="str">
        <f>Koond_kulud!C600</f>
        <v xml:space="preserve"> Vinni Lasteaed</v>
      </c>
      <c r="D567" t="str">
        <f>Koond_kulud!D600</f>
        <v>Alusharidus</v>
      </c>
      <c r="E567" t="str">
        <f>Koond_kulud!E600</f>
        <v>Haridus</v>
      </c>
      <c r="F567" t="str">
        <f>Koond_kulud!F600</f>
        <v>Vinni lasteaed</v>
      </c>
      <c r="G567" t="str">
        <f>Koond_kulud!G600</f>
        <v>Ühisüritused personalile, väljasõidud</v>
      </c>
      <c r="H567">
        <f>Koond_kulud!H600</f>
        <v>2000</v>
      </c>
      <c r="I567" t="str">
        <f>Koond_kulud!I600</f>
        <v>bussi tellimine, ruumide rent</v>
      </c>
      <c r="J567">
        <f>Koond_kulud!J600</f>
        <v>5525</v>
      </c>
      <c r="K567" t="str">
        <f>Koond_kulud!K600</f>
        <v>Kommunikatsiooni-, kultuuri- ja vaba aja sisustamise kulud</v>
      </c>
      <c r="L567">
        <f>Koond_kulud!L600</f>
        <v>55</v>
      </c>
      <c r="M567" t="str">
        <f>Koond_kulud!M600</f>
        <v>55</v>
      </c>
      <c r="N567" t="str">
        <f>Koond_kulud!N600</f>
        <v>Muud tegevuskulud</v>
      </c>
      <c r="O567" t="str">
        <f>Koond_kulud!O600</f>
        <v>Majandamiskulud</v>
      </c>
      <c r="P567" t="str">
        <f>Koond_kulud!P600</f>
        <v>Põhitegevuse kulu</v>
      </c>
      <c r="Q567">
        <f>Koond_kulud!Q600</f>
        <v>0</v>
      </c>
    </row>
    <row r="568" spans="1:17" hidden="1" x14ac:dyDescent="0.25">
      <c r="A568" t="str">
        <f>Koond_kulud!A601</f>
        <v>09</v>
      </c>
      <c r="B568" t="str">
        <f>Koond_kulud!B601</f>
        <v xml:space="preserve">0911001         </v>
      </c>
      <c r="C568" t="str">
        <f>Koond_kulud!C601</f>
        <v xml:space="preserve"> Vinni Lasteaed</v>
      </c>
      <c r="D568" t="str">
        <f>Koond_kulud!D601</f>
        <v>Alusharidus</v>
      </c>
      <c r="E568" t="str">
        <f>Koond_kulud!E601</f>
        <v>Haridus</v>
      </c>
      <c r="F568" t="str">
        <f>Koond_kulud!F601</f>
        <v>Vinni lasteaed</v>
      </c>
      <c r="G568" t="str">
        <f>Koond_kulud!G601</f>
        <v>soojus</v>
      </c>
      <c r="H568">
        <f>Koond_kulud!H601</f>
        <v>18000</v>
      </c>
      <c r="I568" t="str">
        <f>Koond_kulud!I601</f>
        <v>Askoterm OÜ</v>
      </c>
      <c r="J568">
        <f>Koond_kulud!J601</f>
        <v>5511</v>
      </c>
      <c r="K568" t="str">
        <f>Koond_kulud!K601</f>
        <v>Kinnistute, hoonete ja ruumide majandamiskulud</v>
      </c>
      <c r="L568">
        <f>Koond_kulud!L601</f>
        <v>55</v>
      </c>
      <c r="M568" t="str">
        <f>Koond_kulud!M601</f>
        <v>55</v>
      </c>
      <c r="N568" t="str">
        <f>Koond_kulud!N601</f>
        <v>Muud tegevuskulud</v>
      </c>
      <c r="O568" t="str">
        <f>Koond_kulud!O601</f>
        <v>Majandamiskulud</v>
      </c>
      <c r="P568" t="str">
        <f>Koond_kulud!P601</f>
        <v>Põhitegevuse kulu</v>
      </c>
      <c r="Q568">
        <f>Koond_kulud!Q601</f>
        <v>0</v>
      </c>
    </row>
    <row r="569" spans="1:17" hidden="1" x14ac:dyDescent="0.25">
      <c r="A569" t="str">
        <f>Koond_kulud!A602</f>
        <v>09</v>
      </c>
      <c r="B569" t="str">
        <f>Koond_kulud!B602</f>
        <v xml:space="preserve">0911001         </v>
      </c>
      <c r="C569" t="str">
        <f>Koond_kulud!C602</f>
        <v xml:space="preserve"> Vinni Lasteaed</v>
      </c>
      <c r="D569" t="str">
        <f>Koond_kulud!D602</f>
        <v>Alusharidus</v>
      </c>
      <c r="E569" t="str">
        <f>Koond_kulud!E602</f>
        <v>Haridus</v>
      </c>
      <c r="F569" t="str">
        <f>Koond_kulud!F602</f>
        <v>Vinni lasteaed</v>
      </c>
      <c r="G569" t="str">
        <f>Koond_kulud!G602</f>
        <v>Vesi, kanalisatsioon</v>
      </c>
      <c r="H569">
        <f>Koond_kulud!H602</f>
        <v>2500</v>
      </c>
      <c r="I569" t="str">
        <f>Koond_kulud!I602</f>
        <v>Emajõe Veevärk AS</v>
      </c>
      <c r="J569">
        <f>Koond_kulud!J602</f>
        <v>5511</v>
      </c>
      <c r="K569" t="str">
        <f>Koond_kulud!K602</f>
        <v>Kinnistute, hoonete ja ruumide majandamiskulud</v>
      </c>
      <c r="L569">
        <f>Koond_kulud!L602</f>
        <v>55</v>
      </c>
      <c r="M569" t="str">
        <f>Koond_kulud!M602</f>
        <v>55</v>
      </c>
      <c r="N569" t="str">
        <f>Koond_kulud!N602</f>
        <v>Muud tegevuskulud</v>
      </c>
      <c r="O569" t="str">
        <f>Koond_kulud!O602</f>
        <v>Majandamiskulud</v>
      </c>
      <c r="P569" t="str">
        <f>Koond_kulud!P602</f>
        <v>Põhitegevuse kulu</v>
      </c>
      <c r="Q569">
        <f>Koond_kulud!Q602</f>
        <v>0</v>
      </c>
    </row>
    <row r="570" spans="1:17" hidden="1" x14ac:dyDescent="0.25">
      <c r="A570" t="str">
        <f>Koond_kulud!A603</f>
        <v>09</v>
      </c>
      <c r="B570" t="str">
        <f>Koond_kulud!B603</f>
        <v xml:space="preserve">0911001         </v>
      </c>
      <c r="C570" t="str">
        <f>Koond_kulud!C603</f>
        <v xml:space="preserve"> Vinni Lasteaed</v>
      </c>
      <c r="D570" t="str">
        <f>Koond_kulud!D603</f>
        <v>Alusharidus</v>
      </c>
      <c r="E570" t="str">
        <f>Koond_kulud!E603</f>
        <v>Haridus</v>
      </c>
      <c r="F570" t="str">
        <f>Koond_kulud!F603</f>
        <v>Vinni lasteaed</v>
      </c>
      <c r="G570" t="str">
        <f>Koond_kulud!G603</f>
        <v>Elekter</v>
      </c>
      <c r="H570">
        <f>Koond_kulud!H603</f>
        <v>6000</v>
      </c>
      <c r="I570" t="str">
        <f>Koond_kulud!I603</f>
        <v>Eesti Energia AS</v>
      </c>
      <c r="J570">
        <f>Koond_kulud!J603</f>
        <v>5511</v>
      </c>
      <c r="K570" t="str">
        <f>Koond_kulud!K603</f>
        <v>Kinnistute, hoonete ja ruumide majandamiskulud</v>
      </c>
      <c r="L570">
        <f>Koond_kulud!L603</f>
        <v>55</v>
      </c>
      <c r="M570" t="str">
        <f>Koond_kulud!M603</f>
        <v>55</v>
      </c>
      <c r="N570" t="str">
        <f>Koond_kulud!N603</f>
        <v>Muud tegevuskulud</v>
      </c>
      <c r="O570" t="str">
        <f>Koond_kulud!O603</f>
        <v>Majandamiskulud</v>
      </c>
      <c r="P570" t="str">
        <f>Koond_kulud!P603</f>
        <v>Põhitegevuse kulu</v>
      </c>
      <c r="Q570">
        <f>Koond_kulud!Q603</f>
        <v>0</v>
      </c>
    </row>
    <row r="571" spans="1:17" hidden="1" x14ac:dyDescent="0.25">
      <c r="A571" t="str">
        <f>Koond_kulud!A604</f>
        <v>09</v>
      </c>
      <c r="B571" t="str">
        <f>Koond_kulud!B604</f>
        <v xml:space="preserve">0911001         </v>
      </c>
      <c r="C571" t="str">
        <f>Koond_kulud!C604</f>
        <v xml:space="preserve"> Vinni Lasteaed</v>
      </c>
      <c r="D571" t="str">
        <f>Koond_kulud!D604</f>
        <v>Alusharidus</v>
      </c>
      <c r="E571" t="str">
        <f>Koond_kulud!E604</f>
        <v>Haridus</v>
      </c>
      <c r="F571" t="str">
        <f>Koond_kulud!F604</f>
        <v>Vinni lasteaed</v>
      </c>
      <c r="G571" t="str">
        <f>Koond_kulud!G604</f>
        <v>Prügi</v>
      </c>
      <c r="H571">
        <f>Koond_kulud!H604</f>
        <v>360</v>
      </c>
      <c r="I571" t="str">
        <f>Koond_kulud!I604</f>
        <v>MTÜ L- Virumaa Jäätmekeskus, Ragnr Sells OÜ</v>
      </c>
      <c r="J571">
        <f>Koond_kulud!J604</f>
        <v>5511</v>
      </c>
      <c r="K571" t="str">
        <f>Koond_kulud!K604</f>
        <v>Kinnistute, hoonete ja ruumide majandamiskulud</v>
      </c>
      <c r="L571">
        <f>Koond_kulud!L604</f>
        <v>55</v>
      </c>
      <c r="M571" t="str">
        <f>Koond_kulud!M604</f>
        <v>55</v>
      </c>
      <c r="N571" t="str">
        <f>Koond_kulud!N604</f>
        <v>Muud tegevuskulud</v>
      </c>
      <c r="O571" t="str">
        <f>Koond_kulud!O604</f>
        <v>Majandamiskulud</v>
      </c>
      <c r="P571" t="str">
        <f>Koond_kulud!P604</f>
        <v>Põhitegevuse kulu</v>
      </c>
      <c r="Q571">
        <f>Koond_kulud!Q604</f>
        <v>0</v>
      </c>
    </row>
    <row r="572" spans="1:17" hidden="1" x14ac:dyDescent="0.25">
      <c r="A572" t="str">
        <f>Koond_kulud!A605</f>
        <v>09</v>
      </c>
      <c r="B572" t="str">
        <f>Koond_kulud!B605</f>
        <v xml:space="preserve">0911001         </v>
      </c>
      <c r="C572" t="str">
        <f>Koond_kulud!C605</f>
        <v xml:space="preserve"> Vinni Lasteaed</v>
      </c>
      <c r="D572" t="str">
        <f>Koond_kulud!D605</f>
        <v>Alusharidus</v>
      </c>
      <c r="E572" t="str">
        <f>Koond_kulud!E605</f>
        <v>Haridus</v>
      </c>
      <c r="F572" t="str">
        <f>Koond_kulud!F605</f>
        <v>Vinni lasteaed</v>
      </c>
      <c r="G572" t="str">
        <f>Koond_kulud!G605</f>
        <v>Pesu pesemine</v>
      </c>
      <c r="H572">
        <f>Koond_kulud!H605</f>
        <v>1020</v>
      </c>
      <c r="I572" t="str">
        <f>Koond_kulud!I605</f>
        <v>Pesumaja teenus 85x12</v>
      </c>
      <c r="J572">
        <f>Koond_kulud!J605</f>
        <v>5511</v>
      </c>
      <c r="K572" t="str">
        <f>Koond_kulud!K605</f>
        <v>Kinnistute, hoonete ja ruumide majandamiskulud</v>
      </c>
      <c r="L572">
        <f>Koond_kulud!L605</f>
        <v>55</v>
      </c>
      <c r="M572" t="str">
        <f>Koond_kulud!M605</f>
        <v>55</v>
      </c>
      <c r="N572" t="str">
        <f>Koond_kulud!N605</f>
        <v>Muud tegevuskulud</v>
      </c>
      <c r="O572" t="str">
        <f>Koond_kulud!O605</f>
        <v>Majandamiskulud</v>
      </c>
      <c r="P572" t="str">
        <f>Koond_kulud!P605</f>
        <v>Põhitegevuse kulu</v>
      </c>
      <c r="Q572">
        <f>Koond_kulud!Q605</f>
        <v>0</v>
      </c>
    </row>
    <row r="573" spans="1:17" hidden="1" x14ac:dyDescent="0.25">
      <c r="A573" t="str">
        <f>Koond_kulud!A606</f>
        <v>09</v>
      </c>
      <c r="B573" t="str">
        <f>Koond_kulud!B606</f>
        <v xml:space="preserve">0911001         </v>
      </c>
      <c r="C573" t="str">
        <f>Koond_kulud!C606</f>
        <v xml:space="preserve"> Vinni Lasteaed</v>
      </c>
      <c r="D573" t="str">
        <f>Koond_kulud!D606</f>
        <v>Alusharidus</v>
      </c>
      <c r="E573" t="str">
        <f>Koond_kulud!E606</f>
        <v>Haridus</v>
      </c>
      <c r="F573" t="str">
        <f>Koond_kulud!F606</f>
        <v>Vinni lasteaed</v>
      </c>
      <c r="G573" t="str">
        <f>Koond_kulud!G606</f>
        <v>Ats hooldus</v>
      </c>
      <c r="H573">
        <f>Koond_kulud!H606</f>
        <v>460</v>
      </c>
      <c r="I573" t="str">
        <f>Koond_kulud!I606</f>
        <v>U.K.V Grupp OÜ  4x115</v>
      </c>
      <c r="J573">
        <f>Koond_kulud!J606</f>
        <v>5511</v>
      </c>
      <c r="K573" t="str">
        <f>Koond_kulud!K606</f>
        <v>Kinnistute, hoonete ja ruumide majandamiskulud</v>
      </c>
      <c r="L573">
        <f>Koond_kulud!L606</f>
        <v>55</v>
      </c>
      <c r="M573" t="str">
        <f>Koond_kulud!M606</f>
        <v>55</v>
      </c>
      <c r="N573" t="str">
        <f>Koond_kulud!N606</f>
        <v>Muud tegevuskulud</v>
      </c>
      <c r="O573" t="str">
        <f>Koond_kulud!O606</f>
        <v>Majandamiskulud</v>
      </c>
      <c r="P573" t="str">
        <f>Koond_kulud!P606</f>
        <v>Põhitegevuse kulu</v>
      </c>
      <c r="Q573">
        <f>Koond_kulud!Q606</f>
        <v>0</v>
      </c>
    </row>
    <row r="574" spans="1:17" hidden="1" x14ac:dyDescent="0.25">
      <c r="A574" t="str">
        <f>Koond_kulud!A607</f>
        <v>09</v>
      </c>
      <c r="B574" t="str">
        <f>Koond_kulud!B607</f>
        <v xml:space="preserve">0911001         </v>
      </c>
      <c r="C574" t="str">
        <f>Koond_kulud!C607</f>
        <v xml:space="preserve"> Vinni Lasteaed</v>
      </c>
      <c r="D574" t="str">
        <f>Koond_kulud!D607</f>
        <v>Alusharidus</v>
      </c>
      <c r="E574" t="str">
        <f>Koond_kulud!E607</f>
        <v>Haridus</v>
      </c>
      <c r="F574" t="str">
        <f>Koond_kulud!F607</f>
        <v>Vinni lasteaed</v>
      </c>
      <c r="G574" t="str">
        <f>Koond_kulud!G607</f>
        <v>Liivafiltri hooldus, rasvakoguja</v>
      </c>
      <c r="H574">
        <f>Koond_kulud!H607</f>
        <v>1200</v>
      </c>
      <c r="I574" t="str">
        <f>Koond_kulud!I607</f>
        <v>Virumaa Veepumbakeskus OÜ, Protectpipe OÜ</v>
      </c>
      <c r="J574">
        <f>Koond_kulud!J607</f>
        <v>5511</v>
      </c>
      <c r="K574" t="str">
        <f>Koond_kulud!K607</f>
        <v>Kinnistute, hoonete ja ruumide majandamiskulud</v>
      </c>
      <c r="L574">
        <f>Koond_kulud!L607</f>
        <v>55</v>
      </c>
      <c r="M574" t="str">
        <f>Koond_kulud!M607</f>
        <v>55</v>
      </c>
      <c r="N574" t="str">
        <f>Koond_kulud!N607</f>
        <v>Muud tegevuskulud</v>
      </c>
      <c r="O574" t="str">
        <f>Koond_kulud!O607</f>
        <v>Majandamiskulud</v>
      </c>
      <c r="P574" t="str">
        <f>Koond_kulud!P607</f>
        <v>Põhitegevuse kulu</v>
      </c>
      <c r="Q574">
        <f>Koond_kulud!Q607</f>
        <v>0</v>
      </c>
    </row>
    <row r="575" spans="1:17" hidden="1" x14ac:dyDescent="0.25">
      <c r="A575" t="str">
        <f>Koond_kulud!A608</f>
        <v>09</v>
      </c>
      <c r="B575" t="str">
        <f>Koond_kulud!B608</f>
        <v xml:space="preserve">0911001         </v>
      </c>
      <c r="C575" t="str">
        <f>Koond_kulud!C608</f>
        <v xml:space="preserve"> Vinni Lasteaed</v>
      </c>
      <c r="D575" t="str">
        <f>Koond_kulud!D608</f>
        <v>Alusharidus</v>
      </c>
      <c r="E575" t="str">
        <f>Koond_kulud!E608</f>
        <v>Haridus</v>
      </c>
      <c r="F575" t="str">
        <f>Koond_kulud!F608</f>
        <v>Vinni lasteaed</v>
      </c>
      <c r="G575" t="str">
        <f>Koond_kulud!G608</f>
        <v>Kahjurtõrje</v>
      </c>
      <c r="H575">
        <f>Koond_kulud!H608</f>
        <v>192</v>
      </c>
      <c r="I575" t="str">
        <f>Koond_kulud!I608</f>
        <v>Rentokil OÜ 48x4</v>
      </c>
      <c r="J575">
        <f>Koond_kulud!J608</f>
        <v>5511</v>
      </c>
      <c r="K575" t="str">
        <f>Koond_kulud!K608</f>
        <v>Kinnistute, hoonete ja ruumide majandamiskulud</v>
      </c>
      <c r="L575">
        <f>Koond_kulud!L608</f>
        <v>55</v>
      </c>
      <c r="M575" t="str">
        <f>Koond_kulud!M608</f>
        <v>55</v>
      </c>
      <c r="N575" t="str">
        <f>Koond_kulud!N608</f>
        <v>Muud tegevuskulud</v>
      </c>
      <c r="O575" t="str">
        <f>Koond_kulud!O608</f>
        <v>Majandamiskulud</v>
      </c>
      <c r="P575" t="str">
        <f>Koond_kulud!P608</f>
        <v>Põhitegevuse kulu</v>
      </c>
      <c r="Q575">
        <f>Koond_kulud!Q608</f>
        <v>0</v>
      </c>
    </row>
    <row r="576" spans="1:17" hidden="1" x14ac:dyDescent="0.25">
      <c r="A576" t="str">
        <f>Koond_kulud!A609</f>
        <v>09</v>
      </c>
      <c r="B576" t="str">
        <f>Koond_kulud!B609</f>
        <v xml:space="preserve">0911001         </v>
      </c>
      <c r="C576" t="str">
        <f>Koond_kulud!C609</f>
        <v xml:space="preserve"> Vinni Lasteaed</v>
      </c>
      <c r="D576" t="str">
        <f>Koond_kulud!D609</f>
        <v>Alusharidus</v>
      </c>
      <c r="E576" t="str">
        <f>Koond_kulud!E609</f>
        <v>Haridus</v>
      </c>
      <c r="F576" t="str">
        <f>Koond_kulud!F609</f>
        <v>Vinni lasteaed</v>
      </c>
      <c r="G576" t="str">
        <f>Koond_kulud!G609</f>
        <v>Muruniiduk, murutraktor, trimmer</v>
      </c>
      <c r="H576">
        <f>Koond_kulud!H609</f>
        <v>200</v>
      </c>
      <c r="I576" t="str">
        <f>Koond_kulud!I609</f>
        <v>bensiin, remont, damiil</v>
      </c>
      <c r="J576">
        <f>Koond_kulud!J609</f>
        <v>5511</v>
      </c>
      <c r="K576" t="str">
        <f>Koond_kulud!K609</f>
        <v>Kinnistute, hoonete ja ruumide majandamiskulud</v>
      </c>
      <c r="L576">
        <f>Koond_kulud!L609</f>
        <v>55</v>
      </c>
      <c r="M576" t="str">
        <f>Koond_kulud!M609</f>
        <v>55</v>
      </c>
      <c r="N576" t="str">
        <f>Koond_kulud!N609</f>
        <v>Muud tegevuskulud</v>
      </c>
      <c r="O576" t="str">
        <f>Koond_kulud!O609</f>
        <v>Majandamiskulud</v>
      </c>
      <c r="P576" t="str">
        <f>Koond_kulud!P609</f>
        <v>Põhitegevuse kulu</v>
      </c>
      <c r="Q576">
        <f>Koond_kulud!Q609</f>
        <v>0</v>
      </c>
    </row>
    <row r="577" spans="1:17" hidden="1" x14ac:dyDescent="0.25">
      <c r="A577" t="str">
        <f>Koond_kulud!A610</f>
        <v>09</v>
      </c>
      <c r="B577" t="str">
        <f>Koond_kulud!B610</f>
        <v xml:space="preserve">0911001         </v>
      </c>
      <c r="C577" t="str">
        <f>Koond_kulud!C610</f>
        <v xml:space="preserve"> Vinni Lasteaed</v>
      </c>
      <c r="D577" t="str">
        <f>Koond_kulud!D610</f>
        <v>Alusharidus</v>
      </c>
      <c r="E577" t="str">
        <f>Koond_kulud!E610</f>
        <v>Haridus</v>
      </c>
      <c r="F577" t="str">
        <f>Koond_kulud!F610</f>
        <v>Vinni lasteaed</v>
      </c>
      <c r="G577" t="str">
        <f>Koond_kulud!G610</f>
        <v>Koristusvahendid, puhastusvahendid, paberid jne</v>
      </c>
      <c r="H577">
        <f>Koond_kulud!H610</f>
        <v>4000</v>
      </c>
      <c r="I577" t="str">
        <f>Koond_kulud!I610</f>
        <v>Puhastusimport OÜ, Kaupmees, Bauhof</v>
      </c>
      <c r="J577">
        <f>Koond_kulud!J610</f>
        <v>5511</v>
      </c>
      <c r="K577" t="str">
        <f>Koond_kulud!K610</f>
        <v>Kinnistute, hoonete ja ruumide majandamiskulud</v>
      </c>
      <c r="L577">
        <f>Koond_kulud!L610</f>
        <v>55</v>
      </c>
      <c r="M577" t="str">
        <f>Koond_kulud!M610</f>
        <v>55</v>
      </c>
      <c r="N577" t="str">
        <f>Koond_kulud!N610</f>
        <v>Muud tegevuskulud</v>
      </c>
      <c r="O577" t="str">
        <f>Koond_kulud!O610</f>
        <v>Majandamiskulud</v>
      </c>
      <c r="P577" t="str">
        <f>Koond_kulud!P610</f>
        <v>Põhitegevuse kulu</v>
      </c>
      <c r="Q577">
        <f>Koond_kulud!Q610</f>
        <v>0</v>
      </c>
    </row>
    <row r="578" spans="1:17" hidden="1" x14ac:dyDescent="0.25">
      <c r="A578" t="str">
        <f>Koond_kulud!A611</f>
        <v>09</v>
      </c>
      <c r="B578" t="str">
        <f>Koond_kulud!B611</f>
        <v xml:space="preserve">0911001         </v>
      </c>
      <c r="C578" t="str">
        <f>Koond_kulud!C611</f>
        <v xml:space="preserve"> Vinni Lasteaed</v>
      </c>
      <c r="D578" t="str">
        <f>Koond_kulud!D611</f>
        <v>Alusharidus</v>
      </c>
      <c r="E578" t="str">
        <f>Koond_kulud!E611</f>
        <v>Haridus</v>
      </c>
      <c r="F578" t="str">
        <f>Koond_kulud!F611</f>
        <v>Vinni lasteaed</v>
      </c>
      <c r="G578" t="str">
        <f>Koond_kulud!G611</f>
        <v>Jooksev remont-santehniline töö, turvavalgustus, mänguväljak jne</v>
      </c>
      <c r="H578">
        <f>Koond_kulud!H611</f>
        <v>3000</v>
      </c>
      <c r="I578" t="str">
        <f>Koond_kulud!I611</f>
        <v>materjalid, töö</v>
      </c>
      <c r="J578">
        <f>Koond_kulud!J611</f>
        <v>5511</v>
      </c>
      <c r="K578" t="str">
        <f>Koond_kulud!K611</f>
        <v>Kinnistute, hoonete ja ruumide majandamiskulud</v>
      </c>
      <c r="L578">
        <f>Koond_kulud!L611</f>
        <v>55</v>
      </c>
      <c r="M578" t="str">
        <f>Koond_kulud!M611</f>
        <v>55</v>
      </c>
      <c r="N578" t="str">
        <f>Koond_kulud!N611</f>
        <v>Muud tegevuskulud</v>
      </c>
      <c r="O578" t="str">
        <f>Koond_kulud!O611</f>
        <v>Majandamiskulud</v>
      </c>
      <c r="P578" t="str">
        <f>Koond_kulud!P611</f>
        <v>Põhitegevuse kulu</v>
      </c>
      <c r="Q578">
        <f>Koond_kulud!Q611</f>
        <v>0</v>
      </c>
    </row>
    <row r="579" spans="1:17" hidden="1" x14ac:dyDescent="0.25">
      <c r="A579" t="str">
        <f>Koond_kulud!A612</f>
        <v>09</v>
      </c>
      <c r="B579" t="str">
        <f>Koond_kulud!B612</f>
        <v xml:space="preserve">0911001         </v>
      </c>
      <c r="C579" t="str">
        <f>Koond_kulud!C612</f>
        <v xml:space="preserve"> Vinni Lasteaed</v>
      </c>
      <c r="D579" t="str">
        <f>Koond_kulud!D612</f>
        <v>Alusharidus</v>
      </c>
      <c r="E579" t="str">
        <f>Koond_kulud!E612</f>
        <v>Haridus</v>
      </c>
      <c r="F579" t="str">
        <f>Koond_kulud!F612</f>
        <v>Vinni lasteaed</v>
      </c>
      <c r="G579" t="str">
        <f>Koond_kulud!G612</f>
        <v>Eliis, Anc programm</v>
      </c>
      <c r="H579">
        <f>Koond_kulud!H612</f>
        <v>850</v>
      </c>
      <c r="I579">
        <f>Koond_kulud!I612</f>
        <v>0</v>
      </c>
      <c r="J579">
        <f>Koond_kulud!J612</f>
        <v>5514</v>
      </c>
      <c r="K579" t="str">
        <f>Koond_kulud!K612</f>
        <v>Info- ja kommunikatsioonitehnoliigised kulud</v>
      </c>
      <c r="L579">
        <f>Koond_kulud!L612</f>
        <v>55</v>
      </c>
      <c r="M579" t="str">
        <f>Koond_kulud!M612</f>
        <v>55</v>
      </c>
      <c r="N579" t="str">
        <f>Koond_kulud!N612</f>
        <v>Muud tegevuskulud</v>
      </c>
      <c r="O579" t="str">
        <f>Koond_kulud!O612</f>
        <v>Majandamiskulud</v>
      </c>
      <c r="P579" t="str">
        <f>Koond_kulud!P612</f>
        <v>Põhitegevuse kulu</v>
      </c>
      <c r="Q579">
        <f>Koond_kulud!Q612</f>
        <v>0</v>
      </c>
    </row>
    <row r="580" spans="1:17" hidden="1" x14ac:dyDescent="0.25">
      <c r="A580" t="str">
        <f>Koond_kulud!A613</f>
        <v>09</v>
      </c>
      <c r="B580" t="str">
        <f>Koond_kulud!B613</f>
        <v xml:space="preserve">0911001         </v>
      </c>
      <c r="C580" t="str">
        <f>Koond_kulud!C613</f>
        <v xml:space="preserve"> Vinni Lasteaed</v>
      </c>
      <c r="D580" t="str">
        <f>Koond_kulud!D613</f>
        <v>Alusharidus</v>
      </c>
      <c r="E580" t="str">
        <f>Koond_kulud!E613</f>
        <v>Haridus</v>
      </c>
      <c r="F580" t="str">
        <f>Koond_kulud!F613</f>
        <v>Vinni lasteaed</v>
      </c>
      <c r="G580" t="str">
        <f>Koond_kulud!G613</f>
        <v>Arvutiprogrammid, hooldused</v>
      </c>
      <c r="H580">
        <f>Koond_kulud!H613</f>
        <v>350</v>
      </c>
      <c r="I580" t="str">
        <f>Koond_kulud!I613</f>
        <v>viirusetõrje 10x25, dropbox</v>
      </c>
      <c r="J580">
        <f>Koond_kulud!J613</f>
        <v>5514</v>
      </c>
      <c r="K580" t="str">
        <f>Koond_kulud!K613</f>
        <v>Info- ja kommunikatsioonitehnoliigised kulud</v>
      </c>
      <c r="L580">
        <f>Koond_kulud!L613</f>
        <v>55</v>
      </c>
      <c r="M580" t="str">
        <f>Koond_kulud!M613</f>
        <v>55</v>
      </c>
      <c r="N580" t="str">
        <f>Koond_kulud!N613</f>
        <v>Muud tegevuskulud</v>
      </c>
      <c r="O580" t="str">
        <f>Koond_kulud!O613</f>
        <v>Majandamiskulud</v>
      </c>
      <c r="P580" t="str">
        <f>Koond_kulud!P613</f>
        <v>Põhitegevuse kulu</v>
      </c>
      <c r="Q580">
        <f>Koond_kulud!Q613</f>
        <v>0</v>
      </c>
    </row>
    <row r="581" spans="1:17" hidden="1" x14ac:dyDescent="0.25">
      <c r="A581" t="str">
        <f>Koond_kulud!A614</f>
        <v>09</v>
      </c>
      <c r="B581" t="str">
        <f>Koond_kulud!B614</f>
        <v xml:space="preserve">0911001         </v>
      </c>
      <c r="C581" t="str">
        <f>Koond_kulud!C614</f>
        <v xml:space="preserve"> Vinni Lasteaed</v>
      </c>
      <c r="D581" t="str">
        <f>Koond_kulud!D614</f>
        <v>Alusharidus</v>
      </c>
      <c r="E581" t="str">
        <f>Koond_kulud!E614</f>
        <v>Haridus</v>
      </c>
      <c r="F581" t="str">
        <f>Koond_kulud!F614</f>
        <v>Vinni lasteaed</v>
      </c>
      <c r="G581" t="str">
        <f>Koond_kulud!G614</f>
        <v>Remont</v>
      </c>
      <c r="H581">
        <f>Koond_kulud!H614</f>
        <v>200</v>
      </c>
      <c r="I581">
        <f>Koond_kulud!I614</f>
        <v>0</v>
      </c>
      <c r="J581">
        <f>Koond_kulud!J614</f>
        <v>5514</v>
      </c>
      <c r="K581" t="str">
        <f>Koond_kulud!K614</f>
        <v>Info- ja kommunikatsioonitehnoliigised kulud</v>
      </c>
      <c r="L581">
        <f>Koond_kulud!L614</f>
        <v>55</v>
      </c>
      <c r="M581" t="str">
        <f>Koond_kulud!M614</f>
        <v>55</v>
      </c>
      <c r="N581" t="str">
        <f>Koond_kulud!N614</f>
        <v>Muud tegevuskulud</v>
      </c>
      <c r="O581" t="str">
        <f>Koond_kulud!O614</f>
        <v>Majandamiskulud</v>
      </c>
      <c r="P581" t="str">
        <f>Koond_kulud!P614</f>
        <v>Põhitegevuse kulu</v>
      </c>
      <c r="Q581">
        <f>Koond_kulud!Q614</f>
        <v>0</v>
      </c>
    </row>
    <row r="582" spans="1:17" hidden="1" x14ac:dyDescent="0.25">
      <c r="A582" t="str">
        <f>Koond_kulud!A615</f>
        <v>09</v>
      </c>
      <c r="B582" t="str">
        <f>Koond_kulud!B615</f>
        <v xml:space="preserve">0911001         </v>
      </c>
      <c r="C582" t="str">
        <f>Koond_kulud!C615</f>
        <v xml:space="preserve"> Vinni Lasteaed</v>
      </c>
      <c r="D582" t="str">
        <f>Koond_kulud!D615</f>
        <v>Alusharidus</v>
      </c>
      <c r="E582" t="str">
        <f>Koond_kulud!E615</f>
        <v>Haridus</v>
      </c>
      <c r="F582" t="str">
        <f>Koond_kulud!F615</f>
        <v>Vinni lasteaed</v>
      </c>
      <c r="G582" t="str">
        <f>Koond_kulud!G615</f>
        <v>Mõisa kiviaed +tööriistakuur</v>
      </c>
      <c r="H582">
        <f>Koond_kulud!H615</f>
        <v>5000</v>
      </c>
      <c r="I582" t="str">
        <f>Koond_kulud!I615</f>
        <v>VALLA ETTEPANEK</v>
      </c>
      <c r="J582">
        <f>Koond_kulud!J615</f>
        <v>5511</v>
      </c>
      <c r="K582" t="str">
        <f>Koond_kulud!K615</f>
        <v>Kinnistute, hoonete ja ruumide majandamiskulud</v>
      </c>
      <c r="L582">
        <f>Koond_kulud!L615</f>
        <v>55</v>
      </c>
      <c r="M582" t="str">
        <f>Koond_kulud!M615</f>
        <v>55</v>
      </c>
      <c r="N582" t="str">
        <f>Koond_kulud!N615</f>
        <v>Muud tegevuskulud</v>
      </c>
      <c r="O582" t="str">
        <f>Koond_kulud!O615</f>
        <v>Majandamiskulud</v>
      </c>
      <c r="P582" t="str">
        <f>Koond_kulud!P615</f>
        <v>Põhitegevuse kulu</v>
      </c>
      <c r="Q582">
        <f>Koond_kulud!Q615</f>
        <v>0</v>
      </c>
    </row>
    <row r="583" spans="1:17" hidden="1" x14ac:dyDescent="0.25">
      <c r="A583" t="str">
        <f>Koond_kulud!A616</f>
        <v>09</v>
      </c>
      <c r="B583" t="str">
        <f>Koond_kulud!B616</f>
        <v xml:space="preserve">0911001         </v>
      </c>
      <c r="C583" t="str">
        <f>Koond_kulud!C616</f>
        <v xml:space="preserve"> Vinni Lasteaed</v>
      </c>
      <c r="D583" t="str">
        <f>Koond_kulud!D616</f>
        <v>Alusharidus</v>
      </c>
      <c r="E583" t="str">
        <f>Koond_kulud!E616</f>
        <v>Haridus</v>
      </c>
      <c r="F583" t="str">
        <f>Koond_kulud!F616</f>
        <v>Vinni lasteaed</v>
      </c>
      <c r="G583" t="str">
        <f>Koond_kulud!G616</f>
        <v>Kiige tn poolne trepp</v>
      </c>
      <c r="H583">
        <f>Koond_kulud!H616</f>
        <v>500</v>
      </c>
      <c r="I583" t="str">
        <f>Koond_kulud!I616</f>
        <v>materjali kulu</v>
      </c>
      <c r="J583">
        <f>Koond_kulud!J616</f>
        <v>5511</v>
      </c>
      <c r="K583" t="str">
        <f>Koond_kulud!K616</f>
        <v>Kinnistute, hoonete ja ruumide majandamiskulud</v>
      </c>
      <c r="L583">
        <f>Koond_kulud!L616</f>
        <v>55</v>
      </c>
      <c r="M583" t="str">
        <f>Koond_kulud!M616</f>
        <v>55</v>
      </c>
      <c r="N583" t="str">
        <f>Koond_kulud!N616</f>
        <v>Muud tegevuskulud</v>
      </c>
      <c r="O583" t="str">
        <f>Koond_kulud!O616</f>
        <v>Majandamiskulud</v>
      </c>
      <c r="P583" t="str">
        <f>Koond_kulud!P616</f>
        <v>Põhitegevuse kulu</v>
      </c>
      <c r="Q583">
        <f>Koond_kulud!Q616</f>
        <v>0</v>
      </c>
    </row>
    <row r="584" spans="1:17" hidden="1" x14ac:dyDescent="0.25">
      <c r="A584" t="str">
        <f>Koond_kulud!A617</f>
        <v>09</v>
      </c>
      <c r="B584" t="str">
        <f>Koond_kulud!B617</f>
        <v xml:space="preserve">0911002         </v>
      </c>
      <c r="C584" t="str">
        <f>Koond_kulud!C617</f>
        <v xml:space="preserve"> Pajusti Lasteaed</v>
      </c>
      <c r="D584" t="str">
        <f>Koond_kulud!D617</f>
        <v>Alusharidus</v>
      </c>
      <c r="E584" t="str">
        <f>Koond_kulud!E617</f>
        <v>Haridus</v>
      </c>
      <c r="F584" t="str">
        <f>Koond_kulud!F617</f>
        <v>Pajusti lasteaed</v>
      </c>
      <c r="G584" t="str">
        <f>Koond_kulud!G617</f>
        <v>telefonid ja internet</v>
      </c>
      <c r="H584">
        <f>Koond_kulud!H617</f>
        <v>760</v>
      </c>
      <c r="I584">
        <f>Koond_kulud!I617</f>
        <v>0</v>
      </c>
      <c r="J584">
        <f>Koond_kulud!J617</f>
        <v>5500</v>
      </c>
      <c r="K584" t="str">
        <f>Koond_kulud!K617</f>
        <v>Administreerimiskulud</v>
      </c>
      <c r="L584">
        <f>Koond_kulud!L617</f>
        <v>55</v>
      </c>
      <c r="M584" t="str">
        <f>Koond_kulud!M617</f>
        <v>55</v>
      </c>
      <c r="N584" t="str">
        <f>Koond_kulud!N617</f>
        <v>Muud tegevuskulud</v>
      </c>
      <c r="O584" t="str">
        <f>Koond_kulud!O617</f>
        <v>Majandamiskulud</v>
      </c>
      <c r="P584" t="str">
        <f>Koond_kulud!P617</f>
        <v>Põhitegevuse kulu</v>
      </c>
      <c r="Q584">
        <f>Koond_kulud!Q617</f>
        <v>0</v>
      </c>
    </row>
    <row r="585" spans="1:17" hidden="1" x14ac:dyDescent="0.25">
      <c r="A585" t="str">
        <f>Koond_kulud!A618</f>
        <v>09</v>
      </c>
      <c r="B585" t="str">
        <f>Koond_kulud!B618</f>
        <v xml:space="preserve">0911002         </v>
      </c>
      <c r="C585" t="str">
        <f>Koond_kulud!C618</f>
        <v xml:space="preserve"> Pajusti Lasteaed</v>
      </c>
      <c r="D585" t="str">
        <f>Koond_kulud!D618</f>
        <v>Alusharidus</v>
      </c>
      <c r="E585" t="str">
        <f>Koond_kulud!E618</f>
        <v>Haridus</v>
      </c>
      <c r="F585" t="str">
        <f>Koond_kulud!F618</f>
        <v>Pajusti lasteaed</v>
      </c>
      <c r="G585" t="str">
        <f>Koond_kulud!G618</f>
        <v>mobiil</v>
      </c>
      <c r="H585">
        <f>Koond_kulud!H618</f>
        <v>25</v>
      </c>
      <c r="I585">
        <f>Koond_kulud!I618</f>
        <v>0</v>
      </c>
      <c r="J585">
        <f>Koond_kulud!J618</f>
        <v>5500</v>
      </c>
      <c r="K585" t="str">
        <f>Koond_kulud!K618</f>
        <v>Administreerimiskulud</v>
      </c>
      <c r="L585">
        <f>Koond_kulud!L618</f>
        <v>55</v>
      </c>
      <c r="M585" t="str">
        <f>Koond_kulud!M618</f>
        <v>55</v>
      </c>
      <c r="N585" t="str">
        <f>Koond_kulud!N618</f>
        <v>Muud tegevuskulud</v>
      </c>
      <c r="O585" t="str">
        <f>Koond_kulud!O618</f>
        <v>Majandamiskulud</v>
      </c>
      <c r="P585" t="str">
        <f>Koond_kulud!P618</f>
        <v>Põhitegevuse kulu</v>
      </c>
      <c r="Q585">
        <f>Koond_kulud!Q618</f>
        <v>0</v>
      </c>
    </row>
    <row r="586" spans="1:17" hidden="1" x14ac:dyDescent="0.25">
      <c r="A586" t="str">
        <f>Koond_kulud!A619</f>
        <v>09</v>
      </c>
      <c r="B586" t="str">
        <f>Koond_kulud!B619</f>
        <v xml:space="preserve">0911002         </v>
      </c>
      <c r="C586" t="str">
        <f>Koond_kulud!C619</f>
        <v xml:space="preserve"> Pajusti Lasteaed</v>
      </c>
      <c r="D586" t="str">
        <f>Koond_kulud!D619</f>
        <v>Alusharidus</v>
      </c>
      <c r="E586" t="str">
        <f>Koond_kulud!E619</f>
        <v>Haridus</v>
      </c>
      <c r="F586" t="str">
        <f>Koond_kulud!F619</f>
        <v>Pajusti lasteaed</v>
      </c>
      <c r="G586" t="str">
        <f>Koond_kulud!G619</f>
        <v>kuulutused/ postikulu</v>
      </c>
      <c r="H586">
        <f>Koond_kulud!H619</f>
        <v>60</v>
      </c>
      <c r="I586">
        <f>Koond_kulud!I619</f>
        <v>0</v>
      </c>
      <c r="J586">
        <f>Koond_kulud!J619</f>
        <v>5500</v>
      </c>
      <c r="K586" t="str">
        <f>Koond_kulud!K619</f>
        <v>Administreerimiskulud</v>
      </c>
      <c r="L586">
        <f>Koond_kulud!L619</f>
        <v>55</v>
      </c>
      <c r="M586" t="str">
        <f>Koond_kulud!M619</f>
        <v>55</v>
      </c>
      <c r="N586" t="str">
        <f>Koond_kulud!N619</f>
        <v>Muud tegevuskulud</v>
      </c>
      <c r="O586" t="str">
        <f>Koond_kulud!O619</f>
        <v>Majandamiskulud</v>
      </c>
      <c r="P586" t="str">
        <f>Koond_kulud!P619</f>
        <v>Põhitegevuse kulu</v>
      </c>
      <c r="Q586">
        <f>Koond_kulud!Q619</f>
        <v>0</v>
      </c>
    </row>
    <row r="587" spans="1:17" hidden="1" x14ac:dyDescent="0.25">
      <c r="A587" t="str">
        <f>Koond_kulud!A620</f>
        <v>09</v>
      </c>
      <c r="B587" t="str">
        <f>Koond_kulud!B620</f>
        <v xml:space="preserve">0911002         </v>
      </c>
      <c r="C587" t="str">
        <f>Koond_kulud!C620</f>
        <v xml:space="preserve"> Pajusti Lasteaed</v>
      </c>
      <c r="D587" t="str">
        <f>Koond_kulud!D620</f>
        <v>Alusharidus</v>
      </c>
      <c r="E587" t="str">
        <f>Koond_kulud!E620</f>
        <v>Haridus</v>
      </c>
      <c r="F587" t="str">
        <f>Koond_kulud!F620</f>
        <v>Pajusti lasteaed</v>
      </c>
      <c r="G587" t="str">
        <f>Koond_kulud!G620</f>
        <v>printerite tahmad</v>
      </c>
      <c r="H587">
        <f>Koond_kulud!H620</f>
        <v>500</v>
      </c>
      <c r="I587">
        <f>Koond_kulud!I620</f>
        <v>0</v>
      </c>
      <c r="J587">
        <f>Koond_kulud!J620</f>
        <v>5500</v>
      </c>
      <c r="K587" t="str">
        <f>Koond_kulud!K620</f>
        <v>Administreerimiskulud</v>
      </c>
      <c r="L587">
        <f>Koond_kulud!L620</f>
        <v>55</v>
      </c>
      <c r="M587" t="str">
        <f>Koond_kulud!M620</f>
        <v>55</v>
      </c>
      <c r="N587" t="str">
        <f>Koond_kulud!N620</f>
        <v>Muud tegevuskulud</v>
      </c>
      <c r="O587" t="str">
        <f>Koond_kulud!O620</f>
        <v>Majandamiskulud</v>
      </c>
      <c r="P587" t="str">
        <f>Koond_kulud!P620</f>
        <v>Põhitegevuse kulu</v>
      </c>
      <c r="Q587">
        <f>Koond_kulud!Q620</f>
        <v>0</v>
      </c>
    </row>
    <row r="588" spans="1:17" hidden="1" x14ac:dyDescent="0.25">
      <c r="A588" t="str">
        <f>Koond_kulud!A621</f>
        <v>09</v>
      </c>
      <c r="B588" t="str">
        <f>Koond_kulud!B621</f>
        <v xml:space="preserve">0911002         </v>
      </c>
      <c r="C588" t="str">
        <f>Koond_kulud!C621</f>
        <v xml:space="preserve"> Pajusti Lasteaed</v>
      </c>
      <c r="D588" t="str">
        <f>Koond_kulud!D621</f>
        <v>Alusharidus</v>
      </c>
      <c r="E588" t="str">
        <f>Koond_kulud!E621</f>
        <v>Haridus</v>
      </c>
      <c r="F588" t="str">
        <f>Koond_kulud!F621</f>
        <v>Pajusti lasteaed</v>
      </c>
      <c r="G588" t="str">
        <f>Koond_kulud!G621</f>
        <v>Koolitused</v>
      </c>
      <c r="H588">
        <f>Koond_kulud!H621</f>
        <v>300</v>
      </c>
      <c r="I588">
        <f>Koond_kulud!I621</f>
        <v>0</v>
      </c>
      <c r="J588">
        <f>Koond_kulud!J621</f>
        <v>5504</v>
      </c>
      <c r="K588" t="str">
        <f>Koond_kulud!K621</f>
        <v>Koolituskulud</v>
      </c>
      <c r="L588">
        <f>Koond_kulud!L621</f>
        <v>55</v>
      </c>
      <c r="M588" t="str">
        <f>Koond_kulud!M621</f>
        <v>55</v>
      </c>
      <c r="N588" t="str">
        <f>Koond_kulud!N621</f>
        <v>Muud tegevuskulud</v>
      </c>
      <c r="O588" t="str">
        <f>Koond_kulud!O621</f>
        <v>Majandamiskulud</v>
      </c>
      <c r="P588" t="str">
        <f>Koond_kulud!P621</f>
        <v>Põhitegevuse kulu</v>
      </c>
      <c r="Q588">
        <f>Koond_kulud!Q621</f>
        <v>0</v>
      </c>
    </row>
    <row r="589" spans="1:17" hidden="1" x14ac:dyDescent="0.25">
      <c r="A589" t="str">
        <f>Koond_kulud!A622</f>
        <v>09</v>
      </c>
      <c r="B589" t="str">
        <f>Koond_kulud!B622</f>
        <v xml:space="preserve">0911002         </v>
      </c>
      <c r="C589" t="str">
        <f>Koond_kulud!C622</f>
        <v xml:space="preserve"> Pajusti Lasteaed</v>
      </c>
      <c r="D589" t="str">
        <f>Koond_kulud!D622</f>
        <v>Alusharidus</v>
      </c>
      <c r="E589" t="str">
        <f>Koond_kulud!E622</f>
        <v>Haridus</v>
      </c>
      <c r="F589" t="str">
        <f>Koond_kulud!F622</f>
        <v>Pajusti lasteaed</v>
      </c>
      <c r="G589" t="str">
        <f>Koond_kulud!G622</f>
        <v>isikliku sõiduauto kasutus</v>
      </c>
      <c r="H589">
        <f>Koond_kulud!H622</f>
        <v>704</v>
      </c>
      <c r="I589" t="str">
        <f>Koond_kulud!I622</f>
        <v>64.- x 11 kuud</v>
      </c>
      <c r="J589">
        <f>Koond_kulud!J622</f>
        <v>5513</v>
      </c>
      <c r="K589" t="str">
        <f>Koond_kulud!K622</f>
        <v>Sõidukite ülalpidamise kulud</v>
      </c>
      <c r="L589">
        <f>Koond_kulud!L622</f>
        <v>55</v>
      </c>
      <c r="M589" t="str">
        <f>Koond_kulud!M622</f>
        <v>55</v>
      </c>
      <c r="N589" t="str">
        <f>Koond_kulud!N622</f>
        <v>Muud tegevuskulud</v>
      </c>
      <c r="O589" t="str">
        <f>Koond_kulud!O622</f>
        <v>Majandamiskulud</v>
      </c>
      <c r="P589" t="str">
        <f>Koond_kulud!P622</f>
        <v>Põhitegevuse kulu</v>
      </c>
      <c r="Q589">
        <f>Koond_kulud!Q622</f>
        <v>0</v>
      </c>
    </row>
    <row r="590" spans="1:17" hidden="1" x14ac:dyDescent="0.25">
      <c r="A590" t="str">
        <f>Koond_kulud!A623</f>
        <v>09</v>
      </c>
      <c r="B590" t="str">
        <f>Koond_kulud!B623</f>
        <v xml:space="preserve">0911002         </v>
      </c>
      <c r="C590" t="str">
        <f>Koond_kulud!C623</f>
        <v xml:space="preserve"> Pajusti Lasteaed</v>
      </c>
      <c r="D590" t="str">
        <f>Koond_kulud!D623</f>
        <v>Alusharidus</v>
      </c>
      <c r="E590" t="str">
        <f>Koond_kulud!E623</f>
        <v>Haridus</v>
      </c>
      <c r="F590" t="str">
        <f>Koond_kulud!F623</f>
        <v>Pajusti lasteaed</v>
      </c>
      <c r="G590" t="str">
        <f>Koond_kulud!G623</f>
        <v>rulood 2 rühma</v>
      </c>
      <c r="H590">
        <f>Koond_kulud!H623</f>
        <v>600</v>
      </c>
      <c r="I590">
        <f>Koond_kulud!I623</f>
        <v>0</v>
      </c>
      <c r="J590">
        <f>Koond_kulud!J623</f>
        <v>5515</v>
      </c>
      <c r="K590" t="str">
        <f>Koond_kulud!K623</f>
        <v>Inventari kulud, v.a infotehnoloogia ja kaitseotstarbelised kulud</v>
      </c>
      <c r="L590">
        <f>Koond_kulud!L623</f>
        <v>55</v>
      </c>
      <c r="M590" t="str">
        <f>Koond_kulud!M623</f>
        <v>55</v>
      </c>
      <c r="N590" t="str">
        <f>Koond_kulud!N623</f>
        <v>Muud tegevuskulud</v>
      </c>
      <c r="O590" t="str">
        <f>Koond_kulud!O623</f>
        <v>Majandamiskulud</v>
      </c>
      <c r="P590" t="str">
        <f>Koond_kulud!P623</f>
        <v>Põhitegevuse kulu</v>
      </c>
      <c r="Q590">
        <f>Koond_kulud!Q623</f>
        <v>0</v>
      </c>
    </row>
    <row r="591" spans="1:17" hidden="1" x14ac:dyDescent="0.25">
      <c r="A591" t="str">
        <f>Koond_kulud!A624</f>
        <v>09</v>
      </c>
      <c r="B591" t="str">
        <f>Koond_kulud!B624</f>
        <v xml:space="preserve">0911002         </v>
      </c>
      <c r="C591" t="str">
        <f>Koond_kulud!C624</f>
        <v xml:space="preserve"> Pajusti Lasteaed</v>
      </c>
      <c r="D591" t="str">
        <f>Koond_kulud!D624</f>
        <v>Alusharidus</v>
      </c>
      <c r="E591" t="str">
        <f>Koond_kulud!E624</f>
        <v>Haridus</v>
      </c>
      <c r="F591" t="str">
        <f>Koond_kulud!F624</f>
        <v>Pajusti lasteaed</v>
      </c>
      <c r="G591" t="str">
        <f>Koond_kulud!G624</f>
        <v>klaveri häälestamine</v>
      </c>
      <c r="H591">
        <f>Koond_kulud!H624</f>
        <v>140</v>
      </c>
      <c r="I591">
        <f>Koond_kulud!I624</f>
        <v>0</v>
      </c>
      <c r="J591">
        <f>Koond_kulud!J624</f>
        <v>5515</v>
      </c>
      <c r="K591" t="str">
        <f>Koond_kulud!K624</f>
        <v>Inventari kulud, v.a infotehnoloogia ja kaitseotstarbelised kulud</v>
      </c>
      <c r="L591">
        <f>Koond_kulud!L624</f>
        <v>55</v>
      </c>
      <c r="M591" t="str">
        <f>Koond_kulud!M624</f>
        <v>55</v>
      </c>
      <c r="N591" t="str">
        <f>Koond_kulud!N624</f>
        <v>Muud tegevuskulud</v>
      </c>
      <c r="O591" t="str">
        <f>Koond_kulud!O624</f>
        <v>Majandamiskulud</v>
      </c>
      <c r="P591" t="str">
        <f>Koond_kulud!P624</f>
        <v>Põhitegevuse kulu</v>
      </c>
      <c r="Q591">
        <f>Koond_kulud!Q624</f>
        <v>0</v>
      </c>
    </row>
    <row r="592" spans="1:17" hidden="1" x14ac:dyDescent="0.25">
      <c r="A592" t="str">
        <f>Koond_kulud!A625</f>
        <v>09</v>
      </c>
      <c r="B592" t="str">
        <f>Koond_kulud!B625</f>
        <v xml:space="preserve">0911002         </v>
      </c>
      <c r="C592" t="str">
        <f>Koond_kulud!C625</f>
        <v xml:space="preserve"> Pajusti Lasteaed</v>
      </c>
      <c r="D592" t="str">
        <f>Koond_kulud!D625</f>
        <v>Alusharidus</v>
      </c>
      <c r="E592" t="str">
        <f>Koond_kulud!E625</f>
        <v>Haridus</v>
      </c>
      <c r="F592" t="str">
        <f>Koond_kulud!F625</f>
        <v>Pajusti lasteaed</v>
      </c>
      <c r="G592" t="str">
        <f>Koond_kulud!G625</f>
        <v xml:space="preserve">toiduained </v>
      </c>
      <c r="H592">
        <f>Koond_kulud!H625</f>
        <v>6500</v>
      </c>
      <c r="I592" t="str">
        <f>Koond_kulud!I625</f>
        <v>5483 toidupäeva (so 55%) x1.15</v>
      </c>
      <c r="J592">
        <f>Koond_kulud!J625</f>
        <v>5521</v>
      </c>
      <c r="K592" t="str">
        <f>Koond_kulud!K625</f>
        <v>Toiduained ja toitlustusteenused</v>
      </c>
      <c r="L592">
        <f>Koond_kulud!L625</f>
        <v>55</v>
      </c>
      <c r="M592" t="str">
        <f>Koond_kulud!M625</f>
        <v>55</v>
      </c>
      <c r="N592" t="str">
        <f>Koond_kulud!N625</f>
        <v>Muud tegevuskulud</v>
      </c>
      <c r="O592" t="str">
        <f>Koond_kulud!O625</f>
        <v>Majandamiskulud</v>
      </c>
      <c r="P592" t="str">
        <f>Koond_kulud!P625</f>
        <v>Põhitegevuse kulu</v>
      </c>
      <c r="Q592">
        <f>Koond_kulud!Q625</f>
        <v>0</v>
      </c>
    </row>
    <row r="593" spans="1:17" hidden="1" x14ac:dyDescent="0.25">
      <c r="A593" t="str">
        <f>Koond_kulud!A626</f>
        <v>09</v>
      </c>
      <c r="B593" t="str">
        <f>Koond_kulud!B626</f>
        <v xml:space="preserve">0911002         </v>
      </c>
      <c r="C593" t="str">
        <f>Koond_kulud!C626</f>
        <v xml:space="preserve"> Pajusti Lasteaed</v>
      </c>
      <c r="D593" t="str">
        <f>Koond_kulud!D626</f>
        <v>Alusharidus</v>
      </c>
      <c r="E593" t="str">
        <f>Koond_kulud!E626</f>
        <v>Haridus</v>
      </c>
      <c r="F593" t="str">
        <f>Koond_kulud!F626</f>
        <v>Pajusti lasteaed</v>
      </c>
      <c r="G593" t="str">
        <f>Koond_kulud!G626</f>
        <v>töötajate tervisetõendid, esmaabivahendid</v>
      </c>
      <c r="H593">
        <f>Koond_kulud!H626</f>
        <v>80</v>
      </c>
      <c r="I593">
        <f>Koond_kulud!I626</f>
        <v>0</v>
      </c>
      <c r="J593">
        <f>Koond_kulud!J626</f>
        <v>5522</v>
      </c>
      <c r="K593" t="str">
        <f>Koond_kulud!K626</f>
        <v>Meditsiinikulud ja hügieenitarbed</v>
      </c>
      <c r="L593">
        <f>Koond_kulud!L626</f>
        <v>55</v>
      </c>
      <c r="M593" t="str">
        <f>Koond_kulud!M626</f>
        <v>55</v>
      </c>
      <c r="N593" t="str">
        <f>Koond_kulud!N626</f>
        <v>Muud tegevuskulud</v>
      </c>
      <c r="O593" t="str">
        <f>Koond_kulud!O626</f>
        <v>Majandamiskulud</v>
      </c>
      <c r="P593" t="str">
        <f>Koond_kulud!P626</f>
        <v>Põhitegevuse kulu</v>
      </c>
      <c r="Q593">
        <f>Koond_kulud!Q626</f>
        <v>0</v>
      </c>
    </row>
    <row r="594" spans="1:17" hidden="1" x14ac:dyDescent="0.25">
      <c r="A594" t="str">
        <f>Koond_kulud!A627</f>
        <v>09</v>
      </c>
      <c r="B594" t="str">
        <f>Koond_kulud!B627</f>
        <v xml:space="preserve">0911002         </v>
      </c>
      <c r="C594" t="str">
        <f>Koond_kulud!C627</f>
        <v xml:space="preserve"> Pajusti Lasteaed</v>
      </c>
      <c r="D594" t="str">
        <f>Koond_kulud!D627</f>
        <v>Alusharidus</v>
      </c>
      <c r="E594" t="str">
        <f>Koond_kulud!E627</f>
        <v>Haridus</v>
      </c>
      <c r="F594" t="str">
        <f>Koond_kulud!F627</f>
        <v>Pajusti lasteaed</v>
      </c>
      <c r="G594" t="str">
        <f>Koond_kulud!G627</f>
        <v>töövihikud, raamatud, mänguasjad, metoodilised vahendid ja kirjandus</v>
      </c>
      <c r="H594">
        <f>Koond_kulud!H627</f>
        <v>4800</v>
      </c>
      <c r="I594">
        <f>Koond_kulud!I627</f>
        <v>0</v>
      </c>
      <c r="J594">
        <f>Koond_kulud!J627</f>
        <v>5524</v>
      </c>
      <c r="K594" t="str">
        <f>Koond_kulud!K627</f>
        <v>Õppevahendid</v>
      </c>
      <c r="L594">
        <f>Koond_kulud!L627</f>
        <v>55</v>
      </c>
      <c r="M594" t="str">
        <f>Koond_kulud!M627</f>
        <v>55</v>
      </c>
      <c r="N594" t="str">
        <f>Koond_kulud!N627</f>
        <v>Muud tegevuskulud</v>
      </c>
      <c r="O594" t="str">
        <f>Koond_kulud!O627</f>
        <v>Majandamiskulud</v>
      </c>
      <c r="P594" t="str">
        <f>Koond_kulud!P627</f>
        <v>Põhitegevuse kulu</v>
      </c>
      <c r="Q594">
        <f>Koond_kulud!Q627</f>
        <v>0</v>
      </c>
    </row>
    <row r="595" spans="1:17" hidden="1" x14ac:dyDescent="0.25">
      <c r="A595" t="str">
        <f>Koond_kulud!A628</f>
        <v>09</v>
      </c>
      <c r="B595" t="str">
        <f>Koond_kulud!B628</f>
        <v xml:space="preserve">0911002         </v>
      </c>
      <c r="C595" t="str">
        <f>Koond_kulud!C628</f>
        <v xml:space="preserve"> Pajusti Lasteaed</v>
      </c>
      <c r="D595" t="str">
        <f>Koond_kulud!D628</f>
        <v>Alusharidus</v>
      </c>
      <c r="E595" t="str">
        <f>Koond_kulud!E628</f>
        <v>Haridus</v>
      </c>
      <c r="F595" t="str">
        <f>Koond_kulud!F628</f>
        <v>Pajusti lasteaed</v>
      </c>
      <c r="G595" t="str">
        <f>Koond_kulud!G628</f>
        <v>üritused</v>
      </c>
      <c r="H595">
        <f>Koond_kulud!H628</f>
        <v>200</v>
      </c>
      <c r="I595">
        <f>Koond_kulud!I628</f>
        <v>0</v>
      </c>
      <c r="J595">
        <f>Koond_kulud!J628</f>
        <v>5525</v>
      </c>
      <c r="K595" t="str">
        <f>Koond_kulud!K628</f>
        <v>Kommunikatsiooni-, kultuuri- ja vaba aja sisustamise kulud</v>
      </c>
      <c r="L595">
        <f>Koond_kulud!L628</f>
        <v>55</v>
      </c>
      <c r="M595" t="str">
        <f>Koond_kulud!M628</f>
        <v>55</v>
      </c>
      <c r="N595" t="str">
        <f>Koond_kulud!N628</f>
        <v>Muud tegevuskulud</v>
      </c>
      <c r="O595" t="str">
        <f>Koond_kulud!O628</f>
        <v>Majandamiskulud</v>
      </c>
      <c r="P595" t="str">
        <f>Koond_kulud!P628</f>
        <v>Põhitegevuse kulu</v>
      </c>
      <c r="Q595">
        <f>Koond_kulud!Q628</f>
        <v>0</v>
      </c>
    </row>
    <row r="596" spans="1:17" hidden="1" x14ac:dyDescent="0.25">
      <c r="A596" t="str">
        <f>Koond_kulud!A629</f>
        <v>09</v>
      </c>
      <c r="B596" t="str">
        <f>Koond_kulud!B629</f>
        <v xml:space="preserve">0911002         </v>
      </c>
      <c r="C596" t="str">
        <f>Koond_kulud!C629</f>
        <v xml:space="preserve"> Pajusti Lasteaed</v>
      </c>
      <c r="D596" t="str">
        <f>Koond_kulud!D629</f>
        <v>Alusharidus</v>
      </c>
      <c r="E596" t="str">
        <f>Koond_kulud!E629</f>
        <v>Haridus</v>
      </c>
      <c r="F596" t="str">
        <f>Koond_kulud!F629</f>
        <v>Pajusti lasteaed</v>
      </c>
      <c r="G596" t="str">
        <f>Koond_kulud!G629</f>
        <v>laste õppereisid</v>
      </c>
      <c r="H596">
        <f>Koond_kulud!H629</f>
        <v>350</v>
      </c>
      <c r="I596">
        <f>Koond_kulud!I629</f>
        <v>0</v>
      </c>
      <c r="J596">
        <f>Koond_kulud!J629</f>
        <v>5525</v>
      </c>
      <c r="K596" t="str">
        <f>Koond_kulud!K629</f>
        <v>Kommunikatsiooni-, kultuuri- ja vaba aja sisustamise kulud</v>
      </c>
      <c r="L596">
        <f>Koond_kulud!L629</f>
        <v>55</v>
      </c>
      <c r="M596" t="str">
        <f>Koond_kulud!M629</f>
        <v>55</v>
      </c>
      <c r="N596" t="str">
        <f>Koond_kulud!N629</f>
        <v>Muud tegevuskulud</v>
      </c>
      <c r="O596" t="str">
        <f>Koond_kulud!O629</f>
        <v>Majandamiskulud</v>
      </c>
      <c r="P596" t="str">
        <f>Koond_kulud!P629</f>
        <v>Põhitegevuse kulu</v>
      </c>
      <c r="Q596">
        <f>Koond_kulud!Q629</f>
        <v>0</v>
      </c>
    </row>
    <row r="597" spans="1:17" hidden="1" x14ac:dyDescent="0.25">
      <c r="A597" t="str">
        <f>Koond_kulud!A630</f>
        <v>09</v>
      </c>
      <c r="B597" t="str">
        <f>Koond_kulud!B630</f>
        <v xml:space="preserve">0911002         </v>
      </c>
      <c r="C597" t="str">
        <f>Koond_kulud!C630</f>
        <v xml:space="preserve"> Pajusti Lasteaed</v>
      </c>
      <c r="D597" t="str">
        <f>Koond_kulud!D630</f>
        <v>Alusharidus</v>
      </c>
      <c r="E597" t="str">
        <f>Koond_kulud!E630</f>
        <v>Haridus</v>
      </c>
      <c r="F597" t="str">
        <f>Koond_kulud!F630</f>
        <v>Pajusti lasteaed</v>
      </c>
      <c r="G597" t="str">
        <f>Koond_kulud!G630</f>
        <v>küte</v>
      </c>
      <c r="H597">
        <f>Koond_kulud!H630</f>
        <v>6951</v>
      </c>
      <c r="I597" t="str">
        <f>Koond_kulud!I630</f>
        <v>77,2x90MVH</v>
      </c>
      <c r="J597">
        <f>Koond_kulud!J630</f>
        <v>5511</v>
      </c>
      <c r="K597" t="str">
        <f>Koond_kulud!K630</f>
        <v>Kinnistute, hoonete ja ruumide majandamiskulud</v>
      </c>
      <c r="L597">
        <f>Koond_kulud!L630</f>
        <v>55</v>
      </c>
      <c r="M597" t="str">
        <f>Koond_kulud!M630</f>
        <v>55</v>
      </c>
      <c r="N597" t="str">
        <f>Koond_kulud!N630</f>
        <v>Muud tegevuskulud</v>
      </c>
      <c r="O597" t="str">
        <f>Koond_kulud!O630</f>
        <v>Majandamiskulud</v>
      </c>
      <c r="P597" t="str">
        <f>Koond_kulud!P630</f>
        <v>Põhitegevuse kulu</v>
      </c>
      <c r="Q597">
        <f>Koond_kulud!Q630</f>
        <v>0</v>
      </c>
    </row>
    <row r="598" spans="1:17" hidden="1" x14ac:dyDescent="0.25">
      <c r="A598" t="str">
        <f>Koond_kulud!A631</f>
        <v>09</v>
      </c>
      <c r="B598" t="str">
        <f>Koond_kulud!B631</f>
        <v xml:space="preserve">0911002         </v>
      </c>
      <c r="C598" t="str">
        <f>Koond_kulud!C631</f>
        <v xml:space="preserve"> Pajusti Lasteaed</v>
      </c>
      <c r="D598" t="str">
        <f>Koond_kulud!D631</f>
        <v>Alusharidus</v>
      </c>
      <c r="E598" t="str">
        <f>Koond_kulud!E631</f>
        <v>Haridus</v>
      </c>
      <c r="F598" t="str">
        <f>Koond_kulud!F631</f>
        <v>Pajusti lasteaed</v>
      </c>
      <c r="G598" t="str">
        <f>Koond_kulud!G631</f>
        <v>elekter</v>
      </c>
      <c r="H598">
        <f>Koond_kulud!H631</f>
        <v>2860</v>
      </c>
      <c r="I598" t="str">
        <f>Koond_kulud!I631</f>
        <v>2018.a.+ 10%</v>
      </c>
      <c r="J598">
        <f>Koond_kulud!J631</f>
        <v>5511</v>
      </c>
      <c r="K598" t="str">
        <f>Koond_kulud!K631</f>
        <v>Kinnistute, hoonete ja ruumide majandamiskulud</v>
      </c>
      <c r="L598">
        <f>Koond_kulud!L631</f>
        <v>55</v>
      </c>
      <c r="M598" t="str">
        <f>Koond_kulud!M631</f>
        <v>55</v>
      </c>
      <c r="N598" t="str">
        <f>Koond_kulud!N631</f>
        <v>Muud tegevuskulud</v>
      </c>
      <c r="O598" t="str">
        <f>Koond_kulud!O631</f>
        <v>Majandamiskulud</v>
      </c>
      <c r="P598" t="str">
        <f>Koond_kulud!P631</f>
        <v>Põhitegevuse kulu</v>
      </c>
      <c r="Q598">
        <f>Koond_kulud!Q631</f>
        <v>0</v>
      </c>
    </row>
    <row r="599" spans="1:17" hidden="1" x14ac:dyDescent="0.25">
      <c r="A599" t="str">
        <f>Koond_kulud!A632</f>
        <v>09</v>
      </c>
      <c r="B599" t="str">
        <f>Koond_kulud!B632</f>
        <v xml:space="preserve">0911002         </v>
      </c>
      <c r="C599" t="str">
        <f>Koond_kulud!C632</f>
        <v xml:space="preserve"> Pajusti Lasteaed</v>
      </c>
      <c r="D599" t="str">
        <f>Koond_kulud!D632</f>
        <v>Alusharidus</v>
      </c>
      <c r="E599" t="str">
        <f>Koond_kulud!E632</f>
        <v>Haridus</v>
      </c>
      <c r="F599" t="str">
        <f>Koond_kulud!F632</f>
        <v>Pajusti lasteaed</v>
      </c>
      <c r="G599" t="str">
        <f>Koond_kulud!G632</f>
        <v>vesi ja kanalisatsioon</v>
      </c>
      <c r="H599">
        <f>Koond_kulud!H632</f>
        <v>927</v>
      </c>
      <c r="I599" t="str">
        <f>Koond_kulud!I632</f>
        <v>2,376 eur x 390m3</v>
      </c>
      <c r="J599">
        <f>Koond_kulud!J632</f>
        <v>5511</v>
      </c>
      <c r="K599" t="str">
        <f>Koond_kulud!K632</f>
        <v>Kinnistute, hoonete ja ruumide majandamiskulud</v>
      </c>
      <c r="L599">
        <f>Koond_kulud!L632</f>
        <v>55</v>
      </c>
      <c r="M599" t="str">
        <f>Koond_kulud!M632</f>
        <v>55</v>
      </c>
      <c r="N599" t="str">
        <f>Koond_kulud!N632</f>
        <v>Muud tegevuskulud</v>
      </c>
      <c r="O599" t="str">
        <f>Koond_kulud!O632</f>
        <v>Majandamiskulud</v>
      </c>
      <c r="P599" t="str">
        <f>Koond_kulud!P632</f>
        <v>Põhitegevuse kulu</v>
      </c>
      <c r="Q599">
        <f>Koond_kulud!Q632</f>
        <v>0</v>
      </c>
    </row>
    <row r="600" spans="1:17" hidden="1" x14ac:dyDescent="0.25">
      <c r="A600" t="str">
        <f>Koond_kulud!A633</f>
        <v>09</v>
      </c>
      <c r="B600" t="str">
        <f>Koond_kulud!B633</f>
        <v xml:space="preserve">0911002         </v>
      </c>
      <c r="C600" t="str">
        <f>Koond_kulud!C633</f>
        <v xml:space="preserve"> Pajusti Lasteaed</v>
      </c>
      <c r="D600" t="str">
        <f>Koond_kulud!D633</f>
        <v>Alusharidus</v>
      </c>
      <c r="E600" t="str">
        <f>Koond_kulud!E633</f>
        <v>Haridus</v>
      </c>
      <c r="F600" t="str">
        <f>Koond_kulud!F633</f>
        <v>Pajusti lasteaed</v>
      </c>
      <c r="G600" t="str">
        <f>Koond_kulud!G633</f>
        <v>korrashoiuvahendid</v>
      </c>
      <c r="H600">
        <f>Koond_kulud!H633</f>
        <v>1300</v>
      </c>
      <c r="I600" t="str">
        <f>Koond_kulud!I633</f>
        <v>puhastusvahendid, lapid, mopid, paber</v>
      </c>
      <c r="J600">
        <f>Koond_kulud!J633</f>
        <v>5511</v>
      </c>
      <c r="K600" t="str">
        <f>Koond_kulud!K633</f>
        <v>Kinnistute, hoonete ja ruumide majandamiskulud</v>
      </c>
      <c r="L600">
        <f>Koond_kulud!L633</f>
        <v>55</v>
      </c>
      <c r="M600" t="str">
        <f>Koond_kulud!M633</f>
        <v>55</v>
      </c>
      <c r="N600" t="str">
        <f>Koond_kulud!N633</f>
        <v>Muud tegevuskulud</v>
      </c>
      <c r="O600" t="str">
        <f>Koond_kulud!O633</f>
        <v>Majandamiskulud</v>
      </c>
      <c r="P600" t="str">
        <f>Koond_kulud!P633</f>
        <v>Põhitegevuse kulu</v>
      </c>
      <c r="Q600">
        <f>Koond_kulud!Q633</f>
        <v>0</v>
      </c>
    </row>
    <row r="601" spans="1:17" hidden="1" x14ac:dyDescent="0.25">
      <c r="A601" t="str">
        <f>Koond_kulud!A634</f>
        <v>09</v>
      </c>
      <c r="B601" t="str">
        <f>Koond_kulud!B634</f>
        <v xml:space="preserve">0911002         </v>
      </c>
      <c r="C601" t="str">
        <f>Koond_kulud!C634</f>
        <v xml:space="preserve"> Pajusti Lasteaed</v>
      </c>
      <c r="D601" t="str">
        <f>Koond_kulud!D634</f>
        <v>Alusharidus</v>
      </c>
      <c r="E601" t="str">
        <f>Koond_kulud!E634</f>
        <v>Haridus</v>
      </c>
      <c r="F601" t="str">
        <f>Koond_kulud!F634</f>
        <v>Pajusti lasteaed</v>
      </c>
      <c r="G601" t="str">
        <f>Koond_kulud!G634</f>
        <v>ATS hooldus</v>
      </c>
      <c r="H601">
        <f>Koond_kulud!H634</f>
        <v>184</v>
      </c>
      <c r="I601" t="str">
        <f>Koond_kulud!I634</f>
        <v>46x 4 kvartalit</v>
      </c>
      <c r="J601">
        <f>Koond_kulud!J634</f>
        <v>5511</v>
      </c>
      <c r="K601" t="str">
        <f>Koond_kulud!K634</f>
        <v>Kinnistute, hoonete ja ruumide majandamiskulud</v>
      </c>
      <c r="L601">
        <f>Koond_kulud!L634</f>
        <v>55</v>
      </c>
      <c r="M601" t="str">
        <f>Koond_kulud!M634</f>
        <v>55</v>
      </c>
      <c r="N601" t="str">
        <f>Koond_kulud!N634</f>
        <v>Muud tegevuskulud</v>
      </c>
      <c r="O601" t="str">
        <f>Koond_kulud!O634</f>
        <v>Majandamiskulud</v>
      </c>
      <c r="P601" t="str">
        <f>Koond_kulud!P634</f>
        <v>Põhitegevuse kulu</v>
      </c>
      <c r="Q601">
        <f>Koond_kulud!Q634</f>
        <v>0</v>
      </c>
    </row>
    <row r="602" spans="1:17" hidden="1" x14ac:dyDescent="0.25">
      <c r="A602" t="str">
        <f>Koond_kulud!A635</f>
        <v>09</v>
      </c>
      <c r="B602" t="str">
        <f>Koond_kulud!B635</f>
        <v xml:space="preserve">0911002         </v>
      </c>
      <c r="C602" t="str">
        <f>Koond_kulud!C635</f>
        <v xml:space="preserve"> Pajusti Lasteaed</v>
      </c>
      <c r="D602" t="str">
        <f>Koond_kulud!D635</f>
        <v>Alusharidus</v>
      </c>
      <c r="E602" t="str">
        <f>Koond_kulud!E635</f>
        <v>Haridus</v>
      </c>
      <c r="F602" t="str">
        <f>Koond_kulud!F635</f>
        <v>Pajusti lasteaed</v>
      </c>
      <c r="G602" t="str">
        <f>Koond_kulud!G635</f>
        <v>pesupesemise teenus</v>
      </c>
      <c r="H602">
        <f>Koond_kulud!H635</f>
        <v>540</v>
      </c>
      <c r="I602" t="str">
        <f>Koond_kulud!I635</f>
        <v>45x 12 korda</v>
      </c>
      <c r="J602">
        <f>Koond_kulud!J635</f>
        <v>5511</v>
      </c>
      <c r="K602" t="str">
        <f>Koond_kulud!K635</f>
        <v>Kinnistute, hoonete ja ruumide majandamiskulud</v>
      </c>
      <c r="L602">
        <f>Koond_kulud!L635</f>
        <v>55</v>
      </c>
      <c r="M602" t="str">
        <f>Koond_kulud!M635</f>
        <v>55</v>
      </c>
      <c r="N602" t="str">
        <f>Koond_kulud!N635</f>
        <v>Muud tegevuskulud</v>
      </c>
      <c r="O602" t="str">
        <f>Koond_kulud!O635</f>
        <v>Majandamiskulud</v>
      </c>
      <c r="P602" t="str">
        <f>Koond_kulud!P635</f>
        <v>Põhitegevuse kulu</v>
      </c>
      <c r="Q602">
        <f>Koond_kulud!Q635</f>
        <v>0</v>
      </c>
    </row>
    <row r="603" spans="1:17" hidden="1" x14ac:dyDescent="0.25">
      <c r="A603" t="str">
        <f>Koond_kulud!A636</f>
        <v>09</v>
      </c>
      <c r="B603" t="str">
        <f>Koond_kulud!B636</f>
        <v xml:space="preserve">0911002         </v>
      </c>
      <c r="C603" t="str">
        <f>Koond_kulud!C636</f>
        <v xml:space="preserve"> Pajusti Lasteaed</v>
      </c>
      <c r="D603" t="str">
        <f>Koond_kulud!D636</f>
        <v>Alusharidus</v>
      </c>
      <c r="E603" t="str">
        <f>Koond_kulud!E636</f>
        <v>Haridus</v>
      </c>
      <c r="F603" t="str">
        <f>Koond_kulud!F636</f>
        <v>Pajusti lasteaed</v>
      </c>
      <c r="G603" t="str">
        <f>Koond_kulud!G636</f>
        <v>kanal.pumpade hooldus</v>
      </c>
      <c r="H603">
        <f>Koond_kulud!H636</f>
        <v>240</v>
      </c>
      <c r="I603" t="str">
        <f>Koond_kulud!I636</f>
        <v>60x 4 korda aastas</v>
      </c>
      <c r="J603">
        <f>Koond_kulud!J636</f>
        <v>5511</v>
      </c>
      <c r="K603" t="str">
        <f>Koond_kulud!K636</f>
        <v>Kinnistute, hoonete ja ruumide majandamiskulud</v>
      </c>
      <c r="L603">
        <f>Koond_kulud!L636</f>
        <v>55</v>
      </c>
      <c r="M603" t="str">
        <f>Koond_kulud!M636</f>
        <v>55</v>
      </c>
      <c r="N603" t="str">
        <f>Koond_kulud!N636</f>
        <v>Muud tegevuskulud</v>
      </c>
      <c r="O603" t="str">
        <f>Koond_kulud!O636</f>
        <v>Majandamiskulud</v>
      </c>
      <c r="P603" t="str">
        <f>Koond_kulud!P636</f>
        <v>Põhitegevuse kulu</v>
      </c>
      <c r="Q603">
        <f>Koond_kulud!Q636</f>
        <v>0</v>
      </c>
    </row>
    <row r="604" spans="1:17" hidden="1" x14ac:dyDescent="0.25">
      <c r="A604" t="str">
        <f>Koond_kulud!A637</f>
        <v>09</v>
      </c>
      <c r="B604" t="str">
        <f>Koond_kulud!B637</f>
        <v xml:space="preserve">0911002         </v>
      </c>
      <c r="C604" t="str">
        <f>Koond_kulud!C637</f>
        <v xml:space="preserve"> Pajusti Lasteaed</v>
      </c>
      <c r="D604" t="str">
        <f>Koond_kulud!D637</f>
        <v>Alusharidus</v>
      </c>
      <c r="E604" t="str">
        <f>Koond_kulud!E637</f>
        <v>Haridus</v>
      </c>
      <c r="F604" t="str">
        <f>Koond_kulud!F637</f>
        <v>Pajusti lasteaed</v>
      </c>
      <c r="G604" t="str">
        <f>Koond_kulud!G637</f>
        <v>prügivedu ja konteineri rent</v>
      </c>
      <c r="H604">
        <f>Koond_kulud!H637</f>
        <v>117</v>
      </c>
      <c r="I604" t="str">
        <f>Koond_kulud!I637</f>
        <v>R-S 3.86 J 5.84x12 kuud</v>
      </c>
      <c r="J604">
        <f>Koond_kulud!J637</f>
        <v>5511</v>
      </c>
      <c r="K604" t="str">
        <f>Koond_kulud!K637</f>
        <v>Kinnistute, hoonete ja ruumide majandamiskulud</v>
      </c>
      <c r="L604">
        <f>Koond_kulud!L637</f>
        <v>55</v>
      </c>
      <c r="M604" t="str">
        <f>Koond_kulud!M637</f>
        <v>55</v>
      </c>
      <c r="N604" t="str">
        <f>Koond_kulud!N637</f>
        <v>Muud tegevuskulud</v>
      </c>
      <c r="O604" t="str">
        <f>Koond_kulud!O637</f>
        <v>Majandamiskulud</v>
      </c>
      <c r="P604" t="str">
        <f>Koond_kulud!P637</f>
        <v>Põhitegevuse kulu</v>
      </c>
      <c r="Q604">
        <f>Koond_kulud!Q637</f>
        <v>0</v>
      </c>
    </row>
    <row r="605" spans="1:17" hidden="1" x14ac:dyDescent="0.25">
      <c r="A605" t="str">
        <f>Koond_kulud!A638</f>
        <v>09</v>
      </c>
      <c r="B605" t="str">
        <f>Koond_kulud!B638</f>
        <v xml:space="preserve">0911002         </v>
      </c>
      <c r="C605" t="str">
        <f>Koond_kulud!C638</f>
        <v xml:space="preserve"> Pajusti Lasteaed</v>
      </c>
      <c r="D605" t="str">
        <f>Koond_kulud!D638</f>
        <v>Alusharidus</v>
      </c>
      <c r="E605" t="str">
        <f>Koond_kulud!E638</f>
        <v>Haridus</v>
      </c>
      <c r="F605" t="str">
        <f>Koond_kulud!F638</f>
        <v>Pajusti lasteaed</v>
      </c>
      <c r="G605" t="str">
        <f>Koond_kulud!G638</f>
        <v>ELIIS</v>
      </c>
      <c r="H605">
        <f>Koond_kulud!H638</f>
        <v>260</v>
      </c>
      <c r="I605">
        <f>Koond_kulud!I638</f>
        <v>0</v>
      </c>
      <c r="J605">
        <f>Koond_kulud!J638</f>
        <v>5514</v>
      </c>
      <c r="K605" t="str">
        <f>Koond_kulud!K638</f>
        <v>Info- ja kommunikatsioonitehnoliigised kulud</v>
      </c>
      <c r="L605">
        <f>Koond_kulud!L638</f>
        <v>55</v>
      </c>
      <c r="M605" t="str">
        <f>Koond_kulud!M638</f>
        <v>55</v>
      </c>
      <c r="N605" t="str">
        <f>Koond_kulud!N638</f>
        <v>Muud tegevuskulud</v>
      </c>
      <c r="O605" t="str">
        <f>Koond_kulud!O638</f>
        <v>Majandamiskulud</v>
      </c>
      <c r="P605" t="str">
        <f>Koond_kulud!P638</f>
        <v>Põhitegevuse kulu</v>
      </c>
      <c r="Q605">
        <f>Koond_kulud!Q638</f>
        <v>0</v>
      </c>
    </row>
    <row r="606" spans="1:17" hidden="1" x14ac:dyDescent="0.25">
      <c r="A606" t="str">
        <f>Koond_kulud!A639</f>
        <v>09</v>
      </c>
      <c r="B606" t="str">
        <f>Koond_kulud!B639</f>
        <v xml:space="preserve">0911002         </v>
      </c>
      <c r="C606" t="str">
        <f>Koond_kulud!C639</f>
        <v xml:space="preserve"> Pajusti Lasteaed</v>
      </c>
      <c r="D606" t="str">
        <f>Koond_kulud!D639</f>
        <v>Alusharidus</v>
      </c>
      <c r="E606" t="str">
        <f>Koond_kulud!E639</f>
        <v>Haridus</v>
      </c>
      <c r="F606" t="str">
        <f>Koond_kulud!F639</f>
        <v>Pajusti lasteaed</v>
      </c>
      <c r="G606" t="str">
        <f>Koond_kulud!G639</f>
        <v>hooldused, remont, varuosad</v>
      </c>
      <c r="H606">
        <f>Koond_kulud!H639</f>
        <v>120</v>
      </c>
      <c r="I606">
        <f>Koond_kulud!I639</f>
        <v>0</v>
      </c>
      <c r="J606">
        <f>Koond_kulud!J639</f>
        <v>5514</v>
      </c>
      <c r="K606" t="str">
        <f>Koond_kulud!K639</f>
        <v>Info- ja kommunikatsioonitehnoliigised kulud</v>
      </c>
      <c r="L606">
        <f>Koond_kulud!L639</f>
        <v>55</v>
      </c>
      <c r="M606" t="str">
        <f>Koond_kulud!M639</f>
        <v>55</v>
      </c>
      <c r="N606" t="str">
        <f>Koond_kulud!N639</f>
        <v>Muud tegevuskulud</v>
      </c>
      <c r="O606" t="str">
        <f>Koond_kulud!O639</f>
        <v>Majandamiskulud</v>
      </c>
      <c r="P606" t="str">
        <f>Koond_kulud!P639</f>
        <v>Põhitegevuse kulu</v>
      </c>
      <c r="Q606">
        <f>Koond_kulud!Q639</f>
        <v>0</v>
      </c>
    </row>
    <row r="607" spans="1:17" hidden="1" x14ac:dyDescent="0.25">
      <c r="A607" t="str">
        <f>Koond_kulud!A641</f>
        <v>09</v>
      </c>
      <c r="B607" t="str">
        <f>Koond_kulud!B641</f>
        <v xml:space="preserve">0911002         </v>
      </c>
      <c r="C607" t="str">
        <f>Koond_kulud!C641</f>
        <v xml:space="preserve"> Pajusti Lasteaed</v>
      </c>
      <c r="D607" t="str">
        <f>Koond_kulud!D641</f>
        <v>Alusharidus</v>
      </c>
      <c r="E607" t="str">
        <f>Koond_kulud!E641</f>
        <v>Haridus</v>
      </c>
      <c r="F607" t="str">
        <f>Koond_kulud!F641</f>
        <v>Pajusti lasteaed</v>
      </c>
      <c r="G607" t="str">
        <f>Koond_kulud!G641</f>
        <v>Korrashoiu- ja puhastusvahendid</v>
      </c>
      <c r="H607">
        <f>Koond_kulud!H641</f>
        <v>967</v>
      </c>
      <c r="I607">
        <f>Koond_kulud!I641</f>
        <v>0</v>
      </c>
      <c r="J607">
        <f>Koond_kulud!J641</f>
        <v>5511</v>
      </c>
      <c r="K607" t="str">
        <f>Koond_kulud!K641</f>
        <v>Kinnistute, hoonete ja ruumide majandamiskulud</v>
      </c>
      <c r="L607">
        <f>Koond_kulud!L641</f>
        <v>55</v>
      </c>
      <c r="M607" t="str">
        <f>Koond_kulud!M641</f>
        <v>55</v>
      </c>
      <c r="N607" t="str">
        <f>Koond_kulud!N641</f>
        <v>Muud tegevuskulud</v>
      </c>
      <c r="O607" t="str">
        <f>Koond_kulud!O641</f>
        <v>Majandamiskulud</v>
      </c>
      <c r="P607" t="str">
        <f>Koond_kulud!P641</f>
        <v>Põhitegevuse kulu</v>
      </c>
      <c r="Q607">
        <f>Koond_kulud!Q641</f>
        <v>0</v>
      </c>
    </row>
    <row r="608" spans="1:17" hidden="1" x14ac:dyDescent="0.25">
      <c r="A608" t="str">
        <f>Koond_kulud!A642</f>
        <v>09</v>
      </c>
      <c r="B608" t="str">
        <f>Koond_kulud!B642</f>
        <v xml:space="preserve">0911002         </v>
      </c>
      <c r="C608" t="str">
        <f>Koond_kulud!C642</f>
        <v xml:space="preserve"> Pajusti Lasteaed</v>
      </c>
      <c r="D608" t="str">
        <f>Koond_kulud!D642</f>
        <v>Alusharidus</v>
      </c>
      <c r="E608" t="str">
        <f>Koond_kulud!E642</f>
        <v>Haridus</v>
      </c>
      <c r="F608" t="str">
        <f>Koond_kulud!F642</f>
        <v>Pajusti lasteaed</v>
      </c>
      <c r="G608" t="str">
        <f>Koond_kulud!G642</f>
        <v>Mänguväljaku rajamine</v>
      </c>
      <c r="H608">
        <f>Koond_kulud!H642</f>
        <v>5500</v>
      </c>
      <c r="I608">
        <f>Koond_kulud!I642</f>
        <v>0</v>
      </c>
      <c r="J608">
        <f>Koond_kulud!J642</f>
        <v>5511</v>
      </c>
      <c r="K608" t="str">
        <f>Koond_kulud!K642</f>
        <v>Kinnistute, hoonete ja ruumide majandamiskulud</v>
      </c>
      <c r="L608">
        <f>Koond_kulud!L642</f>
        <v>55</v>
      </c>
      <c r="M608" t="str">
        <f>Koond_kulud!M642</f>
        <v>55</v>
      </c>
      <c r="N608" t="str">
        <f>Koond_kulud!N642</f>
        <v>Muud tegevuskulud</v>
      </c>
      <c r="O608" t="str">
        <f>Koond_kulud!O642</f>
        <v>Majandamiskulud</v>
      </c>
      <c r="P608" t="str">
        <f>Koond_kulud!P642</f>
        <v>Põhitegevuse kulu</v>
      </c>
      <c r="Q608">
        <f>Koond_kulud!Q642</f>
        <v>0</v>
      </c>
    </row>
    <row r="609" spans="1:17" hidden="1" x14ac:dyDescent="0.25">
      <c r="A609" t="str">
        <f>Koond_kulud!A643</f>
        <v>09</v>
      </c>
      <c r="B609" t="str">
        <f>Koond_kulud!B643</f>
        <v xml:space="preserve">0911003         </v>
      </c>
      <c r="C609" t="str">
        <f>Koond_kulud!C643</f>
        <v xml:space="preserve"> Kulina Lasteaed</v>
      </c>
      <c r="D609" t="str">
        <f>Koond_kulud!D643</f>
        <v>Alusharidus</v>
      </c>
      <c r="E609" t="str">
        <f>Koond_kulud!E643</f>
        <v>Haridus</v>
      </c>
      <c r="F609" t="str">
        <f>Koond_kulud!F643</f>
        <v>Kulina lasteaed</v>
      </c>
      <c r="G609" t="str">
        <f>Koond_kulud!G643</f>
        <v>telefon ja internet</v>
      </c>
      <c r="H609">
        <f>Koond_kulud!H643</f>
        <v>650</v>
      </c>
      <c r="I609" t="str">
        <f>Koond_kulud!I643</f>
        <v>Elion</v>
      </c>
      <c r="J609">
        <f>Koond_kulud!J643</f>
        <v>5500</v>
      </c>
      <c r="K609" t="str">
        <f>Koond_kulud!K643</f>
        <v>Administreerimiskulud</v>
      </c>
      <c r="L609">
        <f>Koond_kulud!L643</f>
        <v>55</v>
      </c>
      <c r="M609" t="str">
        <f>Koond_kulud!M643</f>
        <v>55</v>
      </c>
      <c r="N609" t="str">
        <f>Koond_kulud!N643</f>
        <v>Muud tegevuskulud</v>
      </c>
      <c r="O609" t="str">
        <f>Koond_kulud!O643</f>
        <v>Majandamiskulud</v>
      </c>
      <c r="P609" t="str">
        <f>Koond_kulud!P643</f>
        <v>Põhitegevuse kulu</v>
      </c>
      <c r="Q609">
        <f>Koond_kulud!Q643</f>
        <v>0</v>
      </c>
    </row>
    <row r="610" spans="1:17" hidden="1" x14ac:dyDescent="0.25">
      <c r="A610" t="str">
        <f>Koond_kulud!A644</f>
        <v>09</v>
      </c>
      <c r="B610" t="str">
        <f>Koond_kulud!B644</f>
        <v xml:space="preserve">0911003         </v>
      </c>
      <c r="C610" t="str">
        <f>Koond_kulud!C644</f>
        <v xml:space="preserve"> Kulina Lasteaed</v>
      </c>
      <c r="D610" t="str">
        <f>Koond_kulud!D644</f>
        <v>Alusharidus</v>
      </c>
      <c r="E610" t="str">
        <f>Koond_kulud!E644</f>
        <v>Haridus</v>
      </c>
      <c r="F610" t="str">
        <f>Koond_kulud!F644</f>
        <v>Kulina lasteaed</v>
      </c>
      <c r="G610" t="str">
        <f>Koond_kulud!G644</f>
        <v>kantseleikaup</v>
      </c>
      <c r="H610">
        <f>Koond_kulud!H644</f>
        <v>100</v>
      </c>
      <c r="I610" t="str">
        <f>Koond_kulud!I644</f>
        <v>koopiapaber, kilekaaned jms</v>
      </c>
      <c r="J610">
        <f>Koond_kulud!J644</f>
        <v>5500</v>
      </c>
      <c r="K610" t="str">
        <f>Koond_kulud!K644</f>
        <v>Administreerimiskulud</v>
      </c>
      <c r="L610">
        <f>Koond_kulud!L644</f>
        <v>55</v>
      </c>
      <c r="M610" t="str">
        <f>Koond_kulud!M644</f>
        <v>55</v>
      </c>
      <c r="N610" t="str">
        <f>Koond_kulud!N644</f>
        <v>Muud tegevuskulud</v>
      </c>
      <c r="O610" t="str">
        <f>Koond_kulud!O644</f>
        <v>Majandamiskulud</v>
      </c>
      <c r="P610" t="str">
        <f>Koond_kulud!P644</f>
        <v>Põhitegevuse kulu</v>
      </c>
      <c r="Q610">
        <f>Koond_kulud!Q644</f>
        <v>0</v>
      </c>
    </row>
    <row r="611" spans="1:17" hidden="1" x14ac:dyDescent="0.25">
      <c r="A611" t="str">
        <f>Koond_kulud!A645</f>
        <v>09</v>
      </c>
      <c r="B611" t="str">
        <f>Koond_kulud!B645</f>
        <v xml:space="preserve">0911003         </v>
      </c>
      <c r="C611" t="str">
        <f>Koond_kulud!C645</f>
        <v xml:space="preserve"> Kulina Lasteaed</v>
      </c>
      <c r="D611" t="str">
        <f>Koond_kulud!D645</f>
        <v>Alusharidus</v>
      </c>
      <c r="E611" t="str">
        <f>Koond_kulud!E645</f>
        <v>Haridus</v>
      </c>
      <c r="F611" t="str">
        <f>Koond_kulud!F645</f>
        <v>Kulina lasteaed</v>
      </c>
      <c r="G611" t="str">
        <f>Koond_kulud!G645</f>
        <v>printeritahm</v>
      </c>
      <c r="H611">
        <f>Koond_kulud!H645</f>
        <v>120</v>
      </c>
      <c r="I611">
        <f>Koond_kulud!I645</f>
        <v>0</v>
      </c>
      <c r="J611">
        <f>Koond_kulud!J645</f>
        <v>5500</v>
      </c>
      <c r="K611" t="str">
        <f>Koond_kulud!K645</f>
        <v>Administreerimiskulud</v>
      </c>
      <c r="L611">
        <f>Koond_kulud!L645</f>
        <v>55</v>
      </c>
      <c r="M611" t="str">
        <f>Koond_kulud!M645</f>
        <v>55</v>
      </c>
      <c r="N611" t="str">
        <f>Koond_kulud!N645</f>
        <v>Muud tegevuskulud</v>
      </c>
      <c r="O611" t="str">
        <f>Koond_kulud!O645</f>
        <v>Majandamiskulud</v>
      </c>
      <c r="P611" t="str">
        <f>Koond_kulud!P645</f>
        <v>Põhitegevuse kulu</v>
      </c>
      <c r="Q611">
        <f>Koond_kulud!Q645</f>
        <v>0</v>
      </c>
    </row>
    <row r="612" spans="1:17" hidden="1" x14ac:dyDescent="0.25">
      <c r="A612" t="str">
        <f>Koond_kulud!A646</f>
        <v>09</v>
      </c>
      <c r="B612" t="str">
        <f>Koond_kulud!B646</f>
        <v xml:space="preserve">0911003         </v>
      </c>
      <c r="C612" t="str">
        <f>Koond_kulud!C646</f>
        <v xml:space="preserve"> Kulina Lasteaed</v>
      </c>
      <c r="D612" t="str">
        <f>Koond_kulud!D646</f>
        <v>Alusharidus</v>
      </c>
      <c r="E612" t="str">
        <f>Koond_kulud!E646</f>
        <v>Haridus</v>
      </c>
      <c r="F612" t="str">
        <f>Koond_kulud!F646</f>
        <v>Kulina lasteaed</v>
      </c>
      <c r="G612" t="str">
        <f>Koond_kulud!G646</f>
        <v>liikmemaks</v>
      </c>
      <c r="H612">
        <f>Koond_kulud!H646</f>
        <v>16</v>
      </c>
      <c r="I612" t="str">
        <f>Koond_kulud!I646</f>
        <v>L-Viru Haridusjuhtide Liit</v>
      </c>
      <c r="J612">
        <f>Koond_kulud!J646</f>
        <v>5500</v>
      </c>
      <c r="K612" t="str">
        <f>Koond_kulud!K646</f>
        <v>Administreerimiskulud</v>
      </c>
      <c r="L612">
        <f>Koond_kulud!L646</f>
        <v>55</v>
      </c>
      <c r="M612" t="str">
        <f>Koond_kulud!M646</f>
        <v>55</v>
      </c>
      <c r="N612" t="str">
        <f>Koond_kulud!N646</f>
        <v>Muud tegevuskulud</v>
      </c>
      <c r="O612" t="str">
        <f>Koond_kulud!O646</f>
        <v>Majandamiskulud</v>
      </c>
      <c r="P612" t="str">
        <f>Koond_kulud!P646</f>
        <v>Põhitegevuse kulu</v>
      </c>
      <c r="Q612">
        <f>Koond_kulud!Q646</f>
        <v>0</v>
      </c>
    </row>
    <row r="613" spans="1:17" hidden="1" x14ac:dyDescent="0.25">
      <c r="A613" t="str">
        <f>Koond_kulud!A647</f>
        <v>09</v>
      </c>
      <c r="B613" t="str">
        <f>Koond_kulud!B647</f>
        <v xml:space="preserve">0911003         </v>
      </c>
      <c r="C613" t="str">
        <f>Koond_kulud!C647</f>
        <v xml:space="preserve"> Kulina Lasteaed</v>
      </c>
      <c r="D613" t="str">
        <f>Koond_kulud!D647</f>
        <v>Alusharidus</v>
      </c>
      <c r="E613" t="str">
        <f>Koond_kulud!E647</f>
        <v>Haridus</v>
      </c>
      <c r="F613" t="str">
        <f>Koond_kulud!F647</f>
        <v>Kulina lasteaed</v>
      </c>
      <c r="G613" t="str">
        <f>Koond_kulud!G647</f>
        <v>Haridus 2019</v>
      </c>
      <c r="H613">
        <f>Koond_kulud!H647</f>
        <v>25</v>
      </c>
      <c r="I613" t="str">
        <f>Koond_kulud!I647</f>
        <v>aasta tellimus</v>
      </c>
      <c r="J613">
        <f>Koond_kulud!J647</f>
        <v>5500</v>
      </c>
      <c r="K613" t="str">
        <f>Koond_kulud!K647</f>
        <v>Administreerimiskulud</v>
      </c>
      <c r="L613">
        <f>Koond_kulud!L647</f>
        <v>55</v>
      </c>
      <c r="M613" t="str">
        <f>Koond_kulud!M647</f>
        <v>55</v>
      </c>
      <c r="N613" t="str">
        <f>Koond_kulud!N647</f>
        <v>Muud tegevuskulud</v>
      </c>
      <c r="O613" t="str">
        <f>Koond_kulud!O647</f>
        <v>Majandamiskulud</v>
      </c>
      <c r="P613" t="str">
        <f>Koond_kulud!P647</f>
        <v>Põhitegevuse kulu</v>
      </c>
      <c r="Q613">
        <f>Koond_kulud!Q647</f>
        <v>0</v>
      </c>
    </row>
    <row r="614" spans="1:17" hidden="1" x14ac:dyDescent="0.25">
      <c r="A614" t="str">
        <f>Koond_kulud!A648</f>
        <v>09</v>
      </c>
      <c r="B614" t="str">
        <f>Koond_kulud!B648</f>
        <v xml:space="preserve">0911003         </v>
      </c>
      <c r="C614" t="str">
        <f>Koond_kulud!C648</f>
        <v xml:space="preserve"> Kulina Lasteaed</v>
      </c>
      <c r="D614" t="str">
        <f>Koond_kulud!D648</f>
        <v>Alusharidus</v>
      </c>
      <c r="E614" t="str">
        <f>Koond_kulud!E648</f>
        <v>Haridus</v>
      </c>
      <c r="F614" t="str">
        <f>Koond_kulud!F648</f>
        <v>Kulina lasteaed</v>
      </c>
      <c r="G614" t="str">
        <f>Koond_kulud!G648</f>
        <v>Eliis</v>
      </c>
      <c r="H614">
        <f>Koond_kulud!H648</f>
        <v>288</v>
      </c>
      <c r="I614" t="str">
        <f>Koond_kulud!I648</f>
        <v xml:space="preserve">24*12 </v>
      </c>
      <c r="J614">
        <f>Koond_kulud!J648</f>
        <v>5500</v>
      </c>
      <c r="K614" t="str">
        <f>Koond_kulud!K648</f>
        <v>Administreerimiskulud</v>
      </c>
      <c r="L614">
        <f>Koond_kulud!L648</f>
        <v>55</v>
      </c>
      <c r="M614" t="str">
        <f>Koond_kulud!M648</f>
        <v>55</v>
      </c>
      <c r="N614" t="str">
        <f>Koond_kulud!N648</f>
        <v>Muud tegevuskulud</v>
      </c>
      <c r="O614" t="str">
        <f>Koond_kulud!O648</f>
        <v>Majandamiskulud</v>
      </c>
      <c r="P614" t="str">
        <f>Koond_kulud!P648</f>
        <v>Põhitegevuse kulu</v>
      </c>
      <c r="Q614">
        <f>Koond_kulud!Q648</f>
        <v>0</v>
      </c>
    </row>
    <row r="615" spans="1:17" hidden="1" x14ac:dyDescent="0.25">
      <c r="A615" t="str">
        <f>Koond_kulud!A649</f>
        <v>09</v>
      </c>
      <c r="B615" t="str">
        <f>Koond_kulud!B649</f>
        <v xml:space="preserve">0911003         </v>
      </c>
      <c r="C615" t="str">
        <f>Koond_kulud!C649</f>
        <v xml:space="preserve"> Kulina Lasteaed</v>
      </c>
      <c r="D615" t="str">
        <f>Koond_kulud!D649</f>
        <v>Alusharidus</v>
      </c>
      <c r="E615" t="str">
        <f>Koond_kulud!E649</f>
        <v>Haridus</v>
      </c>
      <c r="F615" t="str">
        <f>Koond_kulud!F649</f>
        <v>Kulina lasteaed</v>
      </c>
      <c r="G615" t="str">
        <f>Koond_kulud!G649</f>
        <v>Õpetajate leht</v>
      </c>
      <c r="H615">
        <f>Koond_kulud!H649</f>
        <v>28</v>
      </c>
      <c r="I615" t="str">
        <f>Koond_kulud!I649</f>
        <v>aastatellimus</v>
      </c>
      <c r="J615">
        <f>Koond_kulud!J649</f>
        <v>5500</v>
      </c>
      <c r="K615" t="str">
        <f>Koond_kulud!K649</f>
        <v>Administreerimiskulud</v>
      </c>
      <c r="L615">
        <f>Koond_kulud!L649</f>
        <v>55</v>
      </c>
      <c r="M615" t="str">
        <f>Koond_kulud!M649</f>
        <v>55</v>
      </c>
      <c r="N615" t="str">
        <f>Koond_kulud!N649</f>
        <v>Muud tegevuskulud</v>
      </c>
      <c r="O615" t="str">
        <f>Koond_kulud!O649</f>
        <v>Majandamiskulud</v>
      </c>
      <c r="P615" t="str">
        <f>Koond_kulud!P649</f>
        <v>Põhitegevuse kulu</v>
      </c>
      <c r="Q615">
        <f>Koond_kulud!Q649</f>
        <v>0</v>
      </c>
    </row>
    <row r="616" spans="1:17" hidden="1" x14ac:dyDescent="0.25">
      <c r="A616" t="str">
        <f>Koond_kulud!A650</f>
        <v>09</v>
      </c>
      <c r="B616" t="str">
        <f>Koond_kulud!B650</f>
        <v xml:space="preserve">0911003         </v>
      </c>
      <c r="C616" t="str">
        <f>Koond_kulud!C650</f>
        <v xml:space="preserve"> Kulina Lasteaed</v>
      </c>
      <c r="D616" t="str">
        <f>Koond_kulud!D650</f>
        <v>Alusharidus</v>
      </c>
      <c r="E616" t="str">
        <f>Koond_kulud!E650</f>
        <v>Haridus</v>
      </c>
      <c r="F616" t="str">
        <f>Koond_kulud!F650</f>
        <v>Kulina lasteaed</v>
      </c>
      <c r="G616" t="str">
        <f>Koond_kulud!G650</f>
        <v>Täheke</v>
      </c>
      <c r="H616">
        <f>Koond_kulud!H650</f>
        <v>18</v>
      </c>
      <c r="I616" t="str">
        <f>Koond_kulud!I650</f>
        <v>aastatellimus</v>
      </c>
      <c r="J616">
        <f>Koond_kulud!J650</f>
        <v>5500</v>
      </c>
      <c r="K616" t="str">
        <f>Koond_kulud!K650</f>
        <v>Administreerimiskulud</v>
      </c>
      <c r="L616">
        <f>Koond_kulud!L650</f>
        <v>55</v>
      </c>
      <c r="M616" t="str">
        <f>Koond_kulud!M650</f>
        <v>55</v>
      </c>
      <c r="N616" t="str">
        <f>Koond_kulud!N650</f>
        <v>Muud tegevuskulud</v>
      </c>
      <c r="O616" t="str">
        <f>Koond_kulud!O650</f>
        <v>Majandamiskulud</v>
      </c>
      <c r="P616" t="str">
        <f>Koond_kulud!P650</f>
        <v>Põhitegevuse kulu</v>
      </c>
      <c r="Q616">
        <f>Koond_kulud!Q650</f>
        <v>0</v>
      </c>
    </row>
    <row r="617" spans="1:17" hidden="1" x14ac:dyDescent="0.25">
      <c r="A617" t="str">
        <f>Koond_kulud!A651</f>
        <v>09</v>
      </c>
      <c r="B617" t="str">
        <f>Koond_kulud!B651</f>
        <v xml:space="preserve">0911003         </v>
      </c>
      <c r="C617" t="str">
        <f>Koond_kulud!C651</f>
        <v xml:space="preserve"> Kulina Lasteaed</v>
      </c>
      <c r="D617" t="str">
        <f>Koond_kulud!D651</f>
        <v>Alusharidus</v>
      </c>
      <c r="E617" t="str">
        <f>Koond_kulud!E651</f>
        <v>Haridus</v>
      </c>
      <c r="F617" t="str">
        <f>Koond_kulud!F651</f>
        <v>Kulina lasteaed</v>
      </c>
      <c r="G617" t="str">
        <f>Koond_kulud!G651</f>
        <v>koolituste plaan</v>
      </c>
      <c r="H617">
        <f>Koond_kulud!H651</f>
        <v>504</v>
      </c>
      <c r="I617">
        <f>Koond_kulud!I651</f>
        <v>0</v>
      </c>
      <c r="J617">
        <f>Koond_kulud!J651</f>
        <v>5504</v>
      </c>
      <c r="K617" t="str">
        <f>Koond_kulud!K651</f>
        <v>Koolituskulud</v>
      </c>
      <c r="L617">
        <f>Koond_kulud!L651</f>
        <v>55</v>
      </c>
      <c r="M617" t="str">
        <f>Koond_kulud!M651</f>
        <v>55</v>
      </c>
      <c r="N617" t="str">
        <f>Koond_kulud!N651</f>
        <v>Muud tegevuskulud</v>
      </c>
      <c r="O617" t="str">
        <f>Koond_kulud!O651</f>
        <v>Majandamiskulud</v>
      </c>
      <c r="P617" t="str">
        <f>Koond_kulud!P651</f>
        <v>Põhitegevuse kulu</v>
      </c>
      <c r="Q617">
        <f>Koond_kulud!Q651</f>
        <v>0</v>
      </c>
    </row>
    <row r="618" spans="1:17" hidden="1" x14ac:dyDescent="0.25">
      <c r="A618" t="str">
        <f>Koond_kulud!A652</f>
        <v>09</v>
      </c>
      <c r="B618" t="str">
        <f>Koond_kulud!B652</f>
        <v xml:space="preserve">0911003         </v>
      </c>
      <c r="C618" t="str">
        <f>Koond_kulud!C652</f>
        <v xml:space="preserve"> Kulina Lasteaed</v>
      </c>
      <c r="D618" t="str">
        <f>Koond_kulud!D652</f>
        <v>Alusharidus</v>
      </c>
      <c r="E618" t="str">
        <f>Koond_kulud!E652</f>
        <v>Haridus</v>
      </c>
      <c r="F618" t="str">
        <f>Koond_kulud!F652</f>
        <v>Kulina lasteaed</v>
      </c>
      <c r="G618" t="str">
        <f>Koond_kulud!G652</f>
        <v>Esmaabi</v>
      </c>
      <c r="H618">
        <f>Koond_kulud!H652</f>
        <v>165</v>
      </c>
      <c r="I618">
        <f>Koond_kulud!I652</f>
        <v>0</v>
      </c>
      <c r="J618">
        <f>Koond_kulud!J652</f>
        <v>5504</v>
      </c>
      <c r="K618" t="str">
        <f>Koond_kulud!K652</f>
        <v>Koolituskulud</v>
      </c>
      <c r="L618">
        <f>Koond_kulud!L652</f>
        <v>55</v>
      </c>
      <c r="M618" t="str">
        <f>Koond_kulud!M652</f>
        <v>55</v>
      </c>
      <c r="N618" t="str">
        <f>Koond_kulud!N652</f>
        <v>Muud tegevuskulud</v>
      </c>
      <c r="O618" t="str">
        <f>Koond_kulud!O652</f>
        <v>Majandamiskulud</v>
      </c>
      <c r="P618" t="str">
        <f>Koond_kulud!P652</f>
        <v>Põhitegevuse kulu</v>
      </c>
      <c r="Q618">
        <f>Koond_kulud!Q652</f>
        <v>0</v>
      </c>
    </row>
    <row r="619" spans="1:17" hidden="1" x14ac:dyDescent="0.25">
      <c r="A619" t="str">
        <f>Koond_kulud!A653</f>
        <v>09</v>
      </c>
      <c r="B619" t="str">
        <f>Koond_kulud!B653</f>
        <v xml:space="preserve">0911003         </v>
      </c>
      <c r="C619" t="str">
        <f>Koond_kulud!C653</f>
        <v xml:space="preserve"> Kulina Lasteaed</v>
      </c>
      <c r="D619" t="str">
        <f>Koond_kulud!D653</f>
        <v>Alusharidus</v>
      </c>
      <c r="E619" t="str">
        <f>Koond_kulud!E653</f>
        <v>Haridus</v>
      </c>
      <c r="F619" t="str">
        <f>Koond_kulud!F653</f>
        <v>Kulina lasteaed</v>
      </c>
      <c r="G619" t="str">
        <f>Koond_kulud!G653</f>
        <v>Isikliku sõiduauto komp.</v>
      </c>
      <c r="H619">
        <f>Koond_kulud!H653</f>
        <v>1430</v>
      </c>
      <c r="I619" t="str">
        <f>Koond_kulud!I653</f>
        <v>130*11 isikliku sõiduauto kasutamine</v>
      </c>
      <c r="J619">
        <f>Koond_kulud!J653</f>
        <v>5513</v>
      </c>
      <c r="K619" t="str">
        <f>Koond_kulud!K653</f>
        <v>Sõidukite ülalpidamise kulud</v>
      </c>
      <c r="L619">
        <f>Koond_kulud!L653</f>
        <v>55</v>
      </c>
      <c r="M619" t="str">
        <f>Koond_kulud!M653</f>
        <v>55</v>
      </c>
      <c r="N619" t="str">
        <f>Koond_kulud!N653</f>
        <v>Muud tegevuskulud</v>
      </c>
      <c r="O619" t="str">
        <f>Koond_kulud!O653</f>
        <v>Majandamiskulud</v>
      </c>
      <c r="P619" t="str">
        <f>Koond_kulud!P653</f>
        <v>Põhitegevuse kulu</v>
      </c>
      <c r="Q619">
        <f>Koond_kulud!Q653</f>
        <v>0</v>
      </c>
    </row>
    <row r="620" spans="1:17" hidden="1" x14ac:dyDescent="0.25">
      <c r="A620" t="str">
        <f>Koond_kulud!A654</f>
        <v>09</v>
      </c>
      <c r="B620" t="str">
        <f>Koond_kulud!B654</f>
        <v xml:space="preserve">0911003         </v>
      </c>
      <c r="C620" t="str">
        <f>Koond_kulud!C654</f>
        <v xml:space="preserve"> Kulina Lasteaed</v>
      </c>
      <c r="D620" t="str">
        <f>Koond_kulud!D654</f>
        <v>Alusharidus</v>
      </c>
      <c r="E620" t="str">
        <f>Koond_kulud!E654</f>
        <v>Haridus</v>
      </c>
      <c r="F620" t="str">
        <f>Koond_kulud!F654</f>
        <v>Kulina lasteaed</v>
      </c>
      <c r="G620" t="str">
        <f>Koond_kulud!G654</f>
        <v>paberipurustaja</v>
      </c>
      <c r="H620">
        <f>Koond_kulud!H654</f>
        <v>250</v>
      </c>
      <c r="I620" t="str">
        <f>Koond_kulud!I654</f>
        <v>andmekaitse</v>
      </c>
      <c r="J620">
        <f>Koond_kulud!J654</f>
        <v>5515</v>
      </c>
      <c r="K620" t="str">
        <f>Koond_kulud!K654</f>
        <v>Inventari kulud, v.a infotehnoloogia ja kaitseotstarbelised kulud</v>
      </c>
      <c r="L620">
        <f>Koond_kulud!L654</f>
        <v>55</v>
      </c>
      <c r="M620" t="str">
        <f>Koond_kulud!M654</f>
        <v>55</v>
      </c>
      <c r="N620" t="str">
        <f>Koond_kulud!N654</f>
        <v>Muud tegevuskulud</v>
      </c>
      <c r="O620" t="str">
        <f>Koond_kulud!O654</f>
        <v>Majandamiskulud</v>
      </c>
      <c r="P620" t="str">
        <f>Koond_kulud!P654</f>
        <v>Põhitegevuse kulu</v>
      </c>
      <c r="Q620">
        <f>Koond_kulud!Q654</f>
        <v>0</v>
      </c>
    </row>
    <row r="621" spans="1:17" hidden="1" x14ac:dyDescent="0.25">
      <c r="A621" t="str">
        <f>Koond_kulud!A655</f>
        <v>09</v>
      </c>
      <c r="B621" t="str">
        <f>Koond_kulud!B655</f>
        <v xml:space="preserve">0911003         </v>
      </c>
      <c r="C621" t="str">
        <f>Koond_kulud!C655</f>
        <v xml:space="preserve"> Kulina Lasteaed</v>
      </c>
      <c r="D621" t="str">
        <f>Koond_kulud!D655</f>
        <v>Alusharidus</v>
      </c>
      <c r="E621" t="str">
        <f>Koond_kulud!E655</f>
        <v>Haridus</v>
      </c>
      <c r="F621" t="str">
        <f>Koond_kulud!F655</f>
        <v>Kulina lasteaed</v>
      </c>
      <c r="G621" t="str">
        <f>Koond_kulud!G655</f>
        <v>mängunurga köögimööbel</v>
      </c>
      <c r="H621">
        <f>Koond_kulud!H655</f>
        <v>350</v>
      </c>
      <c r="I621" t="str">
        <f>Koond_kulud!I655</f>
        <v>mesimuumu rühma mängunurk</v>
      </c>
      <c r="J621">
        <f>Koond_kulud!J655</f>
        <v>5515</v>
      </c>
      <c r="K621" t="str">
        <f>Koond_kulud!K655</f>
        <v>Inventari kulud, v.a infotehnoloogia ja kaitseotstarbelised kulud</v>
      </c>
      <c r="L621">
        <f>Koond_kulud!L655</f>
        <v>55</v>
      </c>
      <c r="M621" t="str">
        <f>Koond_kulud!M655</f>
        <v>55</v>
      </c>
      <c r="N621" t="str">
        <f>Koond_kulud!N655</f>
        <v>Muud tegevuskulud</v>
      </c>
      <c r="O621" t="str">
        <f>Koond_kulud!O655</f>
        <v>Majandamiskulud</v>
      </c>
      <c r="P621" t="str">
        <f>Koond_kulud!P655</f>
        <v>Põhitegevuse kulu</v>
      </c>
      <c r="Q621">
        <f>Koond_kulud!Q655</f>
        <v>0</v>
      </c>
    </row>
    <row r="622" spans="1:17" hidden="1" x14ac:dyDescent="0.25">
      <c r="A622" t="str">
        <f>Koond_kulud!A656</f>
        <v>09</v>
      </c>
      <c r="B622" t="str">
        <f>Koond_kulud!B656</f>
        <v xml:space="preserve">0911003         </v>
      </c>
      <c r="C622" t="str">
        <f>Koond_kulud!C656</f>
        <v xml:space="preserve"> Kulina Lasteaed</v>
      </c>
      <c r="D622" t="str">
        <f>Koond_kulud!D656</f>
        <v>Alusharidus</v>
      </c>
      <c r="E622" t="str">
        <f>Koond_kulud!E656</f>
        <v>Haridus</v>
      </c>
      <c r="F622" t="str">
        <f>Koond_kulud!F656</f>
        <v>Kulina lasteaed</v>
      </c>
      <c r="G622" t="str">
        <f>Koond_kulud!G656</f>
        <v>muusikaesitaja</v>
      </c>
      <c r="H622">
        <f>Koond_kulud!H656</f>
        <v>300</v>
      </c>
      <c r="I622" t="str">
        <f>Koond_kulud!I656</f>
        <v>et mängiks mp3 formaati, võimendusega ühildatav-muusikaõpetaja</v>
      </c>
      <c r="J622">
        <f>Koond_kulud!J656</f>
        <v>5515</v>
      </c>
      <c r="K622" t="str">
        <f>Koond_kulud!K656</f>
        <v>Inventari kulud, v.a infotehnoloogia ja kaitseotstarbelised kulud</v>
      </c>
      <c r="L622">
        <f>Koond_kulud!L656</f>
        <v>55</v>
      </c>
      <c r="M622" t="str">
        <f>Koond_kulud!M656</f>
        <v>55</v>
      </c>
      <c r="N622" t="str">
        <f>Koond_kulud!N656</f>
        <v>Muud tegevuskulud</v>
      </c>
      <c r="O622" t="str">
        <f>Koond_kulud!O656</f>
        <v>Majandamiskulud</v>
      </c>
      <c r="P622" t="str">
        <f>Koond_kulud!P656</f>
        <v>Põhitegevuse kulu</v>
      </c>
      <c r="Q622">
        <f>Koond_kulud!Q656</f>
        <v>0</v>
      </c>
    </row>
    <row r="623" spans="1:17" hidden="1" x14ac:dyDescent="0.25">
      <c r="A623" t="str">
        <f>Koond_kulud!A657</f>
        <v>09</v>
      </c>
      <c r="B623" t="str">
        <f>Koond_kulud!B657</f>
        <v xml:space="preserve">0911003         </v>
      </c>
      <c r="C623" t="str">
        <f>Koond_kulud!C657</f>
        <v xml:space="preserve"> Kulina Lasteaed</v>
      </c>
      <c r="D623" t="str">
        <f>Koond_kulud!D657</f>
        <v>Alusharidus</v>
      </c>
      <c r="E623" t="str">
        <f>Koond_kulud!E657</f>
        <v>Haridus</v>
      </c>
      <c r="F623" t="str">
        <f>Koond_kulud!F657</f>
        <v>Kulina lasteaed</v>
      </c>
      <c r="G623" t="str">
        <f>Koond_kulud!G657</f>
        <v>vaip 1,35*1,7</v>
      </c>
      <c r="H623">
        <f>Koond_kulud!H657</f>
        <v>80</v>
      </c>
      <c r="I623" t="str">
        <f>Koond_kulud!I657</f>
        <v>mesimummurühma mängunurk</v>
      </c>
      <c r="J623">
        <f>Koond_kulud!J657</f>
        <v>5515</v>
      </c>
      <c r="K623" t="str">
        <f>Koond_kulud!K657</f>
        <v>Inventari kulud, v.a infotehnoloogia ja kaitseotstarbelised kulud</v>
      </c>
      <c r="L623">
        <f>Koond_kulud!L657</f>
        <v>55</v>
      </c>
      <c r="M623" t="str">
        <f>Koond_kulud!M657</f>
        <v>55</v>
      </c>
      <c r="N623" t="str">
        <f>Koond_kulud!N657</f>
        <v>Muud tegevuskulud</v>
      </c>
      <c r="O623" t="str">
        <f>Koond_kulud!O657</f>
        <v>Majandamiskulud</v>
      </c>
      <c r="P623" t="str">
        <f>Koond_kulud!P657</f>
        <v>Põhitegevuse kulu</v>
      </c>
      <c r="Q623">
        <f>Koond_kulud!Q657</f>
        <v>0</v>
      </c>
    </row>
    <row r="624" spans="1:17" hidden="1" x14ac:dyDescent="0.25">
      <c r="A624" t="str">
        <f>Koond_kulud!A658</f>
        <v>09</v>
      </c>
      <c r="B624" t="str">
        <f>Koond_kulud!B658</f>
        <v xml:space="preserve">0911003         </v>
      </c>
      <c r="C624" t="str">
        <f>Koond_kulud!C658</f>
        <v xml:space="preserve"> Kulina Lasteaed</v>
      </c>
      <c r="D624" t="str">
        <f>Koond_kulud!D658</f>
        <v>Alusharidus</v>
      </c>
      <c r="E624" t="str">
        <f>Koond_kulud!E658</f>
        <v>Haridus</v>
      </c>
      <c r="F624" t="str">
        <f>Koond_kulud!F658</f>
        <v>Kulina lasteaed</v>
      </c>
      <c r="G624" t="str">
        <f>Koond_kulud!G658</f>
        <v>magnettahvel</v>
      </c>
      <c r="H624">
        <f>Koond_kulud!H658</f>
        <v>75</v>
      </c>
      <c r="I624" t="str">
        <f>Koond_kulud!I658</f>
        <v>mesimummu rühm</v>
      </c>
      <c r="J624">
        <f>Koond_kulud!J658</f>
        <v>5515</v>
      </c>
      <c r="K624" t="str">
        <f>Koond_kulud!K658</f>
        <v>Inventari kulud, v.a infotehnoloogia ja kaitseotstarbelised kulud</v>
      </c>
      <c r="L624">
        <f>Koond_kulud!L658</f>
        <v>55</v>
      </c>
      <c r="M624" t="str">
        <f>Koond_kulud!M658</f>
        <v>55</v>
      </c>
      <c r="N624" t="str">
        <f>Koond_kulud!N658</f>
        <v>Muud tegevuskulud</v>
      </c>
      <c r="O624" t="str">
        <f>Koond_kulud!O658</f>
        <v>Majandamiskulud</v>
      </c>
      <c r="P624" t="str">
        <f>Koond_kulud!P658</f>
        <v>Põhitegevuse kulu</v>
      </c>
      <c r="Q624">
        <f>Koond_kulud!Q658</f>
        <v>0</v>
      </c>
    </row>
    <row r="625" spans="1:17" hidden="1" x14ac:dyDescent="0.25">
      <c r="A625" t="str">
        <f>Koond_kulud!A659</f>
        <v>09</v>
      </c>
      <c r="B625" t="str">
        <f>Koond_kulud!B659</f>
        <v xml:space="preserve">0911003         </v>
      </c>
      <c r="C625" t="str">
        <f>Koond_kulud!C659</f>
        <v xml:space="preserve"> Kulina Lasteaed</v>
      </c>
      <c r="D625" t="str">
        <f>Koond_kulud!D659</f>
        <v>Alusharidus</v>
      </c>
      <c r="E625" t="str">
        <f>Koond_kulud!E659</f>
        <v>Haridus</v>
      </c>
      <c r="F625" t="str">
        <f>Koond_kulud!F659</f>
        <v>Kulina lasteaed</v>
      </c>
      <c r="G625" t="str">
        <f>Koond_kulud!G659</f>
        <v>liivakast 3000mm*3000mm</v>
      </c>
      <c r="H625">
        <f>Koond_kulud!H659</f>
        <v>250</v>
      </c>
      <c r="I625" t="str">
        <f>Koond_kulud!I659</f>
        <v>Lepatriinu rühm, ilmastikukindel, taaskasutatavast plastmaterjalist, kaetav-praegune liivakastiraam lagunev</v>
      </c>
      <c r="J625">
        <f>Koond_kulud!J659</f>
        <v>5515</v>
      </c>
      <c r="K625" t="str">
        <f>Koond_kulud!K659</f>
        <v>Inventari kulud, v.a infotehnoloogia ja kaitseotstarbelised kulud</v>
      </c>
      <c r="L625">
        <f>Koond_kulud!L659</f>
        <v>55</v>
      </c>
      <c r="M625" t="str">
        <f>Koond_kulud!M659</f>
        <v>55</v>
      </c>
      <c r="N625" t="str">
        <f>Koond_kulud!N659</f>
        <v>Muud tegevuskulud</v>
      </c>
      <c r="O625" t="str">
        <f>Koond_kulud!O659</f>
        <v>Majandamiskulud</v>
      </c>
      <c r="P625" t="str">
        <f>Koond_kulud!P659</f>
        <v>Põhitegevuse kulu</v>
      </c>
      <c r="Q625">
        <f>Koond_kulud!Q659</f>
        <v>0</v>
      </c>
    </row>
    <row r="626" spans="1:17" hidden="1" x14ac:dyDescent="0.25">
      <c r="A626" t="str">
        <f>Koond_kulud!A660</f>
        <v>09</v>
      </c>
      <c r="B626" t="str">
        <f>Koond_kulud!B660</f>
        <v xml:space="preserve">0911003         </v>
      </c>
      <c r="C626" t="str">
        <f>Koond_kulud!C660</f>
        <v xml:space="preserve"> Kulina Lasteaed</v>
      </c>
      <c r="D626" t="str">
        <f>Koond_kulud!D660</f>
        <v>Alusharidus</v>
      </c>
      <c r="E626" t="str">
        <f>Koond_kulud!E660</f>
        <v>Haridus</v>
      </c>
      <c r="F626" t="str">
        <f>Koond_kulud!F660</f>
        <v>Kulina lasteaed</v>
      </c>
      <c r="G626" t="str">
        <f>Koond_kulud!G660</f>
        <v>toitlustamine</v>
      </c>
      <c r="H626">
        <f>Koond_kulud!H660</f>
        <v>6200</v>
      </c>
      <c r="I626" t="str">
        <f>Koond_kulud!I660</f>
        <v>toidupäevade arv*lastearv*toidupäevamaksumus-30%, kokandustunnid 2 korda kuus  rühmades</v>
      </c>
      <c r="J626">
        <f>Koond_kulud!J660</f>
        <v>5521</v>
      </c>
      <c r="K626" t="str">
        <f>Koond_kulud!K660</f>
        <v>Toiduained ja toitlustusteenused</v>
      </c>
      <c r="L626">
        <f>Koond_kulud!L660</f>
        <v>55</v>
      </c>
      <c r="M626" t="str">
        <f>Koond_kulud!M660</f>
        <v>55</v>
      </c>
      <c r="N626" t="str">
        <f>Koond_kulud!N660</f>
        <v>Muud tegevuskulud</v>
      </c>
      <c r="O626" t="str">
        <f>Koond_kulud!O660</f>
        <v>Majandamiskulud</v>
      </c>
      <c r="P626" t="str">
        <f>Koond_kulud!P660</f>
        <v>Põhitegevuse kulu</v>
      </c>
      <c r="Q626">
        <f>Koond_kulud!Q660</f>
        <v>0</v>
      </c>
    </row>
    <row r="627" spans="1:17" hidden="1" x14ac:dyDescent="0.25">
      <c r="A627" t="str">
        <f>Koond_kulud!A661</f>
        <v>09</v>
      </c>
      <c r="B627" t="str">
        <f>Koond_kulud!B661</f>
        <v xml:space="preserve">0911003         </v>
      </c>
      <c r="C627" t="str">
        <f>Koond_kulud!C661</f>
        <v xml:space="preserve"> Kulina Lasteaed</v>
      </c>
      <c r="D627" t="str">
        <f>Koond_kulud!D661</f>
        <v>Alusharidus</v>
      </c>
      <c r="E627" t="str">
        <f>Koond_kulud!E661</f>
        <v>Haridus</v>
      </c>
      <c r="F627" t="str">
        <f>Koond_kulud!F661</f>
        <v>Kulina lasteaed</v>
      </c>
      <c r="G627" t="str">
        <f>Koond_kulud!G661</f>
        <v>tervisekontroll</v>
      </c>
      <c r="H627">
        <f>Koond_kulud!H661</f>
        <v>120</v>
      </c>
      <c r="I627" t="str">
        <f>Koond_kulud!I661</f>
        <v>(orienteeruv summa) TTOSt tulev kohustus-kokk</v>
      </c>
      <c r="J627">
        <f>Koond_kulud!J661</f>
        <v>5522</v>
      </c>
      <c r="K627" t="str">
        <f>Koond_kulud!K661</f>
        <v>Meditsiinikulud ja hügieenitarbed</v>
      </c>
      <c r="L627">
        <f>Koond_kulud!L661</f>
        <v>55</v>
      </c>
      <c r="M627" t="str">
        <f>Koond_kulud!M661</f>
        <v>55</v>
      </c>
      <c r="N627" t="str">
        <f>Koond_kulud!N661</f>
        <v>Muud tegevuskulud</v>
      </c>
      <c r="O627" t="str">
        <f>Koond_kulud!O661</f>
        <v>Majandamiskulud</v>
      </c>
      <c r="P627" t="str">
        <f>Koond_kulud!P661</f>
        <v>Põhitegevuse kulu</v>
      </c>
      <c r="Q627">
        <f>Koond_kulud!Q661</f>
        <v>0</v>
      </c>
    </row>
    <row r="628" spans="1:17" hidden="1" x14ac:dyDescent="0.25">
      <c r="A628" t="str">
        <f>Koond_kulud!A662</f>
        <v>09</v>
      </c>
      <c r="B628" t="str">
        <f>Koond_kulud!B662</f>
        <v xml:space="preserve">0911003         </v>
      </c>
      <c r="C628" t="str">
        <f>Koond_kulud!C662</f>
        <v xml:space="preserve"> Kulina Lasteaed</v>
      </c>
      <c r="D628" t="str">
        <f>Koond_kulud!D662</f>
        <v>Alusharidus</v>
      </c>
      <c r="E628" t="str">
        <f>Koond_kulud!E662</f>
        <v>Haridus</v>
      </c>
      <c r="F628" t="str">
        <f>Koond_kulud!F662</f>
        <v>Kulina lasteaed</v>
      </c>
      <c r="G628" t="str">
        <f>Koond_kulud!G662</f>
        <v>õppevahendid</v>
      </c>
      <c r="H628">
        <f>Koond_kulud!H662</f>
        <v>1700</v>
      </c>
      <c r="I628" t="str">
        <f>Koond_kulud!I662</f>
        <v>kunstitarbed, õppemängud, mänguasjad, õppematerjal, metoodiline kirjandus jms</v>
      </c>
      <c r="J628">
        <f>Koond_kulud!J662</f>
        <v>5524</v>
      </c>
      <c r="K628" t="str">
        <f>Koond_kulud!K662</f>
        <v>Õppevahendid</v>
      </c>
      <c r="L628">
        <f>Koond_kulud!L662</f>
        <v>55</v>
      </c>
      <c r="M628" t="str">
        <f>Koond_kulud!M662</f>
        <v>55</v>
      </c>
      <c r="N628" t="str">
        <f>Koond_kulud!N662</f>
        <v>Muud tegevuskulud</v>
      </c>
      <c r="O628" t="str">
        <f>Koond_kulud!O662</f>
        <v>Majandamiskulud</v>
      </c>
      <c r="P628" t="str">
        <f>Koond_kulud!P662</f>
        <v>Põhitegevuse kulu</v>
      </c>
      <c r="Q628">
        <f>Koond_kulud!Q662</f>
        <v>0</v>
      </c>
    </row>
    <row r="629" spans="1:17" hidden="1" x14ac:dyDescent="0.25">
      <c r="A629" t="str">
        <f>Koond_kulud!A663</f>
        <v>09</v>
      </c>
      <c r="B629" t="str">
        <f>Koond_kulud!B663</f>
        <v xml:space="preserve">0911003         </v>
      </c>
      <c r="C629" t="str">
        <f>Koond_kulud!C663</f>
        <v xml:space="preserve"> Kulina Lasteaed</v>
      </c>
      <c r="D629" t="str">
        <f>Koond_kulud!D663</f>
        <v>Alusharidus</v>
      </c>
      <c r="E629" t="str">
        <f>Koond_kulud!E663</f>
        <v>Haridus</v>
      </c>
      <c r="F629" t="str">
        <f>Koond_kulud!F663</f>
        <v>Kulina lasteaed</v>
      </c>
      <c r="G629" t="str">
        <f>Koond_kulud!G663</f>
        <v>Matatalab, ozobot</v>
      </c>
      <c r="H629">
        <f>Koond_kulud!H663</f>
        <v>740</v>
      </c>
      <c r="I629" t="str">
        <f>Koond_kulud!I663</f>
        <v>robootikaseadmed, võimalusel taotleme kevadel projektirahasid, kus omafinantseering 15% taotletud summast</v>
      </c>
      <c r="J629">
        <f>Koond_kulud!J663</f>
        <v>5524</v>
      </c>
      <c r="K629" t="str">
        <f>Koond_kulud!K663</f>
        <v>Õppevahendid</v>
      </c>
      <c r="L629">
        <f>Koond_kulud!L663</f>
        <v>55</v>
      </c>
      <c r="M629" t="str">
        <f>Koond_kulud!M663</f>
        <v>55</v>
      </c>
      <c r="N629" t="str">
        <f>Koond_kulud!N663</f>
        <v>Muud tegevuskulud</v>
      </c>
      <c r="O629" t="str">
        <f>Koond_kulud!O663</f>
        <v>Majandamiskulud</v>
      </c>
      <c r="P629" t="str">
        <f>Koond_kulud!P663</f>
        <v>Põhitegevuse kulu</v>
      </c>
      <c r="Q629">
        <f>Koond_kulud!Q663</f>
        <v>0</v>
      </c>
    </row>
    <row r="630" spans="1:17" hidden="1" x14ac:dyDescent="0.25">
      <c r="A630" t="str">
        <f>Koond_kulud!A664</f>
        <v>09</v>
      </c>
      <c r="B630" t="str">
        <f>Koond_kulud!B664</f>
        <v xml:space="preserve">0911003         </v>
      </c>
      <c r="C630" t="str">
        <f>Koond_kulud!C664</f>
        <v xml:space="preserve"> Kulina Lasteaed</v>
      </c>
      <c r="D630" t="str">
        <f>Koond_kulud!D664</f>
        <v>Alusharidus</v>
      </c>
      <c r="E630" t="str">
        <f>Koond_kulud!E664</f>
        <v>Haridus</v>
      </c>
      <c r="F630" t="str">
        <f>Koond_kulud!F664</f>
        <v>Kulina lasteaed</v>
      </c>
      <c r="G630" t="str">
        <f>Koond_kulud!G664</f>
        <v>õppekäigud</v>
      </c>
      <c r="H630">
        <f>Koond_kulud!H664</f>
        <v>500</v>
      </c>
      <c r="I630" t="str">
        <f>Koond_kulud!I664</f>
        <v>õppekäigud, ekskursioon, jõulupidu, lõpupidu, lasteaia sünnipäev</v>
      </c>
      <c r="J630">
        <f>Koond_kulud!J664</f>
        <v>5525</v>
      </c>
      <c r="K630" t="str">
        <f>Koond_kulud!K664</f>
        <v>Kommunikatsiooni-, kultuuri- ja vaba aja sisustamise kulud</v>
      </c>
      <c r="L630">
        <f>Koond_kulud!L664</f>
        <v>55</v>
      </c>
      <c r="M630" t="str">
        <f>Koond_kulud!M664</f>
        <v>55</v>
      </c>
      <c r="N630" t="str">
        <f>Koond_kulud!N664</f>
        <v>Muud tegevuskulud</v>
      </c>
      <c r="O630" t="str">
        <f>Koond_kulud!O664</f>
        <v>Majandamiskulud</v>
      </c>
      <c r="P630" t="str">
        <f>Koond_kulud!P664</f>
        <v>Põhitegevuse kulu</v>
      </c>
      <c r="Q630">
        <f>Koond_kulud!Q664</f>
        <v>0</v>
      </c>
    </row>
    <row r="631" spans="1:17" hidden="1" x14ac:dyDescent="0.25">
      <c r="A631" t="str">
        <f>Koond_kulud!A665</f>
        <v>09</v>
      </c>
      <c r="B631" t="str">
        <f>Koond_kulud!B665</f>
        <v xml:space="preserve">0911003         </v>
      </c>
      <c r="C631" t="str">
        <f>Koond_kulud!C665</f>
        <v xml:space="preserve"> Kulina Lasteaed</v>
      </c>
      <c r="D631" t="str">
        <f>Koond_kulud!D665</f>
        <v>Alusharidus</v>
      </c>
      <c r="E631" t="str">
        <f>Koond_kulud!E665</f>
        <v>Haridus</v>
      </c>
      <c r="F631" t="str">
        <f>Koond_kulud!F665</f>
        <v>Kulina lasteaed</v>
      </c>
      <c r="G631" t="str">
        <f>Koond_kulud!G665</f>
        <v>elekter</v>
      </c>
      <c r="H631">
        <f>Koond_kulud!H665</f>
        <v>6000</v>
      </c>
      <c r="I631" t="str">
        <f>Koond_kulud!I665</f>
        <v>keskmine tarbimine 30860KWhx0,11652 euri kwh</v>
      </c>
      <c r="J631">
        <f>Koond_kulud!J665</f>
        <v>5511</v>
      </c>
      <c r="K631" t="str">
        <f>Koond_kulud!K665</f>
        <v>Kinnistute, hoonete ja ruumide majandamiskulud</v>
      </c>
      <c r="L631">
        <f>Koond_kulud!L665</f>
        <v>55</v>
      </c>
      <c r="M631" t="str">
        <f>Koond_kulud!M665</f>
        <v>55</v>
      </c>
      <c r="N631" t="str">
        <f>Koond_kulud!N665</f>
        <v>Muud tegevuskulud</v>
      </c>
      <c r="O631" t="str">
        <f>Koond_kulud!O665</f>
        <v>Majandamiskulud</v>
      </c>
      <c r="P631" t="str">
        <f>Koond_kulud!P665</f>
        <v>Põhitegevuse kulu</v>
      </c>
      <c r="Q631">
        <f>Koond_kulud!Q665</f>
        <v>0</v>
      </c>
    </row>
    <row r="632" spans="1:17" hidden="1" x14ac:dyDescent="0.25">
      <c r="A632" t="str">
        <f>Koond_kulud!A666</f>
        <v>09</v>
      </c>
      <c r="B632" t="str">
        <f>Koond_kulud!B666</f>
        <v xml:space="preserve">0911003         </v>
      </c>
      <c r="C632" t="str">
        <f>Koond_kulud!C666</f>
        <v xml:space="preserve"> Kulina Lasteaed</v>
      </c>
      <c r="D632" t="str">
        <f>Koond_kulud!D666</f>
        <v>Alusharidus</v>
      </c>
      <c r="E632" t="str">
        <f>Koond_kulud!E666</f>
        <v>Haridus</v>
      </c>
      <c r="F632" t="str">
        <f>Koond_kulud!F666</f>
        <v>Kulina lasteaed</v>
      </c>
      <c r="G632" t="str">
        <f>Koond_kulud!G666</f>
        <v>vesi-ja kanalisatsioon</v>
      </c>
      <c r="H632">
        <f>Koond_kulud!H666</f>
        <v>360</v>
      </c>
      <c r="I632" t="str">
        <f>Koond_kulud!I666</f>
        <v>Emajõe Veevärk</v>
      </c>
      <c r="J632">
        <f>Koond_kulud!J666</f>
        <v>5511</v>
      </c>
      <c r="K632" t="str">
        <f>Koond_kulud!K666</f>
        <v>Kinnistute, hoonete ja ruumide majandamiskulud</v>
      </c>
      <c r="L632">
        <f>Koond_kulud!L666</f>
        <v>55</v>
      </c>
      <c r="M632" t="str">
        <f>Koond_kulud!M666</f>
        <v>55</v>
      </c>
      <c r="N632" t="str">
        <f>Koond_kulud!N666</f>
        <v>Muud tegevuskulud</v>
      </c>
      <c r="O632" t="str">
        <f>Koond_kulud!O666</f>
        <v>Majandamiskulud</v>
      </c>
      <c r="P632" t="str">
        <f>Koond_kulud!P666</f>
        <v>Põhitegevuse kulu</v>
      </c>
      <c r="Q632">
        <f>Koond_kulud!Q666</f>
        <v>0</v>
      </c>
    </row>
    <row r="633" spans="1:17" hidden="1" x14ac:dyDescent="0.25">
      <c r="A633" t="str">
        <f>Koond_kulud!A667</f>
        <v>09</v>
      </c>
      <c r="B633" t="str">
        <f>Koond_kulud!B667</f>
        <v xml:space="preserve">0911003         </v>
      </c>
      <c r="C633" t="str">
        <f>Koond_kulud!C667</f>
        <v xml:space="preserve"> Kulina Lasteaed</v>
      </c>
      <c r="D633" t="str">
        <f>Koond_kulud!D667</f>
        <v>Alusharidus</v>
      </c>
      <c r="E633" t="str">
        <f>Koond_kulud!E667</f>
        <v>Haridus</v>
      </c>
      <c r="F633" t="str">
        <f>Koond_kulud!F667</f>
        <v>Kulina lasteaed</v>
      </c>
      <c r="G633" t="str">
        <f>Koond_kulud!G667</f>
        <v>Korrashoiuvahendid</v>
      </c>
      <c r="H633">
        <f>Koond_kulud!H667</f>
        <v>600</v>
      </c>
      <c r="I633" t="str">
        <f>Koond_kulud!I667</f>
        <v>puhastusvahendid, tarvikud, WC paber jms</v>
      </c>
      <c r="J633">
        <f>Koond_kulud!J667</f>
        <v>5511</v>
      </c>
      <c r="K633" t="str">
        <f>Koond_kulud!K667</f>
        <v>Kinnistute, hoonete ja ruumide majandamiskulud</v>
      </c>
      <c r="L633">
        <f>Koond_kulud!L667</f>
        <v>55</v>
      </c>
      <c r="M633" t="str">
        <f>Koond_kulud!M667</f>
        <v>55</v>
      </c>
      <c r="N633" t="str">
        <f>Koond_kulud!N667</f>
        <v>Muud tegevuskulud</v>
      </c>
      <c r="O633" t="str">
        <f>Koond_kulud!O667</f>
        <v>Majandamiskulud</v>
      </c>
      <c r="P633" t="str">
        <f>Koond_kulud!P667</f>
        <v>Põhitegevuse kulu</v>
      </c>
      <c r="Q633">
        <f>Koond_kulud!Q667</f>
        <v>0</v>
      </c>
    </row>
    <row r="634" spans="1:17" hidden="1" x14ac:dyDescent="0.25">
      <c r="A634" t="str">
        <f>Koond_kulud!A668</f>
        <v>09</v>
      </c>
      <c r="B634" t="str">
        <f>Koond_kulud!B668</f>
        <v xml:space="preserve">0911003         </v>
      </c>
      <c r="C634" t="str">
        <f>Koond_kulud!C668</f>
        <v xml:space="preserve"> Kulina Lasteaed</v>
      </c>
      <c r="D634" t="str">
        <f>Koond_kulud!D668</f>
        <v>Alusharidus</v>
      </c>
      <c r="E634" t="str">
        <f>Koond_kulud!E668</f>
        <v>Haridus</v>
      </c>
      <c r="F634" t="str">
        <f>Koond_kulud!F668</f>
        <v>Kulina lasteaed</v>
      </c>
      <c r="G634" t="str">
        <f>Koond_kulud!G668</f>
        <v>prügi</v>
      </c>
      <c r="H634">
        <f>Koond_kulud!H668</f>
        <v>160</v>
      </c>
      <c r="I634" t="str">
        <f>Koond_kulud!I668</f>
        <v>L-Viru Jäätmekeskus (6,56*12)+ ohtlikud jäätmed jms</v>
      </c>
      <c r="J634">
        <f>Koond_kulud!J668</f>
        <v>5511</v>
      </c>
      <c r="K634" t="str">
        <f>Koond_kulud!K668</f>
        <v>Kinnistute, hoonete ja ruumide majandamiskulud</v>
      </c>
      <c r="L634">
        <f>Koond_kulud!L668</f>
        <v>55</v>
      </c>
      <c r="M634" t="str">
        <f>Koond_kulud!M668</f>
        <v>55</v>
      </c>
      <c r="N634" t="str">
        <f>Koond_kulud!N668</f>
        <v>Muud tegevuskulud</v>
      </c>
      <c r="O634" t="str">
        <f>Koond_kulud!O668</f>
        <v>Majandamiskulud</v>
      </c>
      <c r="P634" t="str">
        <f>Koond_kulud!P668</f>
        <v>Põhitegevuse kulu</v>
      </c>
      <c r="Q634">
        <f>Koond_kulud!Q668</f>
        <v>0</v>
      </c>
    </row>
    <row r="635" spans="1:17" hidden="1" x14ac:dyDescent="0.25">
      <c r="A635" t="str">
        <f>Koond_kulud!A669</f>
        <v>09</v>
      </c>
      <c r="B635" t="str">
        <f>Koond_kulud!B669</f>
        <v xml:space="preserve">0911003         </v>
      </c>
      <c r="C635" t="str">
        <f>Koond_kulud!C669</f>
        <v xml:space="preserve"> Kulina Lasteaed</v>
      </c>
      <c r="D635" t="str">
        <f>Koond_kulud!D669</f>
        <v>Alusharidus</v>
      </c>
      <c r="E635" t="str">
        <f>Koond_kulud!E669</f>
        <v>Haridus</v>
      </c>
      <c r="F635" t="str">
        <f>Koond_kulud!F669</f>
        <v>Kulina lasteaed</v>
      </c>
      <c r="G635" t="str">
        <f>Koond_kulud!G669</f>
        <v>ATS hooldus</v>
      </c>
      <c r="H635">
        <f>Koond_kulud!H669</f>
        <v>276</v>
      </c>
      <c r="I635" t="str">
        <f>Koond_kulud!I669</f>
        <v>U.K.V.Grupp kord kvartalis</v>
      </c>
      <c r="J635">
        <f>Koond_kulud!J669</f>
        <v>5511</v>
      </c>
      <c r="K635" t="str">
        <f>Koond_kulud!K669</f>
        <v>Kinnistute, hoonete ja ruumide majandamiskulud</v>
      </c>
      <c r="L635">
        <f>Koond_kulud!L669</f>
        <v>55</v>
      </c>
      <c r="M635" t="str">
        <f>Koond_kulud!M669</f>
        <v>55</v>
      </c>
      <c r="N635" t="str">
        <f>Koond_kulud!N669</f>
        <v>Muud tegevuskulud</v>
      </c>
      <c r="O635" t="str">
        <f>Koond_kulud!O669</f>
        <v>Majandamiskulud</v>
      </c>
      <c r="P635" t="str">
        <f>Koond_kulud!P669</f>
        <v>Põhitegevuse kulu</v>
      </c>
      <c r="Q635">
        <f>Koond_kulud!Q669</f>
        <v>0</v>
      </c>
    </row>
    <row r="636" spans="1:17" hidden="1" x14ac:dyDescent="0.25">
      <c r="A636" t="str">
        <f>Koond_kulud!A670</f>
        <v>09</v>
      </c>
      <c r="B636" t="str">
        <f>Koond_kulud!B670</f>
        <v xml:space="preserve">0911003         </v>
      </c>
      <c r="C636" t="str">
        <f>Koond_kulud!C670</f>
        <v xml:space="preserve"> Kulina Lasteaed</v>
      </c>
      <c r="D636" t="str">
        <f>Koond_kulud!D670</f>
        <v>Alusharidus</v>
      </c>
      <c r="E636" t="str">
        <f>Koond_kulud!E670</f>
        <v>Haridus</v>
      </c>
      <c r="F636" t="str">
        <f>Koond_kulud!F670</f>
        <v>Kulina lasteaed</v>
      </c>
      <c r="G636" t="str">
        <f>Koond_kulud!G670</f>
        <v>Turvavalgustus, elektritööd</v>
      </c>
      <c r="H636">
        <f>Koond_kulud!H670</f>
        <v>145</v>
      </c>
      <c r="I636" t="str">
        <f>Koond_kulud!I670</f>
        <v>E.Ilves</v>
      </c>
      <c r="J636">
        <f>Koond_kulud!J670</f>
        <v>5511</v>
      </c>
      <c r="K636" t="str">
        <f>Koond_kulud!K670</f>
        <v>Kinnistute, hoonete ja ruumide majandamiskulud</v>
      </c>
      <c r="L636">
        <f>Koond_kulud!L670</f>
        <v>55</v>
      </c>
      <c r="M636" t="str">
        <f>Koond_kulud!M670</f>
        <v>55</v>
      </c>
      <c r="N636" t="str">
        <f>Koond_kulud!N670</f>
        <v>Muud tegevuskulud</v>
      </c>
      <c r="O636" t="str">
        <f>Koond_kulud!O670</f>
        <v>Majandamiskulud</v>
      </c>
      <c r="P636" t="str">
        <f>Koond_kulud!P670</f>
        <v>Põhitegevuse kulu</v>
      </c>
      <c r="Q636">
        <f>Koond_kulud!Q670</f>
        <v>0</v>
      </c>
    </row>
    <row r="637" spans="1:17" hidden="1" x14ac:dyDescent="0.25">
      <c r="A637" t="str">
        <f>Koond_kulud!A671</f>
        <v>09</v>
      </c>
      <c r="B637" t="str">
        <f>Koond_kulud!B671</f>
        <v xml:space="preserve">0911003         </v>
      </c>
      <c r="C637" t="str">
        <f>Koond_kulud!C671</f>
        <v xml:space="preserve"> Kulina Lasteaed</v>
      </c>
      <c r="D637" t="str">
        <f>Koond_kulud!D671</f>
        <v>Alusharidus</v>
      </c>
      <c r="E637" t="str">
        <f>Koond_kulud!E671</f>
        <v>Haridus</v>
      </c>
      <c r="F637" t="str">
        <f>Koond_kulud!F671</f>
        <v>Kulina lasteaed</v>
      </c>
      <c r="G637" t="str">
        <f>Koond_kulud!G671</f>
        <v>Puhastussool veefiltrile</v>
      </c>
      <c r="H637">
        <f>Koond_kulud!H671</f>
        <v>110</v>
      </c>
      <c r="I637" t="str">
        <f>Koond_kulud!I671</f>
        <v>FEB AS</v>
      </c>
      <c r="J637">
        <f>Koond_kulud!J671</f>
        <v>5511</v>
      </c>
      <c r="K637" t="str">
        <f>Koond_kulud!K671</f>
        <v>Kinnistute, hoonete ja ruumide majandamiskulud</v>
      </c>
      <c r="L637">
        <f>Koond_kulud!L671</f>
        <v>55</v>
      </c>
      <c r="M637" t="str">
        <f>Koond_kulud!M671</f>
        <v>55</v>
      </c>
      <c r="N637" t="str">
        <f>Koond_kulud!N671</f>
        <v>Muud tegevuskulud</v>
      </c>
      <c r="O637" t="str">
        <f>Koond_kulud!O671</f>
        <v>Majandamiskulud</v>
      </c>
      <c r="P637" t="str">
        <f>Koond_kulud!P671</f>
        <v>Põhitegevuse kulu</v>
      </c>
      <c r="Q637">
        <f>Koond_kulud!Q671</f>
        <v>0</v>
      </c>
    </row>
    <row r="638" spans="1:17" hidden="1" x14ac:dyDescent="0.25">
      <c r="A638" t="str">
        <f>Koond_kulud!A672</f>
        <v>09</v>
      </c>
      <c r="B638" t="str">
        <f>Koond_kulud!B672</f>
        <v xml:space="preserve">0911003         </v>
      </c>
      <c r="C638" t="str">
        <f>Koond_kulud!C672</f>
        <v xml:space="preserve"> Kulina Lasteaed</v>
      </c>
      <c r="D638" t="str">
        <f>Koond_kulud!D672</f>
        <v>Alusharidus</v>
      </c>
      <c r="E638" t="str">
        <f>Koond_kulud!E672</f>
        <v>Haridus</v>
      </c>
      <c r="F638" t="str">
        <f>Koond_kulud!F672</f>
        <v>Kulina lasteaed</v>
      </c>
      <c r="G638" t="str">
        <f>Koond_kulud!G672</f>
        <v>maakütte aastane hooldus</v>
      </c>
      <c r="H638">
        <f>Koond_kulud!H672</f>
        <v>690</v>
      </c>
      <c r="I638" t="str">
        <f>Koond_kulud!I672</f>
        <v>TJ Hooldus OÜ</v>
      </c>
      <c r="J638">
        <f>Koond_kulud!J672</f>
        <v>5511</v>
      </c>
      <c r="K638" t="str">
        <f>Koond_kulud!K672</f>
        <v>Kinnistute, hoonete ja ruumide majandamiskulud</v>
      </c>
      <c r="L638">
        <f>Koond_kulud!L672</f>
        <v>55</v>
      </c>
      <c r="M638" t="str">
        <f>Koond_kulud!M672</f>
        <v>55</v>
      </c>
      <c r="N638" t="str">
        <f>Koond_kulud!N672</f>
        <v>Muud tegevuskulud</v>
      </c>
      <c r="O638" t="str">
        <f>Koond_kulud!O672</f>
        <v>Majandamiskulud</v>
      </c>
      <c r="P638" t="str">
        <f>Koond_kulud!P672</f>
        <v>Põhitegevuse kulu</v>
      </c>
      <c r="Q638">
        <f>Koond_kulud!Q672</f>
        <v>0</v>
      </c>
    </row>
    <row r="639" spans="1:17" hidden="1" x14ac:dyDescent="0.25">
      <c r="A639" t="str">
        <f>Koond_kulud!A673</f>
        <v>09</v>
      </c>
      <c r="B639" t="str">
        <f>Koond_kulud!B673</f>
        <v xml:space="preserve">0911003         </v>
      </c>
      <c r="C639" t="str">
        <f>Koond_kulud!C673</f>
        <v xml:space="preserve"> Kulina Lasteaed</v>
      </c>
      <c r="D639" t="str">
        <f>Koond_kulud!D673</f>
        <v>Alusharidus</v>
      </c>
      <c r="E639" t="str">
        <f>Koond_kulud!E673</f>
        <v>Haridus</v>
      </c>
      <c r="F639" t="str">
        <f>Koond_kulud!F673</f>
        <v>Kulina lasteaed</v>
      </c>
      <c r="G639" t="str">
        <f>Koond_kulud!G673</f>
        <v>muruniitmine</v>
      </c>
      <c r="H639">
        <f>Koond_kulud!H673</f>
        <v>120</v>
      </c>
      <c r="I639" t="str">
        <f>Koond_kulud!I673</f>
        <v>õli, bensiin, hooldus</v>
      </c>
      <c r="J639">
        <f>Koond_kulud!J673</f>
        <v>5511</v>
      </c>
      <c r="K639" t="str">
        <f>Koond_kulud!K673</f>
        <v>Kinnistute, hoonete ja ruumide majandamiskulud</v>
      </c>
      <c r="L639">
        <f>Koond_kulud!L673</f>
        <v>55</v>
      </c>
      <c r="M639" t="str">
        <f>Koond_kulud!M673</f>
        <v>55</v>
      </c>
      <c r="N639" t="str">
        <f>Koond_kulud!N673</f>
        <v>Muud tegevuskulud</v>
      </c>
      <c r="O639" t="str">
        <f>Koond_kulud!O673</f>
        <v>Majandamiskulud</v>
      </c>
      <c r="P639" t="str">
        <f>Koond_kulud!P673</f>
        <v>Põhitegevuse kulu</v>
      </c>
      <c r="Q639">
        <f>Koond_kulud!Q673</f>
        <v>0</v>
      </c>
    </row>
    <row r="640" spans="1:17" hidden="1" x14ac:dyDescent="0.25">
      <c r="A640" t="str">
        <f>Koond_kulud!A674</f>
        <v>09</v>
      </c>
      <c r="B640" t="str">
        <f>Koond_kulud!B674</f>
        <v xml:space="preserve">0911003         </v>
      </c>
      <c r="C640" t="str">
        <f>Koond_kulud!C674</f>
        <v xml:space="preserve"> Kulina Lasteaed</v>
      </c>
      <c r="D640" t="str">
        <f>Koond_kulud!D674</f>
        <v>Alusharidus</v>
      </c>
      <c r="E640" t="str">
        <f>Koond_kulud!E674</f>
        <v>Haridus</v>
      </c>
      <c r="F640" t="str">
        <f>Koond_kulud!F674</f>
        <v>Kulina lasteaed</v>
      </c>
      <c r="G640" t="str">
        <f>Koond_kulud!G674</f>
        <v>paviljonide korrastamine</v>
      </c>
      <c r="H640">
        <f>Koond_kulud!H674</f>
        <v>200</v>
      </c>
      <c r="I640" t="str">
        <f>Koond_kulud!I674</f>
        <v>tasandusegu põrandaaukude parandamiseks, värvid</v>
      </c>
      <c r="J640">
        <f>Koond_kulud!J674</f>
        <v>5511</v>
      </c>
      <c r="K640" t="str">
        <f>Koond_kulud!K674</f>
        <v>Kinnistute, hoonete ja ruumide majandamiskulud</v>
      </c>
      <c r="L640">
        <f>Koond_kulud!L674</f>
        <v>55</v>
      </c>
      <c r="M640" t="str">
        <f>Koond_kulud!M674</f>
        <v>55</v>
      </c>
      <c r="N640" t="str">
        <f>Koond_kulud!N674</f>
        <v>Muud tegevuskulud</v>
      </c>
      <c r="O640" t="str">
        <f>Koond_kulud!O674</f>
        <v>Majandamiskulud</v>
      </c>
      <c r="P640" t="str">
        <f>Koond_kulud!P674</f>
        <v>Põhitegevuse kulu</v>
      </c>
      <c r="Q640">
        <f>Koond_kulud!Q674</f>
        <v>0</v>
      </c>
    </row>
    <row r="641" spans="1:17" hidden="1" x14ac:dyDescent="0.25">
      <c r="A641" t="str">
        <f>Koond_kulud!A675</f>
        <v>09</v>
      </c>
      <c r="B641" t="str">
        <f>Koond_kulud!B675</f>
        <v xml:space="preserve">0911003         </v>
      </c>
      <c r="C641" t="str">
        <f>Koond_kulud!C675</f>
        <v xml:space="preserve"> Kulina Lasteaed</v>
      </c>
      <c r="D641" t="str">
        <f>Koond_kulud!D675</f>
        <v>Alusharidus</v>
      </c>
      <c r="E641" t="str">
        <f>Koond_kulud!E675</f>
        <v>Haridus</v>
      </c>
      <c r="F641" t="str">
        <f>Koond_kulud!F675</f>
        <v>Kulina lasteaed</v>
      </c>
      <c r="G641" t="str">
        <f>Koond_kulud!G675</f>
        <v>rulood</v>
      </c>
      <c r="H641">
        <f>Koond_kulud!H675</f>
        <v>975</v>
      </c>
      <c r="I641" t="str">
        <f>Koond_kulud!I675</f>
        <v>Lepatriinu rühma magamistuba, praegused rulood osaliselt katki, kinnitusklambrid muutunud rabedaks</v>
      </c>
      <c r="J641">
        <f>Koond_kulud!J675</f>
        <v>5511</v>
      </c>
      <c r="K641" t="str">
        <f>Koond_kulud!K675</f>
        <v>Kinnistute, hoonete ja ruumide majandamiskulud</v>
      </c>
      <c r="L641">
        <f>Koond_kulud!L675</f>
        <v>55</v>
      </c>
      <c r="M641" t="str">
        <f>Koond_kulud!M675</f>
        <v>55</v>
      </c>
      <c r="N641" t="str">
        <f>Koond_kulud!N675</f>
        <v>Muud tegevuskulud</v>
      </c>
      <c r="O641" t="str">
        <f>Koond_kulud!O675</f>
        <v>Majandamiskulud</v>
      </c>
      <c r="P641" t="str">
        <f>Koond_kulud!P675</f>
        <v>Põhitegevuse kulu</v>
      </c>
      <c r="Q641">
        <f>Koond_kulud!Q675</f>
        <v>0</v>
      </c>
    </row>
    <row r="642" spans="1:17" hidden="1" x14ac:dyDescent="0.25">
      <c r="A642" t="str">
        <f>Koond_kulud!A676</f>
        <v>09</v>
      </c>
      <c r="B642" t="str">
        <f>Koond_kulud!B676</f>
        <v xml:space="preserve">0911003         </v>
      </c>
      <c r="C642" t="str">
        <f>Koond_kulud!C676</f>
        <v xml:space="preserve"> Kulina Lasteaed</v>
      </c>
      <c r="D642" t="str">
        <f>Koond_kulud!D676</f>
        <v>Alusharidus</v>
      </c>
      <c r="E642" t="str">
        <f>Koond_kulud!E676</f>
        <v>Haridus</v>
      </c>
      <c r="F642" t="str">
        <f>Koond_kulud!F676</f>
        <v>Kulina lasteaed</v>
      </c>
      <c r="G642" t="str">
        <f>Koond_kulud!G676</f>
        <v>arvutikõlarid</v>
      </c>
      <c r="H642">
        <f>Koond_kulud!H676</f>
        <v>50</v>
      </c>
      <c r="I642" t="str">
        <f>Koond_kulud!I676</f>
        <v>mesimummu rühma arvutile</v>
      </c>
      <c r="J642">
        <f>Koond_kulud!J676</f>
        <v>5514</v>
      </c>
      <c r="K642" t="str">
        <f>Koond_kulud!K676</f>
        <v>Info- ja kommunikatsioonitehnoliigised kulud</v>
      </c>
      <c r="L642">
        <f>Koond_kulud!L676</f>
        <v>55</v>
      </c>
      <c r="M642" t="str">
        <f>Koond_kulud!M676</f>
        <v>55</v>
      </c>
      <c r="N642" t="str">
        <f>Koond_kulud!N676</f>
        <v>Muud tegevuskulud</v>
      </c>
      <c r="O642" t="str">
        <f>Koond_kulud!O676</f>
        <v>Majandamiskulud</v>
      </c>
      <c r="P642" t="str">
        <f>Koond_kulud!P676</f>
        <v>Põhitegevuse kulu</v>
      </c>
      <c r="Q642">
        <f>Koond_kulud!Q676</f>
        <v>0</v>
      </c>
    </row>
    <row r="643" spans="1:17" hidden="1" x14ac:dyDescent="0.25">
      <c r="A643" t="str">
        <f>Koond_kulud!A677</f>
        <v>09</v>
      </c>
      <c r="B643" t="str">
        <f>Koond_kulud!B677</f>
        <v xml:space="preserve">0911004         </v>
      </c>
      <c r="C643" t="str">
        <f>Koond_kulud!C677</f>
        <v xml:space="preserve"> Tudu Lasteaed</v>
      </c>
      <c r="D643" t="str">
        <f>Koond_kulud!D677</f>
        <v>Alusharidus</v>
      </c>
      <c r="E643" t="str">
        <f>Koond_kulud!E677</f>
        <v>Haridus</v>
      </c>
      <c r="F643" t="str">
        <f>Koond_kulud!F677</f>
        <v>Tudu lasteaed</v>
      </c>
      <c r="G643" t="str">
        <f>Koond_kulud!G677</f>
        <v>uue õppekava rakend</v>
      </c>
      <c r="H643">
        <f>Koond_kulud!H677</f>
        <v>100</v>
      </c>
      <c r="I643">
        <f>Koond_kulud!I677</f>
        <v>0</v>
      </c>
      <c r="J643">
        <f>Koond_kulud!J677</f>
        <v>5504</v>
      </c>
      <c r="K643" t="str">
        <f>Koond_kulud!K677</f>
        <v>Koolituskulud</v>
      </c>
      <c r="L643">
        <f>Koond_kulud!L677</f>
        <v>55</v>
      </c>
      <c r="M643" t="str">
        <f>Koond_kulud!M677</f>
        <v>55</v>
      </c>
      <c r="N643" t="str">
        <f>Koond_kulud!N677</f>
        <v>Muud tegevuskulud</v>
      </c>
      <c r="O643" t="str">
        <f>Koond_kulud!O677</f>
        <v>Majandamiskulud</v>
      </c>
      <c r="P643" t="str">
        <f>Koond_kulud!P677</f>
        <v>Põhitegevuse kulu</v>
      </c>
      <c r="Q643">
        <f>Koond_kulud!Q677</f>
        <v>0</v>
      </c>
    </row>
    <row r="644" spans="1:17" hidden="1" x14ac:dyDescent="0.25">
      <c r="A644" t="str">
        <f>Koond_kulud!A678</f>
        <v>09</v>
      </c>
      <c r="B644" t="str">
        <f>Koond_kulud!B678</f>
        <v xml:space="preserve">0911004         </v>
      </c>
      <c r="C644" t="str">
        <f>Koond_kulud!C678</f>
        <v xml:space="preserve"> Tudu Lasteaed</v>
      </c>
      <c r="D644" t="str">
        <f>Koond_kulud!D678</f>
        <v>Alusharidus</v>
      </c>
      <c r="E644" t="str">
        <f>Koond_kulud!E678</f>
        <v>Haridus</v>
      </c>
      <c r="F644" t="str">
        <f>Koond_kulud!F678</f>
        <v>Tudu lasteaed</v>
      </c>
      <c r="G644" t="str">
        <f>Koond_kulud!G678</f>
        <v>lasteaia toidukaup</v>
      </c>
      <c r="H644">
        <f>Koond_kulud!H678</f>
        <v>4073</v>
      </c>
      <c r="I644">
        <f>Koond_kulud!I678</f>
        <v>0</v>
      </c>
      <c r="J644">
        <f>Koond_kulud!J678</f>
        <v>5521</v>
      </c>
      <c r="K644" t="str">
        <f>Koond_kulud!K678</f>
        <v>Toiduained ja toitlustusteenused</v>
      </c>
      <c r="L644">
        <f>Koond_kulud!L678</f>
        <v>55</v>
      </c>
      <c r="M644" t="str">
        <f>Koond_kulud!M678</f>
        <v>55</v>
      </c>
      <c r="N644" t="str">
        <f>Koond_kulud!N678</f>
        <v>Muud tegevuskulud</v>
      </c>
      <c r="O644" t="str">
        <f>Koond_kulud!O678</f>
        <v>Majandamiskulud</v>
      </c>
      <c r="P644" t="str">
        <f>Koond_kulud!P678</f>
        <v>Põhitegevuse kulu</v>
      </c>
      <c r="Q644">
        <f>Koond_kulud!Q678</f>
        <v>0</v>
      </c>
    </row>
    <row r="645" spans="1:17" hidden="1" x14ac:dyDescent="0.25">
      <c r="A645" t="str">
        <f>Koond_kulud!A679</f>
        <v>09</v>
      </c>
      <c r="B645" t="str">
        <f>Koond_kulud!B679</f>
        <v xml:space="preserve">0911004         </v>
      </c>
      <c r="C645" t="str">
        <f>Koond_kulud!C679</f>
        <v xml:space="preserve"> Tudu Lasteaed</v>
      </c>
      <c r="D645" t="str">
        <f>Koond_kulud!D679</f>
        <v>Alusharidus</v>
      </c>
      <c r="E645" t="str">
        <f>Koond_kulud!E679</f>
        <v>Haridus</v>
      </c>
      <c r="F645" t="str">
        <f>Koond_kulud!F679</f>
        <v>Tudu lasteaed</v>
      </c>
      <c r="G645" t="str">
        <f>Koond_kulud!G679</f>
        <v xml:space="preserve">õpikud </v>
      </c>
      <c r="H645">
        <f>Koond_kulud!H679</f>
        <v>150</v>
      </c>
      <c r="I645">
        <f>Koond_kulud!I679</f>
        <v>0</v>
      </c>
      <c r="J645">
        <f>Koond_kulud!J679</f>
        <v>5524</v>
      </c>
      <c r="K645" t="str">
        <f>Koond_kulud!K679</f>
        <v>Õppevahendid</v>
      </c>
      <c r="L645">
        <f>Koond_kulud!L679</f>
        <v>55</v>
      </c>
      <c r="M645" t="str">
        <f>Koond_kulud!M679</f>
        <v>55</v>
      </c>
      <c r="N645" t="str">
        <f>Koond_kulud!N679</f>
        <v>Muud tegevuskulud</v>
      </c>
      <c r="O645" t="str">
        <f>Koond_kulud!O679</f>
        <v>Majandamiskulud</v>
      </c>
      <c r="P645" t="str">
        <f>Koond_kulud!P679</f>
        <v>Põhitegevuse kulu</v>
      </c>
      <c r="Q645">
        <f>Koond_kulud!Q679</f>
        <v>0</v>
      </c>
    </row>
    <row r="646" spans="1:17" hidden="1" x14ac:dyDescent="0.25">
      <c r="A646" t="str">
        <f>Koond_kulud!A680</f>
        <v>09</v>
      </c>
      <c r="B646" t="str">
        <f>Koond_kulud!B680</f>
        <v xml:space="preserve">0911004         </v>
      </c>
      <c r="C646" t="str">
        <f>Koond_kulud!C680</f>
        <v xml:space="preserve"> Tudu Lasteaed</v>
      </c>
      <c r="D646" t="str">
        <f>Koond_kulud!D680</f>
        <v>Alusharidus</v>
      </c>
      <c r="E646" t="str">
        <f>Koond_kulud!E680</f>
        <v>Haridus</v>
      </c>
      <c r="F646" t="str">
        <f>Koond_kulud!F680</f>
        <v>Tudu lasteaed</v>
      </c>
      <c r="G646" t="str">
        <f>Koond_kulud!G680</f>
        <v>töövihikud</v>
      </c>
      <c r="H646">
        <f>Koond_kulud!H680</f>
        <v>50</v>
      </c>
      <c r="I646">
        <f>Koond_kulud!I680</f>
        <v>0</v>
      </c>
      <c r="J646">
        <f>Koond_kulud!J680</f>
        <v>5524</v>
      </c>
      <c r="K646" t="str">
        <f>Koond_kulud!K680</f>
        <v>Õppevahendid</v>
      </c>
      <c r="L646">
        <f>Koond_kulud!L680</f>
        <v>55</v>
      </c>
      <c r="M646" t="str">
        <f>Koond_kulud!M680</f>
        <v>55</v>
      </c>
      <c r="N646" t="str">
        <f>Koond_kulud!N680</f>
        <v>Muud tegevuskulud</v>
      </c>
      <c r="O646" t="str">
        <f>Koond_kulud!O680</f>
        <v>Majandamiskulud</v>
      </c>
      <c r="P646" t="str">
        <f>Koond_kulud!P680</f>
        <v>Põhitegevuse kulu</v>
      </c>
      <c r="Q646">
        <f>Koond_kulud!Q680</f>
        <v>0</v>
      </c>
    </row>
    <row r="647" spans="1:17" hidden="1" x14ac:dyDescent="0.25">
      <c r="A647" t="str">
        <f>Koond_kulud!A681</f>
        <v>09</v>
      </c>
      <c r="B647" t="str">
        <f>Koond_kulud!B681</f>
        <v xml:space="preserve">0911004         </v>
      </c>
      <c r="C647" t="str">
        <f>Koond_kulud!C681</f>
        <v xml:space="preserve"> Tudu Lasteaed</v>
      </c>
      <c r="D647" t="str">
        <f>Koond_kulud!D681</f>
        <v>Alusharidus</v>
      </c>
      <c r="E647" t="str">
        <f>Koond_kulud!E681</f>
        <v>Haridus</v>
      </c>
      <c r="F647" t="str">
        <f>Koond_kulud!F681</f>
        <v>Tudu lasteaed</v>
      </c>
      <c r="G647" t="str">
        <f>Koond_kulud!G681</f>
        <v>mänguasjad, paber, värvid jm</v>
      </c>
      <c r="H647">
        <f>Koond_kulud!H681</f>
        <v>150</v>
      </c>
      <c r="I647">
        <f>Koond_kulud!I681</f>
        <v>0</v>
      </c>
      <c r="J647">
        <f>Koond_kulud!J681</f>
        <v>5524</v>
      </c>
      <c r="K647" t="str">
        <f>Koond_kulud!K681</f>
        <v>Õppevahendid</v>
      </c>
      <c r="L647">
        <f>Koond_kulud!L681</f>
        <v>55</v>
      </c>
      <c r="M647" t="str">
        <f>Koond_kulud!M681</f>
        <v>55</v>
      </c>
      <c r="N647" t="str">
        <f>Koond_kulud!N681</f>
        <v>Muud tegevuskulud</v>
      </c>
      <c r="O647" t="str">
        <f>Koond_kulud!O681</f>
        <v>Majandamiskulud</v>
      </c>
      <c r="P647" t="str">
        <f>Koond_kulud!P681</f>
        <v>Põhitegevuse kulu</v>
      </c>
      <c r="Q647">
        <f>Koond_kulud!Q681</f>
        <v>0</v>
      </c>
    </row>
    <row r="648" spans="1:17" hidden="1" x14ac:dyDescent="0.25">
      <c r="A648" t="str">
        <f>Koond_kulud!A682</f>
        <v>09</v>
      </c>
      <c r="B648" t="str">
        <f>Koond_kulud!B682</f>
        <v xml:space="preserve">0911004         </v>
      </c>
      <c r="C648" t="str">
        <f>Koond_kulud!C682</f>
        <v xml:space="preserve"> Tudu Lasteaed</v>
      </c>
      <c r="D648" t="str">
        <f>Koond_kulud!D682</f>
        <v>Alusharidus</v>
      </c>
      <c r="E648" t="str">
        <f>Koond_kulud!E682</f>
        <v>Haridus</v>
      </c>
      <c r="F648" t="str">
        <f>Koond_kulud!F682</f>
        <v>Tudu lasteaed</v>
      </c>
      <c r="G648" t="str">
        <f>Koond_kulud!G682</f>
        <v>eriped tegevus</v>
      </c>
      <c r="H648">
        <f>Koond_kulud!H682</f>
        <v>900</v>
      </c>
      <c r="I648">
        <f>Koond_kulud!I682</f>
        <v>0</v>
      </c>
      <c r="J648">
        <f>Koond_kulud!J682</f>
        <v>5524</v>
      </c>
      <c r="K648" t="str">
        <f>Koond_kulud!K682</f>
        <v>Õppevahendid</v>
      </c>
      <c r="L648">
        <f>Koond_kulud!L682</f>
        <v>55</v>
      </c>
      <c r="M648" t="str">
        <f>Koond_kulud!M682</f>
        <v>55</v>
      </c>
      <c r="N648" t="str">
        <f>Koond_kulud!N682</f>
        <v>Muud tegevuskulud</v>
      </c>
      <c r="O648" t="str">
        <f>Koond_kulud!O682</f>
        <v>Majandamiskulud</v>
      </c>
      <c r="P648" t="str">
        <f>Koond_kulud!P682</f>
        <v>Põhitegevuse kulu</v>
      </c>
      <c r="Q648">
        <f>Koond_kulud!Q682</f>
        <v>0</v>
      </c>
    </row>
    <row r="649" spans="1:17" hidden="1" x14ac:dyDescent="0.25">
      <c r="A649" t="str">
        <f>Koond_kulud!A683</f>
        <v>09</v>
      </c>
      <c r="B649" t="str">
        <f>Koond_kulud!B683</f>
        <v xml:space="preserve">0911005         </v>
      </c>
      <c r="C649" t="str">
        <f>Koond_kulud!C683</f>
        <v xml:space="preserve"> Ulvi Lasteaed</v>
      </c>
      <c r="D649" t="str">
        <f>Koond_kulud!D683</f>
        <v>Alusharidus</v>
      </c>
      <c r="E649" t="str">
        <f>Koond_kulud!E683</f>
        <v>Haridus</v>
      </c>
      <c r="F649" t="str">
        <f>Koond_kulud!F683</f>
        <v>Ulvi lasteaed</v>
      </c>
      <c r="G649" t="str">
        <f>Koond_kulud!G683</f>
        <v>Koolitused</v>
      </c>
      <c r="H649">
        <f>Koond_kulud!H683</f>
        <v>600</v>
      </c>
      <c r="I649">
        <f>Koond_kulud!I683</f>
        <v>0</v>
      </c>
      <c r="J649">
        <f>Koond_kulud!J683</f>
        <v>5504</v>
      </c>
      <c r="K649" t="str">
        <f>Koond_kulud!K683</f>
        <v>Koolituskulud</v>
      </c>
      <c r="L649">
        <f>Koond_kulud!L683</f>
        <v>55</v>
      </c>
      <c r="M649" t="str">
        <f>Koond_kulud!M683</f>
        <v>55</v>
      </c>
      <c r="N649" t="str">
        <f>Koond_kulud!N683</f>
        <v>Muud tegevuskulud</v>
      </c>
      <c r="O649" t="str">
        <f>Koond_kulud!O683</f>
        <v>Majandamiskulud</v>
      </c>
      <c r="P649" t="str">
        <f>Koond_kulud!P683</f>
        <v>Põhitegevuse kulu</v>
      </c>
      <c r="Q649">
        <f>Koond_kulud!Q683</f>
        <v>0</v>
      </c>
    </row>
    <row r="650" spans="1:17" hidden="1" x14ac:dyDescent="0.25">
      <c r="A650" t="str">
        <f>Koond_kulud!A684</f>
        <v>09</v>
      </c>
      <c r="B650" t="str">
        <f>Koond_kulud!B684</f>
        <v xml:space="preserve">0911005         </v>
      </c>
      <c r="C650" t="str">
        <f>Koond_kulud!C684</f>
        <v xml:space="preserve"> Ulvi Lasteaed</v>
      </c>
      <c r="D650" t="str">
        <f>Koond_kulud!D684</f>
        <v>Alusharidus</v>
      </c>
      <c r="E650" t="str">
        <f>Koond_kulud!E684</f>
        <v>Haridus</v>
      </c>
      <c r="F650" t="str">
        <f>Koond_kulud!F684</f>
        <v>Ulvi lasteaed</v>
      </c>
      <c r="G650" t="str">
        <f>Koond_kulud!G684</f>
        <v xml:space="preserve">Inventari jooksev hooldus </v>
      </c>
      <c r="H650">
        <f>Koond_kulud!H684</f>
        <v>150</v>
      </c>
      <c r="I650">
        <f>Koond_kulud!I684</f>
        <v>0</v>
      </c>
      <c r="J650">
        <f>Koond_kulud!J684</f>
        <v>5515</v>
      </c>
      <c r="K650" t="str">
        <f>Koond_kulud!K684</f>
        <v>Inventari kulud, v.a infotehnoloogia ja kaitseotstarbelised kulud</v>
      </c>
      <c r="L650">
        <f>Koond_kulud!L684</f>
        <v>55</v>
      </c>
      <c r="M650" t="str">
        <f>Koond_kulud!M684</f>
        <v>55</v>
      </c>
      <c r="N650" t="str">
        <f>Koond_kulud!N684</f>
        <v>Muud tegevuskulud</v>
      </c>
      <c r="O650" t="str">
        <f>Koond_kulud!O684</f>
        <v>Majandamiskulud</v>
      </c>
      <c r="P650" t="str">
        <f>Koond_kulud!P684</f>
        <v>Põhitegevuse kulu</v>
      </c>
      <c r="Q650">
        <f>Koond_kulud!Q684</f>
        <v>0</v>
      </c>
    </row>
    <row r="651" spans="1:17" hidden="1" x14ac:dyDescent="0.25">
      <c r="A651" t="str">
        <f>Koond_kulud!A685</f>
        <v>09</v>
      </c>
      <c r="B651" t="str">
        <f>Koond_kulud!B685</f>
        <v xml:space="preserve">0911005         </v>
      </c>
      <c r="C651" t="str">
        <f>Koond_kulud!C685</f>
        <v xml:space="preserve"> Ulvi Lasteaed</v>
      </c>
      <c r="D651" t="str">
        <f>Koond_kulud!D685</f>
        <v>Alusharidus</v>
      </c>
      <c r="E651" t="str">
        <f>Koond_kulud!E685</f>
        <v>Haridus</v>
      </c>
      <c r="F651" t="str">
        <f>Koond_kulud!F685</f>
        <v>Ulvi lasteaed</v>
      </c>
      <c r="G651" t="str">
        <f>Koond_kulud!G685</f>
        <v>Laud tk.2  200 eurot</v>
      </c>
      <c r="H651">
        <f>Koond_kulud!H685</f>
        <v>200</v>
      </c>
      <c r="I651" t="str">
        <f>Koond_kulud!I685</f>
        <v>Planeerin kaks, ühe tk.hind 100 eurot</v>
      </c>
      <c r="J651">
        <f>Koond_kulud!J685</f>
        <v>5515</v>
      </c>
      <c r="K651" t="str">
        <f>Koond_kulud!K685</f>
        <v>Inventari kulud, v.a infotehnoloogia ja kaitseotstarbelised kulud</v>
      </c>
      <c r="L651">
        <f>Koond_kulud!L685</f>
        <v>55</v>
      </c>
      <c r="M651" t="str">
        <f>Koond_kulud!M685</f>
        <v>55</v>
      </c>
      <c r="N651" t="str">
        <f>Koond_kulud!N685</f>
        <v>Muud tegevuskulud</v>
      </c>
      <c r="O651" t="str">
        <f>Koond_kulud!O685</f>
        <v>Majandamiskulud</v>
      </c>
      <c r="P651" t="str">
        <f>Koond_kulud!P685</f>
        <v>Põhitegevuse kulu</v>
      </c>
      <c r="Q651">
        <f>Koond_kulud!Q685</f>
        <v>0</v>
      </c>
    </row>
    <row r="652" spans="1:17" hidden="1" x14ac:dyDescent="0.25">
      <c r="A652" t="str">
        <f>Koond_kulud!A686</f>
        <v>09</v>
      </c>
      <c r="B652" t="str">
        <f>Koond_kulud!B686</f>
        <v xml:space="preserve">0911005         </v>
      </c>
      <c r="C652" t="str">
        <f>Koond_kulud!C686</f>
        <v xml:space="preserve"> Ulvi Lasteaed</v>
      </c>
      <c r="D652" t="str">
        <f>Koond_kulud!D686</f>
        <v>Alusharidus</v>
      </c>
      <c r="E652" t="str">
        <f>Koond_kulud!E686</f>
        <v>Haridus</v>
      </c>
      <c r="F652" t="str">
        <f>Koond_kulud!F686</f>
        <v>Ulvi lasteaed</v>
      </c>
      <c r="G652" t="str">
        <f>Koond_kulud!G686</f>
        <v>Riiul tk.1 100 eurot</v>
      </c>
      <c r="H652">
        <f>Koond_kulud!H686</f>
        <v>100</v>
      </c>
      <c r="I652">
        <f>Koond_kulud!I686</f>
        <v>0</v>
      </c>
      <c r="J652">
        <f>Koond_kulud!J686</f>
        <v>5515</v>
      </c>
      <c r="K652" t="str">
        <f>Koond_kulud!K686</f>
        <v>Inventari kulud, v.a infotehnoloogia ja kaitseotstarbelised kulud</v>
      </c>
      <c r="L652">
        <f>Koond_kulud!L686</f>
        <v>55</v>
      </c>
      <c r="M652" t="str">
        <f>Koond_kulud!M686</f>
        <v>55</v>
      </c>
      <c r="N652" t="str">
        <f>Koond_kulud!N686</f>
        <v>Muud tegevuskulud</v>
      </c>
      <c r="O652" t="str">
        <f>Koond_kulud!O686</f>
        <v>Majandamiskulud</v>
      </c>
      <c r="P652" t="str">
        <f>Koond_kulud!P686</f>
        <v>Põhitegevuse kulu</v>
      </c>
      <c r="Q652">
        <f>Koond_kulud!Q686</f>
        <v>0</v>
      </c>
    </row>
    <row r="653" spans="1:17" hidden="1" x14ac:dyDescent="0.25">
      <c r="A653" t="str">
        <f>Koond_kulud!A687</f>
        <v>09</v>
      </c>
      <c r="B653" t="str">
        <f>Koond_kulud!B687</f>
        <v xml:space="preserve">0911005         </v>
      </c>
      <c r="C653" t="str">
        <f>Koond_kulud!C687</f>
        <v xml:space="preserve"> Ulvi Lasteaed</v>
      </c>
      <c r="D653" t="str">
        <f>Koond_kulud!D687</f>
        <v>Alusharidus</v>
      </c>
      <c r="E653" t="str">
        <f>Koond_kulud!E687</f>
        <v>Haridus</v>
      </c>
      <c r="F653" t="str">
        <f>Koond_kulud!F687</f>
        <v>Ulvi lasteaed</v>
      </c>
      <c r="G653" t="str">
        <f>Koond_kulud!G687</f>
        <v>4 kohal voodi kompl. Tk.1 600 eurot</v>
      </c>
      <c r="H653">
        <f>Koond_kulud!H687</f>
        <v>600</v>
      </c>
      <c r="I653" t="str">
        <f>Koond_kulud!I687</f>
        <v>Planeerin ühe</v>
      </c>
      <c r="J653">
        <f>Koond_kulud!J687</f>
        <v>5515</v>
      </c>
      <c r="K653" t="str">
        <f>Koond_kulud!K687</f>
        <v>Inventari kulud, v.a infotehnoloogia ja kaitseotstarbelised kulud</v>
      </c>
      <c r="L653">
        <f>Koond_kulud!L687</f>
        <v>55</v>
      </c>
      <c r="M653" t="str">
        <f>Koond_kulud!M687</f>
        <v>55</v>
      </c>
      <c r="N653" t="str">
        <f>Koond_kulud!N687</f>
        <v>Muud tegevuskulud</v>
      </c>
      <c r="O653" t="str">
        <f>Koond_kulud!O687</f>
        <v>Majandamiskulud</v>
      </c>
      <c r="P653" t="str">
        <f>Koond_kulud!P687</f>
        <v>Põhitegevuse kulu</v>
      </c>
      <c r="Q653">
        <f>Koond_kulud!Q687</f>
        <v>0</v>
      </c>
    </row>
    <row r="654" spans="1:17" hidden="1" x14ac:dyDescent="0.25">
      <c r="A654" t="str">
        <f>Koond_kulud!A688</f>
        <v>09</v>
      </c>
      <c r="B654" t="str">
        <f>Koond_kulud!B688</f>
        <v xml:space="preserve">0911005         </v>
      </c>
      <c r="C654" t="str">
        <f>Koond_kulud!C688</f>
        <v xml:space="preserve"> Ulvi Lasteaed</v>
      </c>
      <c r="D654" t="str">
        <f>Koond_kulud!D688</f>
        <v>Alusharidus</v>
      </c>
      <c r="E654" t="str">
        <f>Koond_kulud!E688</f>
        <v>Haridus</v>
      </c>
      <c r="F654" t="str">
        <f>Koond_kulud!F688</f>
        <v>Ulvi lasteaed</v>
      </c>
      <c r="G654" t="str">
        <f>Koond_kulud!G688</f>
        <v>3 kohal voodi kompl. Tk.1 500 eurot</v>
      </c>
      <c r="H654">
        <f>Koond_kulud!H688</f>
        <v>500</v>
      </c>
      <c r="I654" t="str">
        <f>Koond_kulud!I688</f>
        <v>Planeerin ühe</v>
      </c>
      <c r="J654">
        <f>Koond_kulud!J688</f>
        <v>5515</v>
      </c>
      <c r="K654" t="str">
        <f>Koond_kulud!K688</f>
        <v>Inventari kulud, v.a infotehnoloogia ja kaitseotstarbelised kulud</v>
      </c>
      <c r="L654">
        <f>Koond_kulud!L688</f>
        <v>55</v>
      </c>
      <c r="M654" t="str">
        <f>Koond_kulud!M688</f>
        <v>55</v>
      </c>
      <c r="N654" t="str">
        <f>Koond_kulud!N688</f>
        <v>Muud tegevuskulud</v>
      </c>
      <c r="O654" t="str">
        <f>Koond_kulud!O688</f>
        <v>Majandamiskulud</v>
      </c>
      <c r="P654" t="str">
        <f>Koond_kulud!P688</f>
        <v>Põhitegevuse kulu</v>
      </c>
      <c r="Q654">
        <f>Koond_kulud!Q688</f>
        <v>0</v>
      </c>
    </row>
    <row r="655" spans="1:17" hidden="1" x14ac:dyDescent="0.25">
      <c r="A655" t="str">
        <f>Koond_kulud!A689</f>
        <v>09</v>
      </c>
      <c r="B655" t="str">
        <f>Koond_kulud!B689</f>
        <v xml:space="preserve">0911005         </v>
      </c>
      <c r="C655" t="str">
        <f>Koond_kulud!C689</f>
        <v xml:space="preserve"> Ulvi Lasteaed</v>
      </c>
      <c r="D655" t="str">
        <f>Koond_kulud!D689</f>
        <v>Alusharidus</v>
      </c>
      <c r="E655" t="str">
        <f>Koond_kulud!E689</f>
        <v>Haridus</v>
      </c>
      <c r="F655" t="str">
        <f>Koond_kulud!F689</f>
        <v>Ulvi lasteaed</v>
      </c>
      <c r="G655" t="str">
        <f>Koond_kulud!G689</f>
        <v>toolid tk.15  500 eurot</v>
      </c>
      <c r="H655">
        <f>Koond_kulud!H689</f>
        <v>500</v>
      </c>
      <c r="I655" t="str">
        <f>Koond_kulud!I689</f>
        <v>Planeerin 15 tk soetada, ühe tk.hind umbes 33 eurot</v>
      </c>
      <c r="J655">
        <f>Koond_kulud!J689</f>
        <v>5515</v>
      </c>
      <c r="K655" t="str">
        <f>Koond_kulud!K689</f>
        <v>Inventari kulud, v.a infotehnoloogia ja kaitseotstarbelised kulud</v>
      </c>
      <c r="L655">
        <f>Koond_kulud!L689</f>
        <v>55</v>
      </c>
      <c r="M655" t="str">
        <f>Koond_kulud!M689</f>
        <v>55</v>
      </c>
      <c r="N655" t="str">
        <f>Koond_kulud!N689</f>
        <v>Muud tegevuskulud</v>
      </c>
      <c r="O655" t="str">
        <f>Koond_kulud!O689</f>
        <v>Majandamiskulud</v>
      </c>
      <c r="P655" t="str">
        <f>Koond_kulud!P689</f>
        <v>Põhitegevuse kulu</v>
      </c>
      <c r="Q655">
        <f>Koond_kulud!Q689</f>
        <v>0</v>
      </c>
    </row>
    <row r="656" spans="1:17" hidden="1" x14ac:dyDescent="0.25">
      <c r="A656" t="str">
        <f>Koond_kulud!A690</f>
        <v>09</v>
      </c>
      <c r="B656" t="str">
        <f>Koond_kulud!B690</f>
        <v xml:space="preserve">0911005         </v>
      </c>
      <c r="C656" t="str">
        <f>Koond_kulud!C690</f>
        <v xml:space="preserve"> Ulvi Lasteaed</v>
      </c>
      <c r="D656" t="str">
        <f>Koond_kulud!D690</f>
        <v>Alusharidus</v>
      </c>
      <c r="E656" t="str">
        <f>Koond_kulud!E690</f>
        <v>Haridus</v>
      </c>
      <c r="F656" t="str">
        <f>Koond_kulud!F690</f>
        <v>Ulvi lasteaed</v>
      </c>
      <c r="G656" t="str">
        <f>Koond_kulud!G690</f>
        <v>toiduained 30 last x230 päeva x 1.40</v>
      </c>
      <c r="H656">
        <f>Koond_kulud!H690</f>
        <v>7000</v>
      </c>
      <c r="I656">
        <f>Koond_kulud!I690</f>
        <v>0</v>
      </c>
      <c r="J656">
        <f>Koond_kulud!J690</f>
        <v>5521</v>
      </c>
      <c r="K656" t="str">
        <f>Koond_kulud!K690</f>
        <v>Toiduained ja toitlustusteenused</v>
      </c>
      <c r="L656">
        <f>Koond_kulud!L690</f>
        <v>55</v>
      </c>
      <c r="M656" t="str">
        <f>Koond_kulud!M690</f>
        <v>55</v>
      </c>
      <c r="N656" t="str">
        <f>Koond_kulud!N690</f>
        <v>Muud tegevuskulud</v>
      </c>
      <c r="O656" t="str">
        <f>Koond_kulud!O690</f>
        <v>Majandamiskulud</v>
      </c>
      <c r="P656" t="str">
        <f>Koond_kulud!P690</f>
        <v>Põhitegevuse kulu</v>
      </c>
      <c r="Q656">
        <f>Koond_kulud!Q690</f>
        <v>0</v>
      </c>
    </row>
    <row r="657" spans="1:17" hidden="1" x14ac:dyDescent="0.25">
      <c r="A657" t="str">
        <f>Koond_kulud!A691</f>
        <v>09</v>
      </c>
      <c r="B657" t="str">
        <f>Koond_kulud!B691</f>
        <v xml:space="preserve">0911005         </v>
      </c>
      <c r="C657" t="str">
        <f>Koond_kulud!C691</f>
        <v xml:space="preserve"> Ulvi Lasteaed</v>
      </c>
      <c r="D657" t="str">
        <f>Koond_kulud!D691</f>
        <v>Alusharidus</v>
      </c>
      <c r="E657" t="str">
        <f>Koond_kulud!E691</f>
        <v>Haridus</v>
      </c>
      <c r="F657" t="str">
        <f>Koond_kulud!F691</f>
        <v>Ulvi lasteaed</v>
      </c>
      <c r="G657" t="str">
        <f>Koond_kulud!G691</f>
        <v>Meditsiinikulud</v>
      </c>
      <c r="H657">
        <f>Koond_kulud!H691</f>
        <v>100</v>
      </c>
      <c r="I657">
        <f>Koond_kulud!I691</f>
        <v>0</v>
      </c>
      <c r="J657">
        <f>Koond_kulud!J691</f>
        <v>5522</v>
      </c>
      <c r="K657" t="str">
        <f>Koond_kulud!K691</f>
        <v>Meditsiinikulud ja hügieenitarbed</v>
      </c>
      <c r="L657">
        <f>Koond_kulud!L691</f>
        <v>55</v>
      </c>
      <c r="M657" t="str">
        <f>Koond_kulud!M691</f>
        <v>55</v>
      </c>
      <c r="N657" t="str">
        <f>Koond_kulud!N691</f>
        <v>Muud tegevuskulud</v>
      </c>
      <c r="O657" t="str">
        <f>Koond_kulud!O691</f>
        <v>Majandamiskulud</v>
      </c>
      <c r="P657" t="str">
        <f>Koond_kulud!P691</f>
        <v>Põhitegevuse kulu</v>
      </c>
      <c r="Q657">
        <f>Koond_kulud!Q691</f>
        <v>0</v>
      </c>
    </row>
    <row r="658" spans="1:17" hidden="1" x14ac:dyDescent="0.25">
      <c r="A658" t="str">
        <f>Koond_kulud!A692</f>
        <v>09</v>
      </c>
      <c r="B658" t="str">
        <f>Koond_kulud!B692</f>
        <v xml:space="preserve">0911005         </v>
      </c>
      <c r="C658" t="str">
        <f>Koond_kulud!C692</f>
        <v xml:space="preserve"> Ulvi Lasteaed</v>
      </c>
      <c r="D658" t="str">
        <f>Koond_kulud!D692</f>
        <v>Alusharidus</v>
      </c>
      <c r="E658" t="str">
        <f>Koond_kulud!E692</f>
        <v>Haridus</v>
      </c>
      <c r="F658" t="str">
        <f>Koond_kulud!F692</f>
        <v>Ulvi lasteaed</v>
      </c>
      <c r="G658" t="str">
        <f>Koond_kulud!G692</f>
        <v>õppekäigud</v>
      </c>
      <c r="H658">
        <f>Koond_kulud!H692</f>
        <v>1000</v>
      </c>
      <c r="I658">
        <f>Koond_kulud!I692</f>
        <v>0</v>
      </c>
      <c r="J658">
        <f>Koond_kulud!J692</f>
        <v>5524</v>
      </c>
      <c r="K658" t="str">
        <f>Koond_kulud!K692</f>
        <v>Õppevahendid</v>
      </c>
      <c r="L658">
        <f>Koond_kulud!L692</f>
        <v>55</v>
      </c>
      <c r="M658" t="str">
        <f>Koond_kulud!M692</f>
        <v>55</v>
      </c>
      <c r="N658" t="str">
        <f>Koond_kulud!N692</f>
        <v>Muud tegevuskulud</v>
      </c>
      <c r="O658" t="str">
        <f>Koond_kulud!O692</f>
        <v>Majandamiskulud</v>
      </c>
      <c r="P658" t="str">
        <f>Koond_kulud!P692</f>
        <v>Põhitegevuse kulu</v>
      </c>
      <c r="Q658">
        <f>Koond_kulud!Q692</f>
        <v>0</v>
      </c>
    </row>
    <row r="659" spans="1:17" hidden="1" x14ac:dyDescent="0.25">
      <c r="A659" t="str">
        <f>Koond_kulud!A693</f>
        <v>09</v>
      </c>
      <c r="B659" t="str">
        <f>Koond_kulud!B693</f>
        <v xml:space="preserve">0911005         </v>
      </c>
      <c r="C659" t="str">
        <f>Koond_kulud!C693</f>
        <v xml:space="preserve"> Ulvi Lasteaed</v>
      </c>
      <c r="D659" t="str">
        <f>Koond_kulud!D693</f>
        <v>Alusharidus</v>
      </c>
      <c r="E659" t="str">
        <f>Koond_kulud!E693</f>
        <v>Haridus</v>
      </c>
      <c r="F659" t="str">
        <f>Koond_kulud!F693</f>
        <v>Ulvi lasteaed</v>
      </c>
      <c r="G659" t="str">
        <f>Koond_kulud!G693</f>
        <v>Õppevahendid</v>
      </c>
      <c r="H659">
        <f>Koond_kulud!H693</f>
        <v>1000</v>
      </c>
      <c r="I659">
        <f>Koond_kulud!I693</f>
        <v>0</v>
      </c>
      <c r="J659">
        <f>Koond_kulud!J693</f>
        <v>5524</v>
      </c>
      <c r="K659" t="str">
        <f>Koond_kulud!K693</f>
        <v>Õppevahendid</v>
      </c>
      <c r="L659">
        <f>Koond_kulud!L693</f>
        <v>55</v>
      </c>
      <c r="M659" t="str">
        <f>Koond_kulud!M693</f>
        <v>55</v>
      </c>
      <c r="N659" t="str">
        <f>Koond_kulud!N693</f>
        <v>Muud tegevuskulud</v>
      </c>
      <c r="O659" t="str">
        <f>Koond_kulud!O693</f>
        <v>Majandamiskulud</v>
      </c>
      <c r="P659" t="str">
        <f>Koond_kulud!P693</f>
        <v>Põhitegevuse kulu</v>
      </c>
      <c r="Q659">
        <f>Koond_kulud!Q693</f>
        <v>0</v>
      </c>
    </row>
    <row r="660" spans="1:17" hidden="1" x14ac:dyDescent="0.25">
      <c r="A660" t="str">
        <f>Koond_kulud!A694</f>
        <v>09</v>
      </c>
      <c r="B660" t="str">
        <f>Koond_kulud!B694</f>
        <v xml:space="preserve">0911005         </v>
      </c>
      <c r="C660" t="str">
        <f>Koond_kulud!C694</f>
        <v xml:space="preserve"> Ulvi Lasteaed</v>
      </c>
      <c r="D660" t="str">
        <f>Koond_kulud!D694</f>
        <v>Alusharidus</v>
      </c>
      <c r="E660" t="str">
        <f>Koond_kulud!E694</f>
        <v>Haridus</v>
      </c>
      <c r="F660" t="str">
        <f>Koond_kulud!F694</f>
        <v>Ulvi lasteaed</v>
      </c>
      <c r="G660" t="str">
        <f>Koond_kulud!G694</f>
        <v>mänguasjad</v>
      </c>
      <c r="H660">
        <f>Koond_kulud!H694</f>
        <v>2000</v>
      </c>
      <c r="I660">
        <f>Koond_kulud!I694</f>
        <v>0</v>
      </c>
      <c r="J660">
        <f>Koond_kulud!J694</f>
        <v>5524</v>
      </c>
      <c r="K660" t="str">
        <f>Koond_kulud!K694</f>
        <v>Õppevahendid</v>
      </c>
      <c r="L660">
        <f>Koond_kulud!L694</f>
        <v>55</v>
      </c>
      <c r="M660" t="str">
        <f>Koond_kulud!M694</f>
        <v>55</v>
      </c>
      <c r="N660" t="str">
        <f>Koond_kulud!N694</f>
        <v>Muud tegevuskulud</v>
      </c>
      <c r="O660" t="str">
        <f>Koond_kulud!O694</f>
        <v>Majandamiskulud</v>
      </c>
      <c r="P660" t="str">
        <f>Koond_kulud!P694</f>
        <v>Põhitegevuse kulu</v>
      </c>
      <c r="Q660">
        <f>Koond_kulud!Q694</f>
        <v>0</v>
      </c>
    </row>
    <row r="661" spans="1:17" hidden="1" x14ac:dyDescent="0.25">
      <c r="A661" t="str">
        <f>Koond_kulud!A695</f>
        <v>09</v>
      </c>
      <c r="B661" t="str">
        <f>Koond_kulud!B695</f>
        <v xml:space="preserve">0911005         </v>
      </c>
      <c r="C661" t="str">
        <f>Koond_kulud!C695</f>
        <v xml:space="preserve"> Ulvi Lasteaed</v>
      </c>
      <c r="D661" t="str">
        <f>Koond_kulud!D695</f>
        <v>Alusharidus</v>
      </c>
      <c r="E661" t="str">
        <f>Koond_kulud!E695</f>
        <v>Haridus</v>
      </c>
      <c r="F661" t="str">
        <f>Koond_kulud!F695</f>
        <v>Ulvi lasteaed</v>
      </c>
      <c r="G661" t="str">
        <f>Koond_kulud!G695</f>
        <v>Ühisüritused</v>
      </c>
      <c r="H661">
        <f>Koond_kulud!H695</f>
        <v>250</v>
      </c>
      <c r="I661">
        <f>Koond_kulud!I695</f>
        <v>0</v>
      </c>
      <c r="J661">
        <f>Koond_kulud!J695</f>
        <v>5525</v>
      </c>
      <c r="K661" t="str">
        <f>Koond_kulud!K695</f>
        <v>Kommunikatsiooni-, kultuuri- ja vaba aja sisustamise kulud</v>
      </c>
      <c r="L661">
        <f>Koond_kulud!L695</f>
        <v>55</v>
      </c>
      <c r="M661" t="str">
        <f>Koond_kulud!M695</f>
        <v>55</v>
      </c>
      <c r="N661" t="str">
        <f>Koond_kulud!N695</f>
        <v>Muud tegevuskulud</v>
      </c>
      <c r="O661" t="str">
        <f>Koond_kulud!O695</f>
        <v>Majandamiskulud</v>
      </c>
      <c r="P661" t="str">
        <f>Koond_kulud!P695</f>
        <v>Põhitegevuse kulu</v>
      </c>
      <c r="Q661">
        <f>Koond_kulud!Q695</f>
        <v>0</v>
      </c>
    </row>
    <row r="662" spans="1:17" hidden="1" x14ac:dyDescent="0.25">
      <c r="A662" t="str">
        <f>Koond_kulud!A696</f>
        <v>09</v>
      </c>
      <c r="B662" t="str">
        <f>Koond_kulud!B696</f>
        <v xml:space="preserve">0911005         </v>
      </c>
      <c r="C662" t="str">
        <f>Koond_kulud!C696</f>
        <v xml:space="preserve"> Ulvi Lasteaed</v>
      </c>
      <c r="D662" t="str">
        <f>Koond_kulud!D696</f>
        <v>Alusharidus</v>
      </c>
      <c r="E662" t="str">
        <f>Koond_kulud!E696</f>
        <v>Haridus</v>
      </c>
      <c r="F662" t="str">
        <f>Koond_kulud!F696</f>
        <v>Ulvi lasteaed</v>
      </c>
      <c r="G662" t="str">
        <f>Koond_kulud!G696</f>
        <v>Ürituste transport</v>
      </c>
      <c r="H662">
        <f>Koond_kulud!H696</f>
        <v>250</v>
      </c>
      <c r="I662">
        <f>Koond_kulud!I696</f>
        <v>0</v>
      </c>
      <c r="J662">
        <f>Koond_kulud!J696</f>
        <v>5525</v>
      </c>
      <c r="K662" t="str">
        <f>Koond_kulud!K696</f>
        <v>Kommunikatsiooni-, kultuuri- ja vaba aja sisustamise kulud</v>
      </c>
      <c r="L662">
        <f>Koond_kulud!L696</f>
        <v>55</v>
      </c>
      <c r="M662" t="str">
        <f>Koond_kulud!M696</f>
        <v>55</v>
      </c>
      <c r="N662" t="str">
        <f>Koond_kulud!N696</f>
        <v>Muud tegevuskulud</v>
      </c>
      <c r="O662" t="str">
        <f>Koond_kulud!O696</f>
        <v>Majandamiskulud</v>
      </c>
      <c r="P662" t="str">
        <f>Koond_kulud!P696</f>
        <v>Põhitegevuse kulu</v>
      </c>
      <c r="Q662">
        <f>Koond_kulud!Q696</f>
        <v>0</v>
      </c>
    </row>
    <row r="663" spans="1:17" hidden="1" x14ac:dyDescent="0.25">
      <c r="A663" t="str">
        <f>Koond_kulud!A697</f>
        <v>09</v>
      </c>
      <c r="B663" t="str">
        <f>Koond_kulud!B697</f>
        <v xml:space="preserve">0911005         </v>
      </c>
      <c r="C663" t="str">
        <f>Koond_kulud!C697</f>
        <v xml:space="preserve"> Ulvi Lasteaed</v>
      </c>
      <c r="D663" t="str">
        <f>Koond_kulud!D697</f>
        <v>Alusharidus</v>
      </c>
      <c r="E663" t="str">
        <f>Koond_kulud!E697</f>
        <v>Haridus</v>
      </c>
      <c r="F663" t="str">
        <f>Koond_kulud!F697</f>
        <v>Ulvi lasteaed</v>
      </c>
      <c r="G663" t="str">
        <f>Koond_kulud!G697</f>
        <v>ruumide küte</v>
      </c>
      <c r="H663">
        <f>Koond_kulud!H697</f>
        <v>4500</v>
      </c>
      <c r="I663">
        <f>Koond_kulud!I697</f>
        <v>0</v>
      </c>
      <c r="J663">
        <f>Koond_kulud!J697</f>
        <v>5511</v>
      </c>
      <c r="K663" t="str">
        <f>Koond_kulud!K697</f>
        <v>Kinnistute, hoonete ja ruumide majandamiskulud</v>
      </c>
      <c r="L663">
        <f>Koond_kulud!L697</f>
        <v>55</v>
      </c>
      <c r="M663" t="str">
        <f>Koond_kulud!M697</f>
        <v>55</v>
      </c>
      <c r="N663" t="str">
        <f>Koond_kulud!N697</f>
        <v>Muud tegevuskulud</v>
      </c>
      <c r="O663" t="str">
        <f>Koond_kulud!O697</f>
        <v>Majandamiskulud</v>
      </c>
      <c r="P663" t="str">
        <f>Koond_kulud!P697</f>
        <v>Põhitegevuse kulu</v>
      </c>
      <c r="Q663">
        <f>Koond_kulud!Q697</f>
        <v>0</v>
      </c>
    </row>
    <row r="664" spans="1:17" hidden="1" x14ac:dyDescent="0.25">
      <c r="A664" t="str">
        <f>Koond_kulud!A698</f>
        <v>09</v>
      </c>
      <c r="B664" t="str">
        <f>Koond_kulud!B698</f>
        <v xml:space="preserve">0911005         </v>
      </c>
      <c r="C664" t="str">
        <f>Koond_kulud!C698</f>
        <v xml:space="preserve"> Ulvi Lasteaed</v>
      </c>
      <c r="D664" t="str">
        <f>Koond_kulud!D698</f>
        <v>Alusharidus</v>
      </c>
      <c r="E664" t="str">
        <f>Koond_kulud!E698</f>
        <v>Haridus</v>
      </c>
      <c r="F664" t="str">
        <f>Koond_kulud!F698</f>
        <v>Ulvi lasteaed</v>
      </c>
      <c r="G664" t="str">
        <f>Koond_kulud!G698</f>
        <v>analüüsid</v>
      </c>
      <c r="H664">
        <f>Koond_kulud!H698</f>
        <v>200</v>
      </c>
      <c r="I664">
        <f>Koond_kulud!I698</f>
        <v>0</v>
      </c>
      <c r="J664">
        <f>Koond_kulud!J698</f>
        <v>5511</v>
      </c>
      <c r="K664" t="str">
        <f>Koond_kulud!K698</f>
        <v>Kinnistute, hoonete ja ruumide majandamiskulud</v>
      </c>
      <c r="L664">
        <f>Koond_kulud!L698</f>
        <v>55</v>
      </c>
      <c r="M664" t="str">
        <f>Koond_kulud!M698</f>
        <v>55</v>
      </c>
      <c r="N664" t="str">
        <f>Koond_kulud!N698</f>
        <v>Muud tegevuskulud</v>
      </c>
      <c r="O664" t="str">
        <f>Koond_kulud!O698</f>
        <v>Majandamiskulud</v>
      </c>
      <c r="P664" t="str">
        <f>Koond_kulud!P698</f>
        <v>Põhitegevuse kulu</v>
      </c>
      <c r="Q664">
        <f>Koond_kulud!Q698</f>
        <v>0</v>
      </c>
    </row>
    <row r="665" spans="1:17" hidden="1" x14ac:dyDescent="0.25">
      <c r="A665" t="str">
        <f>Koond_kulud!A699</f>
        <v>09</v>
      </c>
      <c r="B665" t="str">
        <f>Koond_kulud!B699</f>
        <v xml:space="preserve">0911005         </v>
      </c>
      <c r="C665" t="str">
        <f>Koond_kulud!C699</f>
        <v xml:space="preserve"> Ulvi Lasteaed</v>
      </c>
      <c r="D665" t="str">
        <f>Koond_kulud!D699</f>
        <v>Alusharidus</v>
      </c>
      <c r="E665" t="str">
        <f>Koond_kulud!E699</f>
        <v>Haridus</v>
      </c>
      <c r="F665" t="str">
        <f>Koond_kulud!F699</f>
        <v>Ulvi lasteaed</v>
      </c>
      <c r="G665" t="str">
        <f>Koond_kulud!G699</f>
        <v>elekter</v>
      </c>
      <c r="H665">
        <f>Koond_kulud!H699</f>
        <v>3500</v>
      </c>
      <c r="I665">
        <f>Koond_kulud!I699</f>
        <v>0</v>
      </c>
      <c r="J665">
        <f>Koond_kulud!J699</f>
        <v>5511</v>
      </c>
      <c r="K665" t="str">
        <f>Koond_kulud!K699</f>
        <v>Kinnistute, hoonete ja ruumide majandamiskulud</v>
      </c>
      <c r="L665">
        <f>Koond_kulud!L699</f>
        <v>55</v>
      </c>
      <c r="M665" t="str">
        <f>Koond_kulud!M699</f>
        <v>55</v>
      </c>
      <c r="N665" t="str">
        <f>Koond_kulud!N699</f>
        <v>Muud tegevuskulud</v>
      </c>
      <c r="O665" t="str">
        <f>Koond_kulud!O699</f>
        <v>Majandamiskulud</v>
      </c>
      <c r="P665" t="str">
        <f>Koond_kulud!P699</f>
        <v>Põhitegevuse kulu</v>
      </c>
      <c r="Q665">
        <f>Koond_kulud!Q699</f>
        <v>0</v>
      </c>
    </row>
    <row r="666" spans="1:17" hidden="1" x14ac:dyDescent="0.25">
      <c r="A666" t="str">
        <f>Koond_kulud!A700</f>
        <v>09</v>
      </c>
      <c r="B666" t="str">
        <f>Koond_kulud!B700</f>
        <v xml:space="preserve">0911005         </v>
      </c>
      <c r="C666" t="str">
        <f>Koond_kulud!C700</f>
        <v xml:space="preserve"> Ulvi Lasteaed</v>
      </c>
      <c r="D666" t="str">
        <f>Koond_kulud!D700</f>
        <v>Alusharidus</v>
      </c>
      <c r="E666" t="str">
        <f>Koond_kulud!E700</f>
        <v>Haridus</v>
      </c>
      <c r="F666" t="str">
        <f>Koond_kulud!F700</f>
        <v>Ulvi lasteaed</v>
      </c>
      <c r="G666" t="str">
        <f>Koond_kulud!G700</f>
        <v>koridori remont</v>
      </c>
      <c r="H666">
        <f>Koond_kulud!H700</f>
        <v>1000</v>
      </c>
      <c r="I666">
        <f>Koond_kulud!I700</f>
        <v>0</v>
      </c>
      <c r="J666">
        <f>Koond_kulud!J700</f>
        <v>5511</v>
      </c>
      <c r="K666" t="str">
        <f>Koond_kulud!K700</f>
        <v>Kinnistute, hoonete ja ruumide majandamiskulud</v>
      </c>
      <c r="L666">
        <f>Koond_kulud!L700</f>
        <v>55</v>
      </c>
      <c r="M666" t="str">
        <f>Koond_kulud!M700</f>
        <v>55</v>
      </c>
      <c r="N666" t="str">
        <f>Koond_kulud!N700</f>
        <v>Muud tegevuskulud</v>
      </c>
      <c r="O666" t="str">
        <f>Koond_kulud!O700</f>
        <v>Majandamiskulud</v>
      </c>
      <c r="P666" t="str">
        <f>Koond_kulud!P700</f>
        <v>Põhitegevuse kulu</v>
      </c>
      <c r="Q666">
        <f>Koond_kulud!Q700</f>
        <v>0</v>
      </c>
    </row>
    <row r="667" spans="1:17" hidden="1" x14ac:dyDescent="0.25">
      <c r="A667" t="str">
        <f>Koond_kulud!A701</f>
        <v>09</v>
      </c>
      <c r="B667" t="str">
        <f>Koond_kulud!B701</f>
        <v xml:space="preserve">0911005         </v>
      </c>
      <c r="C667" t="str">
        <f>Koond_kulud!C701</f>
        <v xml:space="preserve"> Ulvi Lasteaed</v>
      </c>
      <c r="D667" t="str">
        <f>Koond_kulud!D701</f>
        <v>Alusharidus</v>
      </c>
      <c r="E667" t="str">
        <f>Koond_kulud!E701</f>
        <v>Haridus</v>
      </c>
      <c r="F667" t="str">
        <f>Koond_kulud!F701</f>
        <v>Ulvi lasteaed</v>
      </c>
      <c r="G667" t="str">
        <f>Koond_kulud!G701</f>
        <v>prügi</v>
      </c>
      <c r="H667">
        <f>Koond_kulud!H701</f>
        <v>250</v>
      </c>
      <c r="I667">
        <f>Koond_kulud!I701</f>
        <v>0</v>
      </c>
      <c r="J667">
        <f>Koond_kulud!J701</f>
        <v>5511</v>
      </c>
      <c r="K667" t="str">
        <f>Koond_kulud!K701</f>
        <v>Kinnistute, hoonete ja ruumide majandamiskulud</v>
      </c>
      <c r="L667">
        <f>Koond_kulud!L701</f>
        <v>55</v>
      </c>
      <c r="M667" t="str">
        <f>Koond_kulud!M701</f>
        <v>55</v>
      </c>
      <c r="N667" t="str">
        <f>Koond_kulud!N701</f>
        <v>Muud tegevuskulud</v>
      </c>
      <c r="O667" t="str">
        <f>Koond_kulud!O701</f>
        <v>Majandamiskulud</v>
      </c>
      <c r="P667" t="str">
        <f>Koond_kulud!P701</f>
        <v>Põhitegevuse kulu</v>
      </c>
      <c r="Q667">
        <f>Koond_kulud!Q701</f>
        <v>0</v>
      </c>
    </row>
    <row r="668" spans="1:17" hidden="1" x14ac:dyDescent="0.25">
      <c r="A668" t="str">
        <f>Koond_kulud!A702</f>
        <v>09</v>
      </c>
      <c r="B668" t="str">
        <f>Koond_kulud!B702</f>
        <v xml:space="preserve">0911005         </v>
      </c>
      <c r="C668" t="str">
        <f>Koond_kulud!C702</f>
        <v xml:space="preserve"> Ulvi Lasteaed</v>
      </c>
      <c r="D668" t="str">
        <f>Koond_kulud!D702</f>
        <v>Alusharidus</v>
      </c>
      <c r="E668" t="str">
        <f>Koond_kulud!E702</f>
        <v>Haridus</v>
      </c>
      <c r="F668" t="str">
        <f>Koond_kulud!F702</f>
        <v>Ulvi lasteaed</v>
      </c>
      <c r="G668" t="str">
        <f>Koond_kulud!G702</f>
        <v>majanduskaup</v>
      </c>
      <c r="H668">
        <f>Koond_kulud!H702</f>
        <v>2400</v>
      </c>
      <c r="I668">
        <f>Koond_kulud!I702</f>
        <v>0</v>
      </c>
      <c r="J668">
        <f>Koond_kulud!J702</f>
        <v>5511</v>
      </c>
      <c r="K668" t="str">
        <f>Koond_kulud!K702</f>
        <v>Kinnistute, hoonete ja ruumide majandamiskulud</v>
      </c>
      <c r="L668">
        <f>Koond_kulud!L702</f>
        <v>55</v>
      </c>
      <c r="M668" t="str">
        <f>Koond_kulud!M702</f>
        <v>55</v>
      </c>
      <c r="N668" t="str">
        <f>Koond_kulud!N702</f>
        <v>Muud tegevuskulud</v>
      </c>
      <c r="O668" t="str">
        <f>Koond_kulud!O702</f>
        <v>Majandamiskulud</v>
      </c>
      <c r="P668" t="str">
        <f>Koond_kulud!P702</f>
        <v>Põhitegevuse kulu</v>
      </c>
      <c r="Q668">
        <f>Koond_kulud!Q702</f>
        <v>0</v>
      </c>
    </row>
    <row r="669" spans="1:17" hidden="1" x14ac:dyDescent="0.25">
      <c r="A669" t="str">
        <f>Koond_kulud!A703</f>
        <v>09</v>
      </c>
      <c r="B669" t="str">
        <f>Koond_kulud!B703</f>
        <v xml:space="preserve">0911005         </v>
      </c>
      <c r="C669" t="str">
        <f>Koond_kulud!C703</f>
        <v xml:space="preserve"> Ulvi Lasteaed</v>
      </c>
      <c r="D669" t="str">
        <f>Koond_kulud!D703</f>
        <v>Alusharidus</v>
      </c>
      <c r="E669" t="str">
        <f>Koond_kulud!E703</f>
        <v>Haridus</v>
      </c>
      <c r="F669" t="str">
        <f>Koond_kulud!F703</f>
        <v>Ulvi lasteaed</v>
      </c>
      <c r="G669" t="str">
        <f>Koond_kulud!G703</f>
        <v>ventilatsiooni väljaehitus</v>
      </c>
      <c r="H669">
        <f>Koond_kulud!H703</f>
        <v>6000</v>
      </c>
      <c r="I669">
        <f>Koond_kulud!I703</f>
        <v>0</v>
      </c>
      <c r="J669">
        <f>Koond_kulud!J703</f>
        <v>5511</v>
      </c>
      <c r="K669" t="str">
        <f>Koond_kulud!K703</f>
        <v>Kinnistute, hoonete ja ruumide majandamiskulud</v>
      </c>
      <c r="L669">
        <f>Koond_kulud!L703</f>
        <v>55</v>
      </c>
      <c r="M669" t="str">
        <f>Koond_kulud!M703</f>
        <v>55</v>
      </c>
      <c r="N669" t="str">
        <f>Koond_kulud!N703</f>
        <v>Muud tegevuskulud</v>
      </c>
      <c r="O669" t="str">
        <f>Koond_kulud!O703</f>
        <v>Majandamiskulud</v>
      </c>
      <c r="P669" t="str">
        <f>Koond_kulud!P703</f>
        <v>Põhitegevuse kulu</v>
      </c>
      <c r="Q669">
        <f>Koond_kulud!Q703</f>
        <v>0</v>
      </c>
    </row>
    <row r="670" spans="1:17" hidden="1" x14ac:dyDescent="0.25">
      <c r="A670" t="str">
        <f>Koond_kulud!A704</f>
        <v>09</v>
      </c>
      <c r="B670" t="str">
        <f>Koond_kulud!B704</f>
        <v xml:space="preserve">0911005         </v>
      </c>
      <c r="C670" t="str">
        <f>Koond_kulud!C704</f>
        <v xml:space="preserve"> Ulvi Lasteaed</v>
      </c>
      <c r="D670" t="str">
        <f>Koond_kulud!D704</f>
        <v>Alusharidus</v>
      </c>
      <c r="E670" t="str">
        <f>Koond_kulud!E704</f>
        <v>Haridus</v>
      </c>
      <c r="F670" t="str">
        <f>Koond_kulud!F704</f>
        <v>Ulvi lasteaed</v>
      </c>
      <c r="G670" t="str">
        <f>Koond_kulud!G704</f>
        <v>muruniidukile bensiin</v>
      </c>
      <c r="H670">
        <f>Koond_kulud!H704</f>
        <v>100</v>
      </c>
      <c r="I670">
        <f>Koond_kulud!I704</f>
        <v>0</v>
      </c>
      <c r="J670">
        <f>Koond_kulud!J704</f>
        <v>5511</v>
      </c>
      <c r="K670" t="str">
        <f>Koond_kulud!K704</f>
        <v>Kinnistute, hoonete ja ruumide majandamiskulud</v>
      </c>
      <c r="L670">
        <f>Koond_kulud!L704</f>
        <v>55</v>
      </c>
      <c r="M670" t="str">
        <f>Koond_kulud!M704</f>
        <v>55</v>
      </c>
      <c r="N670" t="str">
        <f>Koond_kulud!N704</f>
        <v>Muud tegevuskulud</v>
      </c>
      <c r="O670" t="str">
        <f>Koond_kulud!O704</f>
        <v>Majandamiskulud</v>
      </c>
      <c r="P670" t="str">
        <f>Koond_kulud!P704</f>
        <v>Põhitegevuse kulu</v>
      </c>
      <c r="Q670">
        <f>Koond_kulud!Q704</f>
        <v>0</v>
      </c>
    </row>
    <row r="671" spans="1:17" hidden="1" x14ac:dyDescent="0.25">
      <c r="A671" t="str">
        <f>Koond_kulud!A705</f>
        <v>09</v>
      </c>
      <c r="B671" t="str">
        <f>Koond_kulud!B705</f>
        <v xml:space="preserve">0911005         </v>
      </c>
      <c r="C671" t="str">
        <f>Koond_kulud!C705</f>
        <v xml:space="preserve"> Ulvi Lasteaed</v>
      </c>
      <c r="D671" t="str">
        <f>Koond_kulud!D705</f>
        <v>Alusharidus</v>
      </c>
      <c r="E671" t="str">
        <f>Koond_kulud!E705</f>
        <v>Haridus</v>
      </c>
      <c r="F671" t="str">
        <f>Koond_kulud!F705</f>
        <v>Ulvi lasteaed</v>
      </c>
      <c r="G671" t="str">
        <f>Koond_kulud!G705</f>
        <v>IT alane hooldus</v>
      </c>
      <c r="H671">
        <f>Koond_kulud!H705</f>
        <v>500</v>
      </c>
      <c r="I671">
        <f>Koond_kulud!I705</f>
        <v>0</v>
      </c>
      <c r="J671">
        <f>Koond_kulud!J705</f>
        <v>5514</v>
      </c>
      <c r="K671" t="str">
        <f>Koond_kulud!K705</f>
        <v>Info- ja kommunikatsioonitehnoliigised kulud</v>
      </c>
      <c r="L671">
        <f>Koond_kulud!L705</f>
        <v>55</v>
      </c>
      <c r="M671" t="str">
        <f>Koond_kulud!M705</f>
        <v>55</v>
      </c>
      <c r="N671" t="str">
        <f>Koond_kulud!N705</f>
        <v>Muud tegevuskulud</v>
      </c>
      <c r="O671" t="str">
        <f>Koond_kulud!O705</f>
        <v>Majandamiskulud</v>
      </c>
      <c r="P671" t="str">
        <f>Koond_kulud!P705</f>
        <v>Põhitegevuse kulu</v>
      </c>
      <c r="Q671">
        <f>Koond_kulud!Q705</f>
        <v>0</v>
      </c>
    </row>
    <row r="672" spans="1:17" hidden="1" x14ac:dyDescent="0.25">
      <c r="A672" t="str">
        <f>Koond_kulud!A706</f>
        <v>09</v>
      </c>
      <c r="B672" t="str">
        <f>Koond_kulud!B706</f>
        <v xml:space="preserve">0911006         </v>
      </c>
      <c r="C672" t="str">
        <f>Koond_kulud!C706</f>
        <v xml:space="preserve"> Laekvere Lasteaed</v>
      </c>
      <c r="D672" t="str">
        <f>Koond_kulud!D706</f>
        <v>Alusharidus</v>
      </c>
      <c r="E672" t="str">
        <f>Koond_kulud!E706</f>
        <v>Haridus</v>
      </c>
      <c r="F672" t="str">
        <f>Koond_kulud!F706</f>
        <v>Muuga-Laekvere kool</v>
      </c>
      <c r="G672" t="str">
        <f>Koond_kulud!G706</f>
        <v>küte</v>
      </c>
      <c r="H672">
        <f>Koond_kulud!H706</f>
        <v>9000</v>
      </c>
      <c r="I672">
        <f>Koond_kulud!I706</f>
        <v>0</v>
      </c>
      <c r="J672">
        <f>Koond_kulud!J706</f>
        <v>5511</v>
      </c>
      <c r="K672" t="str">
        <f>Koond_kulud!K706</f>
        <v>Kinnistute, hoonete ja ruumide majandamiskulud</v>
      </c>
      <c r="L672">
        <f>Koond_kulud!L706</f>
        <v>55</v>
      </c>
      <c r="M672" t="str">
        <f>Koond_kulud!M706</f>
        <v>55</v>
      </c>
      <c r="N672" t="str">
        <f>Koond_kulud!N706</f>
        <v>Muud tegevuskulud</v>
      </c>
      <c r="O672" t="str">
        <f>Koond_kulud!O706</f>
        <v>Majandamiskulud</v>
      </c>
      <c r="P672" t="str">
        <f>Koond_kulud!P706</f>
        <v>Põhitegevuse kulu</v>
      </c>
      <c r="Q672">
        <f>Koond_kulud!Q706</f>
        <v>0</v>
      </c>
    </row>
    <row r="673" spans="1:17" hidden="1" x14ac:dyDescent="0.25">
      <c r="A673" t="str">
        <f>Koond_kulud!A707</f>
        <v>09</v>
      </c>
      <c r="B673" t="str">
        <f>Koond_kulud!B707</f>
        <v xml:space="preserve">0911006         </v>
      </c>
      <c r="C673" t="str">
        <f>Koond_kulud!C707</f>
        <v xml:space="preserve"> Laekvere Lasteaed</v>
      </c>
      <c r="D673" t="str">
        <f>Koond_kulud!D707</f>
        <v>Alusharidus</v>
      </c>
      <c r="E673" t="str">
        <f>Koond_kulud!E707</f>
        <v>Haridus</v>
      </c>
      <c r="F673" t="str">
        <f>Koond_kulud!F707</f>
        <v>Muuga-Laekvere kool</v>
      </c>
      <c r="G673" t="str">
        <f>Koond_kulud!G707</f>
        <v>elekter</v>
      </c>
      <c r="H673">
        <f>Koond_kulud!H707</f>
        <v>4000</v>
      </c>
      <c r="I673">
        <f>Koond_kulud!I707</f>
        <v>0</v>
      </c>
      <c r="J673">
        <f>Koond_kulud!J707</f>
        <v>5511</v>
      </c>
      <c r="K673" t="str">
        <f>Koond_kulud!K707</f>
        <v>Kinnistute, hoonete ja ruumide majandamiskulud</v>
      </c>
      <c r="L673">
        <f>Koond_kulud!L707</f>
        <v>55</v>
      </c>
      <c r="M673" t="str">
        <f>Koond_kulud!M707</f>
        <v>55</v>
      </c>
      <c r="N673" t="str">
        <f>Koond_kulud!N707</f>
        <v>Muud tegevuskulud</v>
      </c>
      <c r="O673" t="str">
        <f>Koond_kulud!O707</f>
        <v>Majandamiskulud</v>
      </c>
      <c r="P673" t="str">
        <f>Koond_kulud!P707</f>
        <v>Põhitegevuse kulu</v>
      </c>
      <c r="Q673">
        <f>Koond_kulud!Q707</f>
        <v>0</v>
      </c>
    </row>
    <row r="674" spans="1:17" hidden="1" x14ac:dyDescent="0.25">
      <c r="A674" t="str">
        <f>Koond_kulud!A708</f>
        <v>09</v>
      </c>
      <c r="B674" t="str">
        <f>Koond_kulud!B708</f>
        <v xml:space="preserve">0911006         </v>
      </c>
      <c r="C674" t="str">
        <f>Koond_kulud!C708</f>
        <v xml:space="preserve"> Laekvere Lasteaed</v>
      </c>
      <c r="D674" t="str">
        <f>Koond_kulud!D708</f>
        <v>Alusharidus</v>
      </c>
      <c r="E674" t="str">
        <f>Koond_kulud!E708</f>
        <v>Haridus</v>
      </c>
      <c r="F674" t="str">
        <f>Koond_kulud!F708</f>
        <v>Muuga-Laekvere kool</v>
      </c>
      <c r="G674" t="str">
        <f>Koond_kulud!G708</f>
        <v>el.käitlus</v>
      </c>
      <c r="H674">
        <f>Koond_kulud!H708</f>
        <v>400</v>
      </c>
      <c r="I674">
        <f>Koond_kulud!I708</f>
        <v>0</v>
      </c>
      <c r="J674">
        <f>Koond_kulud!J708</f>
        <v>5511</v>
      </c>
      <c r="K674" t="str">
        <f>Koond_kulud!K708</f>
        <v>Kinnistute, hoonete ja ruumide majandamiskulud</v>
      </c>
      <c r="L674">
        <f>Koond_kulud!L708</f>
        <v>55</v>
      </c>
      <c r="M674" t="str">
        <f>Koond_kulud!M708</f>
        <v>55</v>
      </c>
      <c r="N674" t="str">
        <f>Koond_kulud!N708</f>
        <v>Muud tegevuskulud</v>
      </c>
      <c r="O674" t="str">
        <f>Koond_kulud!O708</f>
        <v>Majandamiskulud</v>
      </c>
      <c r="P674" t="str">
        <f>Koond_kulud!P708</f>
        <v>Põhitegevuse kulu</v>
      </c>
      <c r="Q674">
        <f>Koond_kulud!Q708</f>
        <v>0</v>
      </c>
    </row>
    <row r="675" spans="1:17" hidden="1" x14ac:dyDescent="0.25">
      <c r="A675" t="str">
        <f>Koond_kulud!A709</f>
        <v>09</v>
      </c>
      <c r="B675" t="str">
        <f>Koond_kulud!B709</f>
        <v xml:space="preserve">0911006         </v>
      </c>
      <c r="C675" t="str">
        <f>Koond_kulud!C709</f>
        <v xml:space="preserve"> Laekvere Lasteaed</v>
      </c>
      <c r="D675" t="str">
        <f>Koond_kulud!D709</f>
        <v>Alusharidus</v>
      </c>
      <c r="E675" t="str">
        <f>Koond_kulud!E709</f>
        <v>Haridus</v>
      </c>
      <c r="F675" t="str">
        <f>Koond_kulud!F709</f>
        <v>Muuga-Laekvere kool</v>
      </c>
      <c r="G675" t="str">
        <f>Koond_kulud!G709</f>
        <v>korrashoid</v>
      </c>
      <c r="H675">
        <f>Koond_kulud!H709</f>
        <v>3500</v>
      </c>
      <c r="I675">
        <f>Koond_kulud!I709</f>
        <v>0</v>
      </c>
      <c r="J675">
        <f>Koond_kulud!J709</f>
        <v>5511</v>
      </c>
      <c r="K675" t="str">
        <f>Koond_kulud!K709</f>
        <v>Kinnistute, hoonete ja ruumide majandamiskulud</v>
      </c>
      <c r="L675">
        <f>Koond_kulud!L709</f>
        <v>55</v>
      </c>
      <c r="M675" t="str">
        <f>Koond_kulud!M709</f>
        <v>55</v>
      </c>
      <c r="N675" t="str">
        <f>Koond_kulud!N709</f>
        <v>Muud tegevuskulud</v>
      </c>
      <c r="O675" t="str">
        <f>Koond_kulud!O709</f>
        <v>Majandamiskulud</v>
      </c>
      <c r="P675" t="str">
        <f>Koond_kulud!P709</f>
        <v>Põhitegevuse kulu</v>
      </c>
      <c r="Q675">
        <f>Koond_kulud!Q709</f>
        <v>0</v>
      </c>
    </row>
    <row r="676" spans="1:17" hidden="1" x14ac:dyDescent="0.25">
      <c r="A676" t="str">
        <f>Koond_kulud!A710</f>
        <v>09</v>
      </c>
      <c r="B676" t="str">
        <f>Koond_kulud!B710</f>
        <v xml:space="preserve">0911006         </v>
      </c>
      <c r="C676" t="str">
        <f>Koond_kulud!C710</f>
        <v xml:space="preserve"> Laekvere Lasteaed</v>
      </c>
      <c r="D676" t="str">
        <f>Koond_kulud!D710</f>
        <v>Alusharidus</v>
      </c>
      <c r="E676" t="str">
        <f>Koond_kulud!E710</f>
        <v>Haridus</v>
      </c>
      <c r="F676" t="str">
        <f>Koond_kulud!F710</f>
        <v>Muuga-Laekvere kool</v>
      </c>
      <c r="G676" t="str">
        <f>Koond_kulud!G710</f>
        <v>prügi</v>
      </c>
      <c r="H676">
        <f>Koond_kulud!H710</f>
        <v>500</v>
      </c>
      <c r="I676">
        <f>Koond_kulud!I710</f>
        <v>0</v>
      </c>
      <c r="J676">
        <f>Koond_kulud!J710</f>
        <v>5511</v>
      </c>
      <c r="K676" t="str">
        <f>Koond_kulud!K710</f>
        <v>Kinnistute, hoonete ja ruumide majandamiskulud</v>
      </c>
      <c r="L676">
        <f>Koond_kulud!L710</f>
        <v>55</v>
      </c>
      <c r="M676" t="str">
        <f>Koond_kulud!M710</f>
        <v>55</v>
      </c>
      <c r="N676" t="str">
        <f>Koond_kulud!N710</f>
        <v>Muud tegevuskulud</v>
      </c>
      <c r="O676" t="str">
        <f>Koond_kulud!O710</f>
        <v>Majandamiskulud</v>
      </c>
      <c r="P676" t="str">
        <f>Koond_kulud!P710</f>
        <v>Põhitegevuse kulu</v>
      </c>
      <c r="Q676">
        <f>Koond_kulud!Q710</f>
        <v>0</v>
      </c>
    </row>
    <row r="677" spans="1:17" hidden="1" x14ac:dyDescent="0.25">
      <c r="A677" t="str">
        <f>Koond_kulud!A711</f>
        <v>09</v>
      </c>
      <c r="B677" t="str">
        <f>Koond_kulud!B711</f>
        <v xml:space="preserve">0911006         </v>
      </c>
      <c r="C677" t="str">
        <f>Koond_kulud!C711</f>
        <v xml:space="preserve"> Laekvere Lasteaed</v>
      </c>
      <c r="D677" t="str">
        <f>Koond_kulud!D711</f>
        <v>Alusharidus</v>
      </c>
      <c r="E677" t="str">
        <f>Koond_kulud!E711</f>
        <v>Haridus</v>
      </c>
      <c r="F677" t="str">
        <f>Koond_kulud!F711</f>
        <v>Muuga-Laekvere kool</v>
      </c>
      <c r="G677" t="str">
        <f>Koond_kulud!G711</f>
        <v>korstnapühkija</v>
      </c>
      <c r="H677">
        <f>Koond_kulud!H711</f>
        <v>0</v>
      </c>
      <c r="I677">
        <f>Koond_kulud!I711</f>
        <v>0</v>
      </c>
      <c r="J677">
        <f>Koond_kulud!J711</f>
        <v>5511</v>
      </c>
      <c r="K677" t="str">
        <f>Koond_kulud!K711</f>
        <v>Kinnistute, hoonete ja ruumide majandamiskulud</v>
      </c>
      <c r="L677">
        <f>Koond_kulud!L711</f>
        <v>55</v>
      </c>
      <c r="M677" t="str">
        <f>Koond_kulud!M711</f>
        <v>55</v>
      </c>
      <c r="N677" t="str">
        <f>Koond_kulud!N711</f>
        <v>Muud tegevuskulud</v>
      </c>
      <c r="O677" t="str">
        <f>Koond_kulud!O711</f>
        <v>Majandamiskulud</v>
      </c>
      <c r="P677" t="str">
        <f>Koond_kulud!P711</f>
        <v>Põhitegevuse kulu</v>
      </c>
      <c r="Q677">
        <f>Koond_kulud!Q711</f>
        <v>0</v>
      </c>
    </row>
    <row r="678" spans="1:17" hidden="1" x14ac:dyDescent="0.25">
      <c r="A678" t="str">
        <f>Koond_kulud!A712</f>
        <v>09</v>
      </c>
      <c r="B678" t="str">
        <f>Koond_kulud!B712</f>
        <v xml:space="preserve">0911006         </v>
      </c>
      <c r="C678" t="str">
        <f>Koond_kulud!C712</f>
        <v xml:space="preserve"> Laekvere Lasteaed</v>
      </c>
      <c r="D678" t="str">
        <f>Koond_kulud!D712</f>
        <v>Alusharidus</v>
      </c>
      <c r="E678" t="str">
        <f>Koond_kulud!E712</f>
        <v>Haridus</v>
      </c>
      <c r="F678" t="str">
        <f>Koond_kulud!F712</f>
        <v>Muuga-Laekvere kool</v>
      </c>
      <c r="G678" t="str">
        <f>Koond_kulud!G712</f>
        <v>vesi kanalisatsioon</v>
      </c>
      <c r="H678">
        <f>Koond_kulud!H712</f>
        <v>1900</v>
      </c>
      <c r="I678">
        <f>Koond_kulud!I712</f>
        <v>0</v>
      </c>
      <c r="J678">
        <f>Koond_kulud!J712</f>
        <v>5511</v>
      </c>
      <c r="K678" t="str">
        <f>Koond_kulud!K712</f>
        <v>Kinnistute, hoonete ja ruumide majandamiskulud</v>
      </c>
      <c r="L678">
        <f>Koond_kulud!L712</f>
        <v>55</v>
      </c>
      <c r="M678" t="str">
        <f>Koond_kulud!M712</f>
        <v>55</v>
      </c>
      <c r="N678" t="str">
        <f>Koond_kulud!N712</f>
        <v>Muud tegevuskulud</v>
      </c>
      <c r="O678" t="str">
        <f>Koond_kulud!O712</f>
        <v>Majandamiskulud</v>
      </c>
      <c r="P678" t="str">
        <f>Koond_kulud!P712</f>
        <v>Põhitegevuse kulu</v>
      </c>
      <c r="Q678">
        <f>Koond_kulud!Q712</f>
        <v>0</v>
      </c>
    </row>
    <row r="679" spans="1:17" hidden="1" x14ac:dyDescent="0.25">
      <c r="A679" t="str">
        <f>Koond_kulud!A713</f>
        <v>09</v>
      </c>
      <c r="B679" t="str">
        <f>Koond_kulud!B713</f>
        <v xml:space="preserve">0911006         </v>
      </c>
      <c r="C679" t="str">
        <f>Koond_kulud!C713</f>
        <v xml:space="preserve"> Laekvere Lasteaed</v>
      </c>
      <c r="D679" t="str">
        <f>Koond_kulud!D713</f>
        <v>Alusharidus</v>
      </c>
      <c r="E679" t="str">
        <f>Koond_kulud!E713</f>
        <v>Haridus</v>
      </c>
      <c r="F679" t="str">
        <f>Koond_kulud!F713</f>
        <v>Muuga-Laekvere kool</v>
      </c>
      <c r="G679" t="str">
        <f>Koond_kulud!G713</f>
        <v>rem tööd</v>
      </c>
      <c r="H679">
        <f>Koond_kulud!H713</f>
        <v>500</v>
      </c>
      <c r="I679">
        <f>Koond_kulud!I713</f>
        <v>0</v>
      </c>
      <c r="J679">
        <f>Koond_kulud!J713</f>
        <v>5511</v>
      </c>
      <c r="K679" t="str">
        <f>Koond_kulud!K713</f>
        <v>Kinnistute, hoonete ja ruumide majandamiskulud</v>
      </c>
      <c r="L679">
        <f>Koond_kulud!L713</f>
        <v>55</v>
      </c>
      <c r="M679" t="str">
        <f>Koond_kulud!M713</f>
        <v>55</v>
      </c>
      <c r="N679" t="str">
        <f>Koond_kulud!N713</f>
        <v>Muud tegevuskulud</v>
      </c>
      <c r="O679" t="str">
        <f>Koond_kulud!O713</f>
        <v>Majandamiskulud</v>
      </c>
      <c r="P679" t="str">
        <f>Koond_kulud!P713</f>
        <v>Põhitegevuse kulu</v>
      </c>
      <c r="Q679">
        <f>Koond_kulud!Q713</f>
        <v>0</v>
      </c>
    </row>
    <row r="680" spans="1:17" hidden="1" x14ac:dyDescent="0.25">
      <c r="A680" t="str">
        <f>Koond_kulud!A714</f>
        <v>09</v>
      </c>
      <c r="B680" t="str">
        <f>Koond_kulud!B714</f>
        <v xml:space="preserve">0911006         </v>
      </c>
      <c r="C680" t="str">
        <f>Koond_kulud!C714</f>
        <v xml:space="preserve"> Laekvere Lasteaed</v>
      </c>
      <c r="D680" t="str">
        <f>Koond_kulud!D714</f>
        <v>Alusharidus</v>
      </c>
      <c r="E680" t="str">
        <f>Koond_kulud!E714</f>
        <v>Haridus</v>
      </c>
      <c r="F680" t="str">
        <f>Koond_kulud!F714</f>
        <v>Muuga-Laekvere kool</v>
      </c>
      <c r="G680" t="str">
        <f>Koond_kulud!G714</f>
        <v>kindlustus</v>
      </c>
      <c r="H680">
        <f>Koond_kulud!H714</f>
        <v>1200</v>
      </c>
      <c r="I680">
        <f>Koond_kulud!I714</f>
        <v>0</v>
      </c>
      <c r="J680">
        <f>Koond_kulud!J714</f>
        <v>5511</v>
      </c>
      <c r="K680" t="str">
        <f>Koond_kulud!K714</f>
        <v>Kinnistute, hoonete ja ruumide majandamiskulud</v>
      </c>
      <c r="L680">
        <f>Koond_kulud!L714</f>
        <v>55</v>
      </c>
      <c r="M680" t="str">
        <f>Koond_kulud!M714</f>
        <v>55</v>
      </c>
      <c r="N680" t="str">
        <f>Koond_kulud!N714</f>
        <v>Muud tegevuskulud</v>
      </c>
      <c r="O680" t="str">
        <f>Koond_kulud!O714</f>
        <v>Majandamiskulud</v>
      </c>
      <c r="P680" t="str">
        <f>Koond_kulud!P714</f>
        <v>Põhitegevuse kulu</v>
      </c>
      <c r="Q680">
        <f>Koond_kulud!Q714</f>
        <v>0</v>
      </c>
    </row>
    <row r="681" spans="1:17" hidden="1" x14ac:dyDescent="0.25">
      <c r="A681" t="str">
        <f>Koond_kulud!A715</f>
        <v>09</v>
      </c>
      <c r="B681" t="str">
        <f>Koond_kulud!B715</f>
        <v xml:space="preserve">0911006         </v>
      </c>
      <c r="C681" t="str">
        <f>Koond_kulud!C715</f>
        <v xml:space="preserve"> Laekvere Lasteaed</v>
      </c>
      <c r="D681" t="str">
        <f>Koond_kulud!D715</f>
        <v>Alusharidus</v>
      </c>
      <c r="E681" t="str">
        <f>Koond_kulud!E715</f>
        <v>Haridus</v>
      </c>
      <c r="F681" t="str">
        <f>Koond_kulud!F715</f>
        <v>Muuga-Laekvere kool</v>
      </c>
      <c r="G681" t="str">
        <f>Koond_kulud!G715</f>
        <v>Muud kinnistukulud</v>
      </c>
      <c r="H681">
        <f>Koond_kulud!H715</f>
        <v>200</v>
      </c>
      <c r="I681">
        <f>Koond_kulud!I715</f>
        <v>0</v>
      </c>
      <c r="J681">
        <f>Koond_kulud!J715</f>
        <v>5511</v>
      </c>
      <c r="K681" t="str">
        <f>Koond_kulud!K715</f>
        <v>Kinnistute, hoonete ja ruumide majandamiskulud</v>
      </c>
      <c r="L681">
        <f>Koond_kulud!L715</f>
        <v>55</v>
      </c>
      <c r="M681" t="str">
        <f>Koond_kulud!M715</f>
        <v>55</v>
      </c>
      <c r="N681" t="str">
        <f>Koond_kulud!N715</f>
        <v>Muud tegevuskulud</v>
      </c>
      <c r="O681" t="str">
        <f>Koond_kulud!O715</f>
        <v>Majandamiskulud</v>
      </c>
      <c r="P681" t="str">
        <f>Koond_kulud!P715</f>
        <v>Põhitegevuse kulu</v>
      </c>
      <c r="Q681">
        <f>Koond_kulud!Q715</f>
        <v>0</v>
      </c>
    </row>
    <row r="682" spans="1:17" hidden="1" x14ac:dyDescent="0.25">
      <c r="A682" t="str">
        <f>Koond_kulud!A716</f>
        <v>09</v>
      </c>
      <c r="B682" t="str">
        <f>Koond_kulud!B716</f>
        <v xml:space="preserve">0911006         </v>
      </c>
      <c r="C682" t="str">
        <f>Koond_kulud!C716</f>
        <v xml:space="preserve"> Laekvere Lasteaed</v>
      </c>
      <c r="D682" t="str">
        <f>Koond_kulud!D716</f>
        <v>Alusharidus</v>
      </c>
      <c r="E682" t="str">
        <f>Koond_kulud!E716</f>
        <v>Haridus</v>
      </c>
      <c r="F682" t="str">
        <f>Koond_kulud!F716</f>
        <v>Muuga-Laekvere kool</v>
      </c>
      <c r="G682" t="str">
        <f>Koond_kulud!G716</f>
        <v>voodipesu</v>
      </c>
      <c r="H682">
        <f>Koond_kulud!H716</f>
        <v>500</v>
      </c>
      <c r="I682">
        <f>Koond_kulud!I716</f>
        <v>0</v>
      </c>
      <c r="J682">
        <f>Koond_kulud!J716</f>
        <v>5511</v>
      </c>
      <c r="K682" t="str">
        <f>Koond_kulud!K716</f>
        <v>Kinnistute, hoonete ja ruumide majandamiskulud</v>
      </c>
      <c r="L682">
        <f>Koond_kulud!L716</f>
        <v>55</v>
      </c>
      <c r="M682" t="str">
        <f>Koond_kulud!M716</f>
        <v>55</v>
      </c>
      <c r="N682" t="str">
        <f>Koond_kulud!N716</f>
        <v>Muud tegevuskulud</v>
      </c>
      <c r="O682" t="str">
        <f>Koond_kulud!O716</f>
        <v>Majandamiskulud</v>
      </c>
      <c r="P682" t="str">
        <f>Koond_kulud!P716</f>
        <v>Põhitegevuse kulu</v>
      </c>
      <c r="Q682">
        <f>Koond_kulud!Q716</f>
        <v>0</v>
      </c>
    </row>
    <row r="683" spans="1:17" hidden="1" x14ac:dyDescent="0.25">
      <c r="A683" t="str">
        <f>Koond_kulud!A717</f>
        <v>09</v>
      </c>
      <c r="B683" t="str">
        <f>Koond_kulud!B717</f>
        <v xml:space="preserve">0911006         </v>
      </c>
      <c r="C683" t="str">
        <f>Koond_kulud!C717</f>
        <v xml:space="preserve"> Laekvere Lasteaed</v>
      </c>
      <c r="D683" t="str">
        <f>Koond_kulud!D717</f>
        <v>Alusharidus</v>
      </c>
      <c r="E683" t="str">
        <f>Koond_kulud!E717</f>
        <v>Haridus</v>
      </c>
      <c r="F683" t="str">
        <f>Koond_kulud!F717</f>
        <v>Muuga-Laekvere kool</v>
      </c>
      <c r="G683" t="str">
        <f>Koond_kulud!G717</f>
        <v>ohutusvahendite kontroll</v>
      </c>
      <c r="H683">
        <f>Koond_kulud!H717</f>
        <v>150</v>
      </c>
      <c r="I683">
        <f>Koond_kulud!I717</f>
        <v>0</v>
      </c>
      <c r="J683">
        <f>Koond_kulud!J717</f>
        <v>5511</v>
      </c>
      <c r="K683" t="str">
        <f>Koond_kulud!K717</f>
        <v>Kinnistute, hoonete ja ruumide majandamiskulud</v>
      </c>
      <c r="L683">
        <f>Koond_kulud!L717</f>
        <v>55</v>
      </c>
      <c r="M683" t="str">
        <f>Koond_kulud!M717</f>
        <v>55</v>
      </c>
      <c r="N683" t="str">
        <f>Koond_kulud!N717</f>
        <v>Muud tegevuskulud</v>
      </c>
      <c r="O683" t="str">
        <f>Koond_kulud!O717</f>
        <v>Majandamiskulud</v>
      </c>
      <c r="P683" t="str">
        <f>Koond_kulud!P717</f>
        <v>Põhitegevuse kulu</v>
      </c>
      <c r="Q683">
        <f>Koond_kulud!Q717</f>
        <v>0</v>
      </c>
    </row>
    <row r="684" spans="1:17" hidden="1" x14ac:dyDescent="0.25">
      <c r="A684" t="str">
        <f>Koond_kulud!A718</f>
        <v>09</v>
      </c>
      <c r="B684" t="str">
        <f>Koond_kulud!B718</f>
        <v xml:space="preserve">0911006         </v>
      </c>
      <c r="C684" t="str">
        <f>Koond_kulud!C718</f>
        <v xml:space="preserve"> Laekvere Lasteaed</v>
      </c>
      <c r="D684" t="str">
        <f>Koond_kulud!D718</f>
        <v>Alusharidus</v>
      </c>
      <c r="E684" t="str">
        <f>Koond_kulud!E718</f>
        <v>Haridus</v>
      </c>
      <c r="F684" t="str">
        <f>Koond_kulud!F718</f>
        <v>Muuga-Laekvere kool</v>
      </c>
      <c r="G684" t="str">
        <f>Koond_kulud!G718</f>
        <v>büroo</v>
      </c>
      <c r="H684">
        <f>Koond_kulud!H718</f>
        <v>600</v>
      </c>
      <c r="I684">
        <f>Koond_kulud!I718</f>
        <v>0</v>
      </c>
      <c r="J684">
        <f>Koond_kulud!J718</f>
        <v>5500</v>
      </c>
      <c r="K684" t="str">
        <f>Koond_kulud!K718</f>
        <v>Administreerimiskulud</v>
      </c>
      <c r="L684">
        <f>Koond_kulud!L718</f>
        <v>55</v>
      </c>
      <c r="M684" t="str">
        <f>Koond_kulud!M718</f>
        <v>55</v>
      </c>
      <c r="N684" t="str">
        <f>Koond_kulud!N718</f>
        <v>Muud tegevuskulud</v>
      </c>
      <c r="O684" t="str">
        <f>Koond_kulud!O718</f>
        <v>Majandamiskulud</v>
      </c>
      <c r="P684" t="str">
        <f>Koond_kulud!P718</f>
        <v>Põhitegevuse kulu</v>
      </c>
      <c r="Q684">
        <f>Koond_kulud!Q718</f>
        <v>0</v>
      </c>
    </row>
    <row r="685" spans="1:17" hidden="1" x14ac:dyDescent="0.25">
      <c r="A685" t="str">
        <f>Koond_kulud!A719</f>
        <v>09</v>
      </c>
      <c r="B685" t="str">
        <f>Koond_kulud!B719</f>
        <v xml:space="preserve">0911006         </v>
      </c>
      <c r="C685" t="str">
        <f>Koond_kulud!C719</f>
        <v xml:space="preserve"> Laekvere Lasteaed</v>
      </c>
      <c r="D685" t="str">
        <f>Koond_kulud!D719</f>
        <v>Alusharidus</v>
      </c>
      <c r="E685" t="str">
        <f>Koond_kulud!E719</f>
        <v>Haridus</v>
      </c>
      <c r="F685" t="str">
        <f>Koond_kulud!F719</f>
        <v>Muuga-Laekvere kool</v>
      </c>
      <c r="G685" t="str">
        <f>Koond_kulud!G719</f>
        <v>tahm</v>
      </c>
      <c r="H685">
        <f>Koond_kulud!H719</f>
        <v>400</v>
      </c>
      <c r="I685">
        <f>Koond_kulud!I719</f>
        <v>0</v>
      </c>
      <c r="J685">
        <f>Koond_kulud!J719</f>
        <v>5500</v>
      </c>
      <c r="K685" t="str">
        <f>Koond_kulud!K719</f>
        <v>Administreerimiskulud</v>
      </c>
      <c r="L685">
        <f>Koond_kulud!L719</f>
        <v>55</v>
      </c>
      <c r="M685" t="str">
        <f>Koond_kulud!M719</f>
        <v>55</v>
      </c>
      <c r="N685" t="str">
        <f>Koond_kulud!N719</f>
        <v>Muud tegevuskulud</v>
      </c>
      <c r="O685" t="str">
        <f>Koond_kulud!O719</f>
        <v>Majandamiskulud</v>
      </c>
      <c r="P685" t="str">
        <f>Koond_kulud!P719</f>
        <v>Põhitegevuse kulu</v>
      </c>
      <c r="Q685">
        <f>Koond_kulud!Q719</f>
        <v>0</v>
      </c>
    </row>
    <row r="686" spans="1:17" hidden="1" x14ac:dyDescent="0.25">
      <c r="A686" t="str">
        <f>Koond_kulud!A720</f>
        <v>09</v>
      </c>
      <c r="B686" t="str">
        <f>Koond_kulud!B720</f>
        <v xml:space="preserve">0911006         </v>
      </c>
      <c r="C686" t="str">
        <f>Koond_kulud!C720</f>
        <v xml:space="preserve"> Laekvere Lasteaed</v>
      </c>
      <c r="D686" t="str">
        <f>Koond_kulud!D720</f>
        <v>Alusharidus</v>
      </c>
      <c r="E686" t="str">
        <f>Koond_kulud!E720</f>
        <v>Haridus</v>
      </c>
      <c r="F686" t="str">
        <f>Koond_kulud!F720</f>
        <v>Muuga-Laekvere kool</v>
      </c>
      <c r="G686" t="str">
        <f>Koond_kulud!G720</f>
        <v>trükised</v>
      </c>
      <c r="H686">
        <f>Koond_kulud!H720</f>
        <v>100</v>
      </c>
      <c r="I686">
        <f>Koond_kulud!I720</f>
        <v>0</v>
      </c>
      <c r="J686">
        <f>Koond_kulud!J720</f>
        <v>5500</v>
      </c>
      <c r="K686" t="str">
        <f>Koond_kulud!K720</f>
        <v>Administreerimiskulud</v>
      </c>
      <c r="L686">
        <f>Koond_kulud!L720</f>
        <v>55</v>
      </c>
      <c r="M686" t="str">
        <f>Koond_kulud!M720</f>
        <v>55</v>
      </c>
      <c r="N686" t="str">
        <f>Koond_kulud!N720</f>
        <v>Muud tegevuskulud</v>
      </c>
      <c r="O686" t="str">
        <f>Koond_kulud!O720</f>
        <v>Majandamiskulud</v>
      </c>
      <c r="P686" t="str">
        <f>Koond_kulud!P720</f>
        <v>Põhitegevuse kulu</v>
      </c>
      <c r="Q686">
        <f>Koond_kulud!Q720</f>
        <v>0</v>
      </c>
    </row>
    <row r="687" spans="1:17" hidden="1" x14ac:dyDescent="0.25">
      <c r="A687" t="str">
        <f>Koond_kulud!A721</f>
        <v>09</v>
      </c>
      <c r="B687" t="str">
        <f>Koond_kulud!B721</f>
        <v xml:space="preserve">0911006         </v>
      </c>
      <c r="C687" t="str">
        <f>Koond_kulud!C721</f>
        <v xml:space="preserve"> Laekvere Lasteaed</v>
      </c>
      <c r="D687" t="str">
        <f>Koond_kulud!D721</f>
        <v>Alusharidus</v>
      </c>
      <c r="E687" t="str">
        <f>Koond_kulud!E721</f>
        <v>Haridus</v>
      </c>
      <c r="F687" t="str">
        <f>Koond_kulud!F721</f>
        <v>Muuga-Laekvere kool</v>
      </c>
      <c r="G687" t="str">
        <f>Koond_kulud!G721</f>
        <v>post</v>
      </c>
      <c r="H687">
        <f>Koond_kulud!H721</f>
        <v>50</v>
      </c>
      <c r="I687">
        <f>Koond_kulud!I721</f>
        <v>0</v>
      </c>
      <c r="J687">
        <f>Koond_kulud!J721</f>
        <v>5500</v>
      </c>
      <c r="K687" t="str">
        <f>Koond_kulud!K721</f>
        <v>Administreerimiskulud</v>
      </c>
      <c r="L687">
        <f>Koond_kulud!L721</f>
        <v>55</v>
      </c>
      <c r="M687" t="str">
        <f>Koond_kulud!M721</f>
        <v>55</v>
      </c>
      <c r="N687" t="str">
        <f>Koond_kulud!N721</f>
        <v>Muud tegevuskulud</v>
      </c>
      <c r="O687" t="str">
        <f>Koond_kulud!O721</f>
        <v>Majandamiskulud</v>
      </c>
      <c r="P687" t="str">
        <f>Koond_kulud!P721</f>
        <v>Põhitegevuse kulu</v>
      </c>
      <c r="Q687">
        <f>Koond_kulud!Q721</f>
        <v>0</v>
      </c>
    </row>
    <row r="688" spans="1:17" hidden="1" x14ac:dyDescent="0.25">
      <c r="A688" t="str">
        <f>Koond_kulud!A722</f>
        <v>09</v>
      </c>
      <c r="B688" t="str">
        <f>Koond_kulud!B722</f>
        <v xml:space="preserve">0911006         </v>
      </c>
      <c r="C688" t="str">
        <f>Koond_kulud!C722</f>
        <v xml:space="preserve"> Laekvere Lasteaed</v>
      </c>
      <c r="D688" t="str">
        <f>Koond_kulud!D722</f>
        <v>Alusharidus</v>
      </c>
      <c r="E688" t="str">
        <f>Koond_kulud!E722</f>
        <v>Haridus</v>
      </c>
      <c r="F688" t="str">
        <f>Koond_kulud!F722</f>
        <v>Muuga-Laekvere kool</v>
      </c>
      <c r="G688" t="str">
        <f>Koond_kulud!G722</f>
        <v>telefon</v>
      </c>
      <c r="H688">
        <f>Koond_kulud!H722</f>
        <v>300</v>
      </c>
      <c r="I688">
        <f>Koond_kulud!I722</f>
        <v>0</v>
      </c>
      <c r="J688">
        <f>Koond_kulud!J722</f>
        <v>5500</v>
      </c>
      <c r="K688" t="str">
        <f>Koond_kulud!K722</f>
        <v>Administreerimiskulud</v>
      </c>
      <c r="L688">
        <f>Koond_kulud!L722</f>
        <v>55</v>
      </c>
      <c r="M688" t="str">
        <f>Koond_kulud!M722</f>
        <v>55</v>
      </c>
      <c r="N688" t="str">
        <f>Koond_kulud!N722</f>
        <v>Muud tegevuskulud</v>
      </c>
      <c r="O688" t="str">
        <f>Koond_kulud!O722</f>
        <v>Majandamiskulud</v>
      </c>
      <c r="P688" t="str">
        <f>Koond_kulud!P722</f>
        <v>Põhitegevuse kulu</v>
      </c>
      <c r="Q688">
        <f>Koond_kulud!Q722</f>
        <v>0</v>
      </c>
    </row>
    <row r="689" spans="1:17" hidden="1" x14ac:dyDescent="0.25">
      <c r="A689" t="str">
        <f>Koond_kulud!A723</f>
        <v>09</v>
      </c>
      <c r="B689" t="str">
        <f>Koond_kulud!B723</f>
        <v xml:space="preserve">0911006         </v>
      </c>
      <c r="C689" t="str">
        <f>Koond_kulud!C723</f>
        <v xml:space="preserve"> Laekvere Lasteaed</v>
      </c>
      <c r="D689" t="str">
        <f>Koond_kulud!D723</f>
        <v>Alusharidus</v>
      </c>
      <c r="E689" t="str">
        <f>Koond_kulud!E723</f>
        <v>Haridus</v>
      </c>
      <c r="F689" t="str">
        <f>Koond_kulud!F723</f>
        <v>Muuga-Laekvere kool</v>
      </c>
      <c r="G689" t="str">
        <f>Koond_kulud!G723</f>
        <v>mobiiltel</v>
      </c>
      <c r="H689">
        <f>Koond_kulud!H723</f>
        <v>0</v>
      </c>
      <c r="I689">
        <f>Koond_kulud!I723</f>
        <v>0</v>
      </c>
      <c r="J689">
        <f>Koond_kulud!J723</f>
        <v>5500</v>
      </c>
      <c r="K689" t="str">
        <f>Koond_kulud!K723</f>
        <v>Administreerimiskulud</v>
      </c>
      <c r="L689">
        <f>Koond_kulud!L723</f>
        <v>55</v>
      </c>
      <c r="M689" t="str">
        <f>Koond_kulud!M723</f>
        <v>55</v>
      </c>
      <c r="N689" t="str">
        <f>Koond_kulud!N723</f>
        <v>Muud tegevuskulud</v>
      </c>
      <c r="O689" t="str">
        <f>Koond_kulud!O723</f>
        <v>Majandamiskulud</v>
      </c>
      <c r="P689" t="str">
        <f>Koond_kulud!P723</f>
        <v>Põhitegevuse kulu</v>
      </c>
      <c r="Q689">
        <f>Koond_kulud!Q723</f>
        <v>0</v>
      </c>
    </row>
    <row r="690" spans="1:17" hidden="1" x14ac:dyDescent="0.25">
      <c r="A690" t="str">
        <f>Koond_kulud!A724</f>
        <v>09</v>
      </c>
      <c r="B690" t="str">
        <f>Koond_kulud!B724</f>
        <v xml:space="preserve">0911006         </v>
      </c>
      <c r="C690" t="str">
        <f>Koond_kulud!C724</f>
        <v xml:space="preserve"> Laekvere Lasteaed</v>
      </c>
      <c r="D690" t="str">
        <f>Koond_kulud!D724</f>
        <v>Alusharidus</v>
      </c>
      <c r="E690" t="str">
        <f>Koond_kulud!E724</f>
        <v>Haridus</v>
      </c>
      <c r="F690" t="str">
        <f>Koond_kulud!F724</f>
        <v>Muuga-Laekvere kool</v>
      </c>
      <c r="G690" t="str">
        <f>Koond_kulud!G724</f>
        <v>kingitused</v>
      </c>
      <c r="H690">
        <f>Koond_kulud!H724</f>
        <v>100</v>
      </c>
      <c r="I690">
        <f>Koond_kulud!I724</f>
        <v>0</v>
      </c>
      <c r="J690">
        <f>Koond_kulud!J724</f>
        <v>5500</v>
      </c>
      <c r="K690" t="str">
        <f>Koond_kulud!K724</f>
        <v>Administreerimiskulud</v>
      </c>
      <c r="L690">
        <f>Koond_kulud!L724</f>
        <v>55</v>
      </c>
      <c r="M690" t="str">
        <f>Koond_kulud!M724</f>
        <v>55</v>
      </c>
      <c r="N690" t="str">
        <f>Koond_kulud!N724</f>
        <v>Muud tegevuskulud</v>
      </c>
      <c r="O690" t="str">
        <f>Koond_kulud!O724</f>
        <v>Majandamiskulud</v>
      </c>
      <c r="P690" t="str">
        <f>Koond_kulud!P724</f>
        <v>Põhitegevuse kulu</v>
      </c>
      <c r="Q690">
        <f>Koond_kulud!Q724</f>
        <v>0</v>
      </c>
    </row>
    <row r="691" spans="1:17" hidden="1" x14ac:dyDescent="0.25">
      <c r="A691" t="str">
        <f>Koond_kulud!A725</f>
        <v>09</v>
      </c>
      <c r="B691" t="str">
        <f>Koond_kulud!B725</f>
        <v xml:space="preserve">0911006         </v>
      </c>
      <c r="C691" t="str">
        <f>Koond_kulud!C725</f>
        <v xml:space="preserve"> Laekvere Lasteaed</v>
      </c>
      <c r="D691" t="str">
        <f>Koond_kulud!D725</f>
        <v>Alusharidus</v>
      </c>
      <c r="E691" t="str">
        <f>Koond_kulud!E725</f>
        <v>Haridus</v>
      </c>
      <c r="F691" t="str">
        <f>Koond_kulud!F725</f>
        <v>Muuga-Laekvere kool</v>
      </c>
      <c r="G691" t="str">
        <f>Koond_kulud!G725</f>
        <v>esindamine</v>
      </c>
      <c r="H691">
        <f>Koond_kulud!H725</f>
        <v>130</v>
      </c>
      <c r="I691">
        <f>Koond_kulud!I725</f>
        <v>0</v>
      </c>
      <c r="J691">
        <f>Koond_kulud!J725</f>
        <v>5500</v>
      </c>
      <c r="K691" t="str">
        <f>Koond_kulud!K725</f>
        <v>Administreerimiskulud</v>
      </c>
      <c r="L691">
        <f>Koond_kulud!L725</f>
        <v>55</v>
      </c>
      <c r="M691" t="str">
        <f>Koond_kulud!M725</f>
        <v>55</v>
      </c>
      <c r="N691" t="str">
        <f>Koond_kulud!N725</f>
        <v>Muud tegevuskulud</v>
      </c>
      <c r="O691" t="str">
        <f>Koond_kulud!O725</f>
        <v>Majandamiskulud</v>
      </c>
      <c r="P691" t="str">
        <f>Koond_kulud!P725</f>
        <v>Põhitegevuse kulu</v>
      </c>
      <c r="Q691">
        <f>Koond_kulud!Q725</f>
        <v>0</v>
      </c>
    </row>
    <row r="692" spans="1:17" hidden="1" x14ac:dyDescent="0.25">
      <c r="A692" t="str">
        <f>Koond_kulud!A726</f>
        <v>09</v>
      </c>
      <c r="B692" t="str">
        <f>Koond_kulud!B726</f>
        <v xml:space="preserve">0911006         </v>
      </c>
      <c r="C692" t="str">
        <f>Koond_kulud!C726</f>
        <v xml:space="preserve"> Laekvere Lasteaed</v>
      </c>
      <c r="D692" t="str">
        <f>Koond_kulud!D726</f>
        <v>Alusharidus</v>
      </c>
      <c r="E692" t="str">
        <f>Koond_kulud!E726</f>
        <v>Haridus</v>
      </c>
      <c r="F692" t="str">
        <f>Koond_kulud!F726</f>
        <v>Muuga-Laekvere kool</v>
      </c>
      <c r="G692" t="str">
        <f>Koond_kulud!G726</f>
        <v>kuulutused</v>
      </c>
      <c r="H692">
        <f>Koond_kulud!H726</f>
        <v>50</v>
      </c>
      <c r="I692">
        <f>Koond_kulud!I726</f>
        <v>0</v>
      </c>
      <c r="J692">
        <f>Koond_kulud!J726</f>
        <v>5500</v>
      </c>
      <c r="K692" t="str">
        <f>Koond_kulud!K726</f>
        <v>Administreerimiskulud</v>
      </c>
      <c r="L692">
        <f>Koond_kulud!L726</f>
        <v>55</v>
      </c>
      <c r="M692" t="str">
        <f>Koond_kulud!M726</f>
        <v>55</v>
      </c>
      <c r="N692" t="str">
        <f>Koond_kulud!N726</f>
        <v>Muud tegevuskulud</v>
      </c>
      <c r="O692" t="str">
        <f>Koond_kulud!O726</f>
        <v>Majandamiskulud</v>
      </c>
      <c r="P692" t="str">
        <f>Koond_kulud!P726</f>
        <v>Põhitegevuse kulu</v>
      </c>
      <c r="Q692">
        <f>Koond_kulud!Q726</f>
        <v>0</v>
      </c>
    </row>
    <row r="693" spans="1:17" hidden="1" x14ac:dyDescent="0.25">
      <c r="A693" t="str">
        <f>Koond_kulud!A727</f>
        <v>09</v>
      </c>
      <c r="B693" t="str">
        <f>Koond_kulud!B727</f>
        <v xml:space="preserve">0911006         </v>
      </c>
      <c r="C693" t="str">
        <f>Koond_kulud!C727</f>
        <v xml:space="preserve"> Laekvere Lasteaed</v>
      </c>
      <c r="D693" t="str">
        <f>Koond_kulud!D727</f>
        <v>Alusharidus</v>
      </c>
      <c r="E693" t="str">
        <f>Koond_kulud!E727</f>
        <v>Haridus</v>
      </c>
      <c r="F693" t="str">
        <f>Koond_kulud!F727</f>
        <v>Muuga-Laekvere kool</v>
      </c>
      <c r="G693" t="str">
        <f>Koond_kulud!G727</f>
        <v>Muud admin.kulud</v>
      </c>
      <c r="H693">
        <f>Koond_kulud!H727</f>
        <v>100</v>
      </c>
      <c r="I693">
        <f>Koond_kulud!I727</f>
        <v>0</v>
      </c>
      <c r="J693">
        <f>Koond_kulud!J727</f>
        <v>5500</v>
      </c>
      <c r="K693" t="str">
        <f>Koond_kulud!K727</f>
        <v>Administreerimiskulud</v>
      </c>
      <c r="L693">
        <f>Koond_kulud!L727</f>
        <v>55</v>
      </c>
      <c r="M693" t="str">
        <f>Koond_kulud!M727</f>
        <v>55</v>
      </c>
      <c r="N693" t="str">
        <f>Koond_kulud!N727</f>
        <v>Muud tegevuskulud</v>
      </c>
      <c r="O693" t="str">
        <f>Koond_kulud!O727</f>
        <v>Majandamiskulud</v>
      </c>
      <c r="P693" t="str">
        <f>Koond_kulud!P727</f>
        <v>Põhitegevuse kulu</v>
      </c>
      <c r="Q693">
        <f>Koond_kulud!Q727</f>
        <v>0</v>
      </c>
    </row>
    <row r="694" spans="1:17" hidden="1" x14ac:dyDescent="0.25">
      <c r="A694" t="str">
        <f>Koond_kulud!A728</f>
        <v>09</v>
      </c>
      <c r="B694" t="str">
        <f>Koond_kulud!B728</f>
        <v xml:space="preserve">0911006         </v>
      </c>
      <c r="C694" t="str">
        <f>Koond_kulud!C728</f>
        <v xml:space="preserve"> Laekvere Lasteaed</v>
      </c>
      <c r="D694" t="str">
        <f>Koond_kulud!D728</f>
        <v>Alusharidus</v>
      </c>
      <c r="E694" t="str">
        <f>Koond_kulud!E728</f>
        <v>Haridus</v>
      </c>
      <c r="F694" t="str">
        <f>Koond_kulud!F728</f>
        <v>Muuga-Laekvere kool</v>
      </c>
      <c r="G694" t="str">
        <f>Koond_kulud!G728</f>
        <v>Koolitused</v>
      </c>
      <c r="H694">
        <f>Koond_kulud!H728</f>
        <v>500</v>
      </c>
      <c r="I694">
        <f>Koond_kulud!I728</f>
        <v>0</v>
      </c>
      <c r="J694">
        <f>Koond_kulud!J728</f>
        <v>5504</v>
      </c>
      <c r="K694" t="str">
        <f>Koond_kulud!K728</f>
        <v>Koolituskulud</v>
      </c>
      <c r="L694">
        <f>Koond_kulud!L728</f>
        <v>55</v>
      </c>
      <c r="M694" t="str">
        <f>Koond_kulud!M728</f>
        <v>55</v>
      </c>
      <c r="N694" t="str">
        <f>Koond_kulud!N728</f>
        <v>Muud tegevuskulud</v>
      </c>
      <c r="O694" t="str">
        <f>Koond_kulud!O728</f>
        <v>Majandamiskulud</v>
      </c>
      <c r="P694" t="str">
        <f>Koond_kulud!P728</f>
        <v>Põhitegevuse kulu</v>
      </c>
      <c r="Q694">
        <f>Koond_kulud!Q728</f>
        <v>0</v>
      </c>
    </row>
    <row r="695" spans="1:17" hidden="1" x14ac:dyDescent="0.25">
      <c r="A695" t="str">
        <f>Koond_kulud!A729</f>
        <v>09</v>
      </c>
      <c r="B695" t="str">
        <f>Koond_kulud!B729</f>
        <v xml:space="preserve">0911006         </v>
      </c>
      <c r="C695" t="str">
        <f>Koond_kulud!C729</f>
        <v xml:space="preserve"> Laekvere Lasteaed</v>
      </c>
      <c r="D695" t="str">
        <f>Koond_kulud!D729</f>
        <v>Alusharidus</v>
      </c>
      <c r="E695" t="str">
        <f>Koond_kulud!E729</f>
        <v>Haridus</v>
      </c>
      <c r="F695" t="str">
        <f>Koond_kulud!F729</f>
        <v>Muuga-Laekvere kool</v>
      </c>
      <c r="G695" t="str">
        <f>Koond_kulud!G729</f>
        <v>isikliku sõiduki kasutamine</v>
      </c>
      <c r="H695">
        <f>Koond_kulud!H729</f>
        <v>500</v>
      </c>
      <c r="I695">
        <f>Koond_kulud!I729</f>
        <v>0</v>
      </c>
      <c r="J695">
        <f>Koond_kulud!J729</f>
        <v>5513</v>
      </c>
      <c r="K695" t="str">
        <f>Koond_kulud!K729</f>
        <v>Sõidukite ülalpidamise kulud</v>
      </c>
      <c r="L695">
        <f>Koond_kulud!L729</f>
        <v>55</v>
      </c>
      <c r="M695" t="str">
        <f>Koond_kulud!M729</f>
        <v>55</v>
      </c>
      <c r="N695" t="str">
        <f>Koond_kulud!N729</f>
        <v>Muud tegevuskulud</v>
      </c>
      <c r="O695" t="str">
        <f>Koond_kulud!O729</f>
        <v>Majandamiskulud</v>
      </c>
      <c r="P695" t="str">
        <f>Koond_kulud!P729</f>
        <v>Põhitegevuse kulu</v>
      </c>
      <c r="Q695">
        <f>Koond_kulud!Q729</f>
        <v>0</v>
      </c>
    </row>
    <row r="696" spans="1:17" hidden="1" x14ac:dyDescent="0.25">
      <c r="A696" t="str">
        <f>Koond_kulud!A730</f>
        <v>09</v>
      </c>
      <c r="B696" t="str">
        <f>Koond_kulud!B730</f>
        <v xml:space="preserve">0911006         </v>
      </c>
      <c r="C696" t="str">
        <f>Koond_kulud!C730</f>
        <v xml:space="preserve"> Laekvere Lasteaed</v>
      </c>
      <c r="D696" t="str">
        <f>Koond_kulud!D730</f>
        <v>Alusharidus</v>
      </c>
      <c r="E696" t="str">
        <f>Koond_kulud!E730</f>
        <v>Haridus</v>
      </c>
      <c r="F696" t="str">
        <f>Koond_kulud!F730</f>
        <v>Muuga-Laekvere kool</v>
      </c>
      <c r="G696" t="str">
        <f>Koond_kulud!G730</f>
        <v>hooldus ja remont</v>
      </c>
      <c r="H696">
        <f>Koond_kulud!H730</f>
        <v>500</v>
      </c>
      <c r="I696">
        <f>Koond_kulud!I730</f>
        <v>0</v>
      </c>
      <c r="J696">
        <f>Koond_kulud!J730</f>
        <v>5515</v>
      </c>
      <c r="K696" t="str">
        <f>Koond_kulud!K730</f>
        <v>Inventari kulud, v.a infotehnoloogia ja kaitseotstarbelised kulud</v>
      </c>
      <c r="L696">
        <f>Koond_kulud!L730</f>
        <v>55</v>
      </c>
      <c r="M696" t="str">
        <f>Koond_kulud!M730</f>
        <v>55</v>
      </c>
      <c r="N696" t="str">
        <f>Koond_kulud!N730</f>
        <v>Muud tegevuskulud</v>
      </c>
      <c r="O696" t="str">
        <f>Koond_kulud!O730</f>
        <v>Majandamiskulud</v>
      </c>
      <c r="P696" t="str">
        <f>Koond_kulud!P730</f>
        <v>Põhitegevuse kulu</v>
      </c>
      <c r="Q696">
        <f>Koond_kulud!Q730</f>
        <v>0</v>
      </c>
    </row>
    <row r="697" spans="1:17" hidden="1" x14ac:dyDescent="0.25">
      <c r="A697" t="str">
        <f>Koond_kulud!A731</f>
        <v>09</v>
      </c>
      <c r="B697" t="str">
        <f>Koond_kulud!B731</f>
        <v xml:space="preserve">0911006         </v>
      </c>
      <c r="C697" t="str">
        <f>Koond_kulud!C731</f>
        <v xml:space="preserve"> Laekvere Lasteaed</v>
      </c>
      <c r="D697" t="str">
        <f>Koond_kulud!D731</f>
        <v>Alusharidus</v>
      </c>
      <c r="E697" t="str">
        <f>Koond_kulud!E731</f>
        <v>Haridus</v>
      </c>
      <c r="F697" t="str">
        <f>Koond_kulud!F731</f>
        <v>Muuga-Laekvere kool</v>
      </c>
      <c r="G697" t="str">
        <f>Koond_kulud!G731</f>
        <v>muud inventari kulud</v>
      </c>
      <c r="H697">
        <f>Koond_kulud!H731</f>
        <v>300</v>
      </c>
      <c r="I697">
        <f>Koond_kulud!I731</f>
        <v>0</v>
      </c>
      <c r="J697">
        <f>Koond_kulud!J731</f>
        <v>5515</v>
      </c>
      <c r="K697" t="str">
        <f>Koond_kulud!K731</f>
        <v>Inventari kulud, v.a infotehnoloogia ja kaitseotstarbelised kulud</v>
      </c>
      <c r="L697">
        <f>Koond_kulud!L731</f>
        <v>55</v>
      </c>
      <c r="M697" t="str">
        <f>Koond_kulud!M731</f>
        <v>55</v>
      </c>
      <c r="N697" t="str">
        <f>Koond_kulud!N731</f>
        <v>Muud tegevuskulud</v>
      </c>
      <c r="O697" t="str">
        <f>Koond_kulud!O731</f>
        <v>Majandamiskulud</v>
      </c>
      <c r="P697" t="str">
        <f>Koond_kulud!P731</f>
        <v>Põhitegevuse kulu</v>
      </c>
      <c r="Q697">
        <f>Koond_kulud!Q731</f>
        <v>0</v>
      </c>
    </row>
    <row r="698" spans="1:17" hidden="1" x14ac:dyDescent="0.25">
      <c r="A698" t="str">
        <f>Koond_kulud!A732</f>
        <v>09</v>
      </c>
      <c r="B698" t="str">
        <f>Koond_kulud!B732</f>
        <v xml:space="preserve">0911006         </v>
      </c>
      <c r="C698" t="str">
        <f>Koond_kulud!C732</f>
        <v xml:space="preserve"> Laekvere Lasteaed</v>
      </c>
      <c r="D698" t="str">
        <f>Koond_kulud!D732</f>
        <v>Alusharidus</v>
      </c>
      <c r="E698" t="str">
        <f>Koond_kulud!E732</f>
        <v>Haridus</v>
      </c>
      <c r="F698" t="str">
        <f>Koond_kulud!F732</f>
        <v>Muuga-Laekvere kool</v>
      </c>
      <c r="G698" t="str">
        <f>Koond_kulud!G732</f>
        <v>Toiduained</v>
      </c>
      <c r="H698">
        <f>Koond_kulud!H732</f>
        <v>8000</v>
      </c>
      <c r="I698">
        <f>Koond_kulud!I732</f>
        <v>0</v>
      </c>
      <c r="J698">
        <f>Koond_kulud!J732</f>
        <v>5521</v>
      </c>
      <c r="K698" t="str">
        <f>Koond_kulud!K732</f>
        <v>Toiduained ja toitlustusteenused</v>
      </c>
      <c r="L698">
        <f>Koond_kulud!L732</f>
        <v>55</v>
      </c>
      <c r="M698" t="str">
        <f>Koond_kulud!M732</f>
        <v>55</v>
      </c>
      <c r="N698" t="str">
        <f>Koond_kulud!N732</f>
        <v>Muud tegevuskulud</v>
      </c>
      <c r="O698" t="str">
        <f>Koond_kulud!O732</f>
        <v>Majandamiskulud</v>
      </c>
      <c r="P698" t="str">
        <f>Koond_kulud!P732</f>
        <v>Põhitegevuse kulu</v>
      </c>
      <c r="Q698">
        <f>Koond_kulud!Q732</f>
        <v>0</v>
      </c>
    </row>
    <row r="699" spans="1:17" hidden="1" x14ac:dyDescent="0.25">
      <c r="A699" t="str">
        <f>Koond_kulud!A733</f>
        <v>09</v>
      </c>
      <c r="B699" t="str">
        <f>Koond_kulud!B733</f>
        <v xml:space="preserve">0911006         </v>
      </c>
      <c r="C699" t="str">
        <f>Koond_kulud!C733</f>
        <v xml:space="preserve"> Laekvere Lasteaed</v>
      </c>
      <c r="D699" t="str">
        <f>Koond_kulud!D733</f>
        <v>Alusharidus</v>
      </c>
      <c r="E699" t="str">
        <f>Koond_kulud!E733</f>
        <v>Haridus</v>
      </c>
      <c r="F699" t="str">
        <f>Koond_kulud!F733</f>
        <v>Muuga-Laekvere kool</v>
      </c>
      <c r="G699" t="str">
        <f>Koond_kulud!G733</f>
        <v>esmaabi</v>
      </c>
      <c r="H699">
        <f>Koond_kulud!H733</f>
        <v>50</v>
      </c>
      <c r="I699">
        <f>Koond_kulud!I733</f>
        <v>0</v>
      </c>
      <c r="J699">
        <f>Koond_kulud!J733</f>
        <v>5522</v>
      </c>
      <c r="K699" t="str">
        <f>Koond_kulud!K733</f>
        <v>Meditsiinikulud ja hügieenitarbed</v>
      </c>
      <c r="L699">
        <f>Koond_kulud!L733</f>
        <v>55</v>
      </c>
      <c r="M699" t="str">
        <f>Koond_kulud!M733</f>
        <v>55</v>
      </c>
      <c r="N699" t="str">
        <f>Koond_kulud!N733</f>
        <v>Muud tegevuskulud</v>
      </c>
      <c r="O699" t="str">
        <f>Koond_kulud!O733</f>
        <v>Majandamiskulud</v>
      </c>
      <c r="P699" t="str">
        <f>Koond_kulud!P733</f>
        <v>Põhitegevuse kulu</v>
      </c>
      <c r="Q699">
        <f>Koond_kulud!Q733</f>
        <v>0</v>
      </c>
    </row>
    <row r="700" spans="1:17" hidden="1" x14ac:dyDescent="0.25">
      <c r="A700" t="str">
        <f>Koond_kulud!A734</f>
        <v>09</v>
      </c>
      <c r="B700" t="str">
        <f>Koond_kulud!B734</f>
        <v xml:space="preserve">0911006         </v>
      </c>
      <c r="C700" t="str">
        <f>Koond_kulud!C734</f>
        <v xml:space="preserve"> Laekvere Lasteaed</v>
      </c>
      <c r="D700" t="str">
        <f>Koond_kulud!D734</f>
        <v>Alusharidus</v>
      </c>
      <c r="E700" t="str">
        <f>Koond_kulud!E734</f>
        <v>Haridus</v>
      </c>
      <c r="F700" t="str">
        <f>Koond_kulud!F734</f>
        <v>Muuga-Laekvere kool</v>
      </c>
      <c r="G700" t="str">
        <f>Koond_kulud!G734</f>
        <v>tervisekontroll</v>
      </c>
      <c r="H700">
        <f>Koond_kulud!H734</f>
        <v>50</v>
      </c>
      <c r="I700">
        <f>Koond_kulud!I734</f>
        <v>0</v>
      </c>
      <c r="J700">
        <f>Koond_kulud!J734</f>
        <v>5522</v>
      </c>
      <c r="K700" t="str">
        <f>Koond_kulud!K734</f>
        <v>Meditsiinikulud ja hügieenitarbed</v>
      </c>
      <c r="L700">
        <f>Koond_kulud!L734</f>
        <v>55</v>
      </c>
      <c r="M700" t="str">
        <f>Koond_kulud!M734</f>
        <v>55</v>
      </c>
      <c r="N700" t="str">
        <f>Koond_kulud!N734</f>
        <v>Muud tegevuskulud</v>
      </c>
      <c r="O700" t="str">
        <f>Koond_kulud!O734</f>
        <v>Majandamiskulud</v>
      </c>
      <c r="P700" t="str">
        <f>Koond_kulud!P734</f>
        <v>Põhitegevuse kulu</v>
      </c>
      <c r="Q700">
        <f>Koond_kulud!Q734</f>
        <v>0</v>
      </c>
    </row>
    <row r="701" spans="1:17" hidden="1" x14ac:dyDescent="0.25">
      <c r="A701" t="str">
        <f>Koond_kulud!A735</f>
        <v>09</v>
      </c>
      <c r="B701" t="str">
        <f>Koond_kulud!B735</f>
        <v xml:space="preserve">0911006         </v>
      </c>
      <c r="C701" t="str">
        <f>Koond_kulud!C735</f>
        <v xml:space="preserve"> Laekvere Lasteaed</v>
      </c>
      <c r="D701" t="str">
        <f>Koond_kulud!D735</f>
        <v>Alusharidus</v>
      </c>
      <c r="E701" t="str">
        <f>Koond_kulud!E735</f>
        <v>Haridus</v>
      </c>
      <c r="F701" t="str">
        <f>Koond_kulud!F735</f>
        <v>Muuga-Laekvere kool</v>
      </c>
      <c r="G701" t="str">
        <f>Koond_kulud!G735</f>
        <v>prillid</v>
      </c>
      <c r="H701">
        <f>Koond_kulud!H735</f>
        <v>300</v>
      </c>
      <c r="I701">
        <f>Koond_kulud!I735</f>
        <v>0</v>
      </c>
      <c r="J701">
        <f>Koond_kulud!J735</f>
        <v>5522</v>
      </c>
      <c r="K701" t="str">
        <f>Koond_kulud!K735</f>
        <v>Meditsiinikulud ja hügieenitarbed</v>
      </c>
      <c r="L701">
        <f>Koond_kulud!L735</f>
        <v>55</v>
      </c>
      <c r="M701" t="str">
        <f>Koond_kulud!M735</f>
        <v>55</v>
      </c>
      <c r="N701" t="str">
        <f>Koond_kulud!N735</f>
        <v>Muud tegevuskulud</v>
      </c>
      <c r="O701" t="str">
        <f>Koond_kulud!O735</f>
        <v>Majandamiskulud</v>
      </c>
      <c r="P701" t="str">
        <f>Koond_kulud!P735</f>
        <v>Põhitegevuse kulu</v>
      </c>
      <c r="Q701">
        <f>Koond_kulud!Q735</f>
        <v>0</v>
      </c>
    </row>
    <row r="702" spans="1:17" hidden="1" x14ac:dyDescent="0.25">
      <c r="A702" t="str">
        <f>Koond_kulud!A736</f>
        <v>09</v>
      </c>
      <c r="B702" t="str">
        <f>Koond_kulud!B736</f>
        <v xml:space="preserve">0911006         </v>
      </c>
      <c r="C702" t="str">
        <f>Koond_kulud!C736</f>
        <v xml:space="preserve"> Laekvere Lasteaed</v>
      </c>
      <c r="D702" t="str">
        <f>Koond_kulud!D736</f>
        <v>Alusharidus</v>
      </c>
      <c r="E702" t="str">
        <f>Koond_kulud!E736</f>
        <v>Haridus</v>
      </c>
      <c r="F702" t="str">
        <f>Koond_kulud!F736</f>
        <v>Muuga-Laekvere kool</v>
      </c>
      <c r="G702" t="str">
        <f>Koond_kulud!G736</f>
        <v>õpikud, töövihikud</v>
      </c>
      <c r="H702">
        <f>Koond_kulud!H736</f>
        <v>800</v>
      </c>
      <c r="I702">
        <f>Koond_kulud!I736</f>
        <v>0</v>
      </c>
      <c r="J702">
        <f>Koond_kulud!J736</f>
        <v>5524</v>
      </c>
      <c r="K702" t="str">
        <f>Koond_kulud!K736</f>
        <v>Õppevahendid</v>
      </c>
      <c r="L702">
        <f>Koond_kulud!L736</f>
        <v>55</v>
      </c>
      <c r="M702" t="str">
        <f>Koond_kulud!M736</f>
        <v>55</v>
      </c>
      <c r="N702" t="str">
        <f>Koond_kulud!N736</f>
        <v>Muud tegevuskulud</v>
      </c>
      <c r="O702" t="str">
        <f>Koond_kulud!O736</f>
        <v>Majandamiskulud</v>
      </c>
      <c r="P702" t="str">
        <f>Koond_kulud!P736</f>
        <v>Põhitegevuse kulu</v>
      </c>
      <c r="Q702">
        <f>Koond_kulud!Q736</f>
        <v>0</v>
      </c>
    </row>
    <row r="703" spans="1:17" hidden="1" x14ac:dyDescent="0.25">
      <c r="A703" t="str">
        <f>Koond_kulud!A737</f>
        <v>09</v>
      </c>
      <c r="B703" t="str">
        <f>Koond_kulud!B737</f>
        <v xml:space="preserve">0911006         </v>
      </c>
      <c r="C703" t="str">
        <f>Koond_kulud!C737</f>
        <v xml:space="preserve"> Laekvere Lasteaed</v>
      </c>
      <c r="D703" t="str">
        <f>Koond_kulud!D737</f>
        <v>Alusharidus</v>
      </c>
      <c r="E703" t="str">
        <f>Koond_kulud!E737</f>
        <v>Haridus</v>
      </c>
      <c r="F703" t="str">
        <f>Koond_kulud!F737</f>
        <v>Muuga-Laekvere kool</v>
      </c>
      <c r="G703" t="str">
        <f>Koond_kulud!G737</f>
        <v>õppematerjalid</v>
      </c>
      <c r="H703">
        <f>Koond_kulud!H737</f>
        <v>800</v>
      </c>
      <c r="I703">
        <f>Koond_kulud!I737</f>
        <v>0</v>
      </c>
      <c r="J703">
        <f>Koond_kulud!J737</f>
        <v>5524</v>
      </c>
      <c r="K703" t="str">
        <f>Koond_kulud!K737</f>
        <v>Õppevahendid</v>
      </c>
      <c r="L703">
        <f>Koond_kulud!L737</f>
        <v>55</v>
      </c>
      <c r="M703" t="str">
        <f>Koond_kulud!M737</f>
        <v>55</v>
      </c>
      <c r="N703" t="str">
        <f>Koond_kulud!N737</f>
        <v>Muud tegevuskulud</v>
      </c>
      <c r="O703" t="str">
        <f>Koond_kulud!O737</f>
        <v>Majandamiskulud</v>
      </c>
      <c r="P703" t="str">
        <f>Koond_kulud!P737</f>
        <v>Põhitegevuse kulu</v>
      </c>
      <c r="Q703">
        <f>Koond_kulud!Q737</f>
        <v>0</v>
      </c>
    </row>
    <row r="704" spans="1:17" hidden="1" x14ac:dyDescent="0.25">
      <c r="A704" t="str">
        <f>Koond_kulud!A738</f>
        <v>09</v>
      </c>
      <c r="B704" t="str">
        <f>Koond_kulud!B738</f>
        <v xml:space="preserve">0911006         </v>
      </c>
      <c r="C704" t="str">
        <f>Koond_kulud!C738</f>
        <v xml:space="preserve"> Laekvere Lasteaed</v>
      </c>
      <c r="D704" t="str">
        <f>Koond_kulud!D738</f>
        <v>Alusharidus</v>
      </c>
      <c r="E704" t="str">
        <f>Koond_kulud!E738</f>
        <v>Haridus</v>
      </c>
      <c r="F704" t="str">
        <f>Koond_kulud!F738</f>
        <v>Muuga-Laekvere kool</v>
      </c>
      <c r="G704" t="str">
        <f>Koond_kulud!G738</f>
        <v>mänguasjad</v>
      </c>
      <c r="H704">
        <f>Koond_kulud!H738</f>
        <v>900</v>
      </c>
      <c r="I704">
        <f>Koond_kulud!I738</f>
        <v>0</v>
      </c>
      <c r="J704">
        <f>Koond_kulud!J738</f>
        <v>5524</v>
      </c>
      <c r="K704" t="str">
        <f>Koond_kulud!K738</f>
        <v>Õppevahendid</v>
      </c>
      <c r="L704">
        <f>Koond_kulud!L738</f>
        <v>55</v>
      </c>
      <c r="M704" t="str">
        <f>Koond_kulud!M738</f>
        <v>55</v>
      </c>
      <c r="N704" t="str">
        <f>Koond_kulud!N738</f>
        <v>Muud tegevuskulud</v>
      </c>
      <c r="O704" t="str">
        <f>Koond_kulud!O738</f>
        <v>Majandamiskulud</v>
      </c>
      <c r="P704" t="str">
        <f>Koond_kulud!P738</f>
        <v>Põhitegevuse kulu</v>
      </c>
      <c r="Q704">
        <f>Koond_kulud!Q738</f>
        <v>0</v>
      </c>
    </row>
    <row r="705" spans="1:17" hidden="1" x14ac:dyDescent="0.25">
      <c r="A705" t="str">
        <f>Koond_kulud!A739</f>
        <v>09</v>
      </c>
      <c r="B705" t="str">
        <f>Koond_kulud!B739</f>
        <v xml:space="preserve">0911006         </v>
      </c>
      <c r="C705" t="str">
        <f>Koond_kulud!C739</f>
        <v xml:space="preserve"> Laekvere Lasteaed</v>
      </c>
      <c r="D705" t="str">
        <f>Koond_kulud!D739</f>
        <v>Alusharidus</v>
      </c>
      <c r="E705" t="str">
        <f>Koond_kulud!E739</f>
        <v>Haridus</v>
      </c>
      <c r="F705" t="str">
        <f>Koond_kulud!F739</f>
        <v>Muuga-Laekvere kool</v>
      </c>
      <c r="G705" t="str">
        <f>Koond_kulud!G739</f>
        <v>ühisüritused</v>
      </c>
      <c r="H705">
        <f>Koond_kulud!H739</f>
        <v>100</v>
      </c>
      <c r="I705">
        <f>Koond_kulud!I739</f>
        <v>0</v>
      </c>
      <c r="J705">
        <f>Koond_kulud!J739</f>
        <v>5524</v>
      </c>
      <c r="K705" t="str">
        <f>Koond_kulud!K739</f>
        <v>Õppevahendid</v>
      </c>
      <c r="L705">
        <f>Koond_kulud!L739</f>
        <v>55</v>
      </c>
      <c r="M705" t="str">
        <f>Koond_kulud!M739</f>
        <v>55</v>
      </c>
      <c r="N705" t="str">
        <f>Koond_kulud!N739</f>
        <v>Muud tegevuskulud</v>
      </c>
      <c r="O705" t="str">
        <f>Koond_kulud!O739</f>
        <v>Majandamiskulud</v>
      </c>
      <c r="P705" t="str">
        <f>Koond_kulud!P739</f>
        <v>Põhitegevuse kulu</v>
      </c>
      <c r="Q705">
        <f>Koond_kulud!Q739</f>
        <v>0</v>
      </c>
    </row>
    <row r="706" spans="1:17" hidden="1" x14ac:dyDescent="0.25">
      <c r="A706" t="str">
        <f>Koond_kulud!A740</f>
        <v>09</v>
      </c>
      <c r="B706" t="str">
        <f>Koond_kulud!B740</f>
        <v xml:space="preserve">0911006         </v>
      </c>
      <c r="C706" t="str">
        <f>Koond_kulud!C740</f>
        <v xml:space="preserve"> Laekvere Lasteaed</v>
      </c>
      <c r="D706" t="str">
        <f>Koond_kulud!D740</f>
        <v>Alusharidus</v>
      </c>
      <c r="E706" t="str">
        <f>Koond_kulud!E740</f>
        <v>Haridus</v>
      </c>
      <c r="F706" t="str">
        <f>Koond_kulud!F740</f>
        <v>Muuga-Laekvere kool</v>
      </c>
      <c r="G706" t="str">
        <f>Koond_kulud!G740</f>
        <v>transport</v>
      </c>
      <c r="H706">
        <f>Koond_kulud!H740</f>
        <v>500</v>
      </c>
      <c r="I706">
        <f>Koond_kulud!I740</f>
        <v>0</v>
      </c>
      <c r="J706">
        <f>Koond_kulud!J740</f>
        <v>5524</v>
      </c>
      <c r="K706" t="str">
        <f>Koond_kulud!K740</f>
        <v>Õppevahendid</v>
      </c>
      <c r="L706">
        <f>Koond_kulud!L740</f>
        <v>55</v>
      </c>
      <c r="M706" t="str">
        <f>Koond_kulud!M740</f>
        <v>55</v>
      </c>
      <c r="N706" t="str">
        <f>Koond_kulud!N740</f>
        <v>Muud tegevuskulud</v>
      </c>
      <c r="O706" t="str">
        <f>Koond_kulud!O740</f>
        <v>Majandamiskulud</v>
      </c>
      <c r="P706" t="str">
        <f>Koond_kulud!P740</f>
        <v>Põhitegevuse kulu</v>
      </c>
      <c r="Q706">
        <f>Koond_kulud!Q740</f>
        <v>0</v>
      </c>
    </row>
    <row r="707" spans="1:17" hidden="1" x14ac:dyDescent="0.25">
      <c r="A707" t="str">
        <f>Koond_kulud!A741</f>
        <v>09</v>
      </c>
      <c r="B707" t="str">
        <f>Koond_kulud!B741</f>
        <v xml:space="preserve">0911006         </v>
      </c>
      <c r="C707" t="str">
        <f>Koond_kulud!C741</f>
        <v xml:space="preserve"> Laekvere Lasteaed</v>
      </c>
      <c r="D707" t="str">
        <f>Koond_kulud!D741</f>
        <v>Alusharidus</v>
      </c>
      <c r="E707" t="str">
        <f>Koond_kulud!E741</f>
        <v>Haridus</v>
      </c>
      <c r="F707" t="str">
        <f>Koond_kulud!F741</f>
        <v>Muuga-Laekvere kool</v>
      </c>
      <c r="G707" t="str">
        <f>Koond_kulud!G741</f>
        <v>etendused, kontserdid</v>
      </c>
      <c r="H707">
        <f>Koond_kulud!H741</f>
        <v>500</v>
      </c>
      <c r="I707">
        <f>Koond_kulud!I741</f>
        <v>0</v>
      </c>
      <c r="J707">
        <f>Koond_kulud!J741</f>
        <v>5525</v>
      </c>
      <c r="K707" t="str">
        <f>Koond_kulud!K741</f>
        <v>Kommunikatsiooni-, kultuuri- ja vaba aja sisustamise kulud</v>
      </c>
      <c r="L707">
        <f>Koond_kulud!L741</f>
        <v>55</v>
      </c>
      <c r="M707" t="str">
        <f>Koond_kulud!M741</f>
        <v>55</v>
      </c>
      <c r="N707" t="str">
        <f>Koond_kulud!N741</f>
        <v>Muud tegevuskulud</v>
      </c>
      <c r="O707" t="str">
        <f>Koond_kulud!O741</f>
        <v>Majandamiskulud</v>
      </c>
      <c r="P707" t="str">
        <f>Koond_kulud!P741</f>
        <v>Põhitegevuse kulu</v>
      </c>
      <c r="Q707">
        <f>Koond_kulud!Q741</f>
        <v>0</v>
      </c>
    </row>
    <row r="708" spans="1:17" hidden="1" x14ac:dyDescent="0.25">
      <c r="A708" t="str">
        <f>Koond_kulud!A742</f>
        <v>09</v>
      </c>
      <c r="B708" t="str">
        <f>Koond_kulud!B742</f>
        <v xml:space="preserve">0911006         </v>
      </c>
      <c r="C708" t="str">
        <f>Koond_kulud!C742</f>
        <v xml:space="preserve"> Laekvere Lasteaed</v>
      </c>
      <c r="D708" t="str">
        <f>Koond_kulud!D742</f>
        <v>Alusharidus</v>
      </c>
      <c r="E708" t="str">
        <f>Koond_kulud!E742</f>
        <v>Haridus</v>
      </c>
      <c r="F708" t="str">
        <f>Koond_kulud!F742</f>
        <v>Muuga-Laekvere kool</v>
      </c>
      <c r="G708" t="str">
        <f>Koond_kulud!G742</f>
        <v>osalustasud</v>
      </c>
      <c r="H708">
        <f>Koond_kulud!H742</f>
        <v>100</v>
      </c>
      <c r="I708">
        <f>Koond_kulud!I742</f>
        <v>0</v>
      </c>
      <c r="J708">
        <f>Koond_kulud!J742</f>
        <v>5525</v>
      </c>
      <c r="K708" t="str">
        <f>Koond_kulud!K742</f>
        <v>Kommunikatsiooni-, kultuuri- ja vaba aja sisustamise kulud</v>
      </c>
      <c r="L708">
        <f>Koond_kulud!L742</f>
        <v>55</v>
      </c>
      <c r="M708" t="str">
        <f>Koond_kulud!M742</f>
        <v>55</v>
      </c>
      <c r="N708" t="str">
        <f>Koond_kulud!N742</f>
        <v>Muud tegevuskulud</v>
      </c>
      <c r="O708" t="str">
        <f>Koond_kulud!O742</f>
        <v>Majandamiskulud</v>
      </c>
      <c r="P708" t="str">
        <f>Koond_kulud!P742</f>
        <v>Põhitegevuse kulu</v>
      </c>
      <c r="Q708">
        <f>Koond_kulud!Q742</f>
        <v>0</v>
      </c>
    </row>
    <row r="709" spans="1:17" hidden="1" x14ac:dyDescent="0.25">
      <c r="A709" t="str">
        <f>Koond_kulud!A743</f>
        <v>09</v>
      </c>
      <c r="B709" t="str">
        <f>Koond_kulud!B743</f>
        <v xml:space="preserve">0911006         </v>
      </c>
      <c r="C709" t="str">
        <f>Koond_kulud!C743</f>
        <v xml:space="preserve"> Laekvere Lasteaed</v>
      </c>
      <c r="D709" t="str">
        <f>Koond_kulud!D743</f>
        <v>Alusharidus</v>
      </c>
      <c r="E709" t="str">
        <f>Koond_kulud!E743</f>
        <v>Haridus</v>
      </c>
      <c r="F709" t="str">
        <f>Koond_kulud!F743</f>
        <v>Muuga-Laekvere kool</v>
      </c>
      <c r="G709" t="str">
        <f>Koond_kulud!G743</f>
        <v>aastapäevad</v>
      </c>
      <c r="H709">
        <f>Koond_kulud!H743</f>
        <v>1000</v>
      </c>
      <c r="I709">
        <f>Koond_kulud!I743</f>
        <v>0</v>
      </c>
      <c r="J709">
        <f>Koond_kulud!J743</f>
        <v>5525</v>
      </c>
      <c r="K709" t="str">
        <f>Koond_kulud!K743</f>
        <v>Kommunikatsiooni-, kultuuri- ja vaba aja sisustamise kulud</v>
      </c>
      <c r="L709">
        <f>Koond_kulud!L743</f>
        <v>55</v>
      </c>
      <c r="M709" t="str">
        <f>Koond_kulud!M743</f>
        <v>55</v>
      </c>
      <c r="N709" t="str">
        <f>Koond_kulud!N743</f>
        <v>Muud tegevuskulud</v>
      </c>
      <c r="O709" t="str">
        <f>Koond_kulud!O743</f>
        <v>Majandamiskulud</v>
      </c>
      <c r="P709" t="str">
        <f>Koond_kulud!P743</f>
        <v>Põhitegevuse kulu</v>
      </c>
      <c r="Q709">
        <f>Koond_kulud!Q743</f>
        <v>0</v>
      </c>
    </row>
    <row r="710" spans="1:17" hidden="1" x14ac:dyDescent="0.25">
      <c r="A710" t="str">
        <f>Koond_kulud!A744</f>
        <v>09</v>
      </c>
      <c r="B710" t="str">
        <f>Koond_kulud!B744</f>
        <v xml:space="preserve">0911006         </v>
      </c>
      <c r="C710" t="str">
        <f>Koond_kulud!C744</f>
        <v xml:space="preserve"> Laekvere Lasteaed</v>
      </c>
      <c r="D710" t="str">
        <f>Koond_kulud!D744</f>
        <v>Alusharidus</v>
      </c>
      <c r="E710" t="str">
        <f>Koond_kulud!E744</f>
        <v>Haridus</v>
      </c>
      <c r="F710" t="str">
        <f>Koond_kulud!F744</f>
        <v>Muuga-Laekvere kool</v>
      </c>
      <c r="G710" t="str">
        <f>Koond_kulud!G744</f>
        <v>programmid</v>
      </c>
      <c r="H710">
        <f>Koond_kulud!H744</f>
        <v>300</v>
      </c>
      <c r="I710">
        <f>Koond_kulud!I744</f>
        <v>0</v>
      </c>
      <c r="J710">
        <f>Koond_kulud!J744</f>
        <v>5514</v>
      </c>
      <c r="K710" t="str">
        <f>Koond_kulud!K744</f>
        <v>Info- ja kommunikatsioonitehnoliigised kulud</v>
      </c>
      <c r="L710">
        <f>Koond_kulud!L744</f>
        <v>55</v>
      </c>
      <c r="M710" t="str">
        <f>Koond_kulud!M744</f>
        <v>55</v>
      </c>
      <c r="N710" t="str">
        <f>Koond_kulud!N744</f>
        <v>Muud tegevuskulud</v>
      </c>
      <c r="O710" t="str">
        <f>Koond_kulud!O744</f>
        <v>Majandamiskulud</v>
      </c>
      <c r="P710" t="str">
        <f>Koond_kulud!P744</f>
        <v>Põhitegevuse kulu</v>
      </c>
      <c r="Q710">
        <f>Koond_kulud!Q744</f>
        <v>0</v>
      </c>
    </row>
    <row r="711" spans="1:17" hidden="1" x14ac:dyDescent="0.25">
      <c r="A711" t="str">
        <f>Koond_kulud!A745</f>
        <v>09</v>
      </c>
      <c r="B711" t="str">
        <f>Koond_kulud!B745</f>
        <v xml:space="preserve">0911006         </v>
      </c>
      <c r="C711" t="str">
        <f>Koond_kulud!C745</f>
        <v xml:space="preserve"> Laekvere Lasteaed</v>
      </c>
      <c r="D711" t="str">
        <f>Koond_kulud!D745</f>
        <v>Alusharidus</v>
      </c>
      <c r="E711" t="str">
        <f>Koond_kulud!E745</f>
        <v>Haridus</v>
      </c>
      <c r="F711" t="str">
        <f>Koond_kulud!F745</f>
        <v>Muuga-Laekvere kool</v>
      </c>
      <c r="G711" t="str">
        <f>Koond_kulud!G745</f>
        <v>soetamine</v>
      </c>
      <c r="H711">
        <f>Koond_kulud!H745</f>
        <v>250</v>
      </c>
      <c r="I711">
        <f>Koond_kulud!I745</f>
        <v>0</v>
      </c>
      <c r="J711">
        <f>Koond_kulud!J745</f>
        <v>5514</v>
      </c>
      <c r="K711" t="str">
        <f>Koond_kulud!K745</f>
        <v>Info- ja kommunikatsioonitehnoliigised kulud</v>
      </c>
      <c r="L711">
        <f>Koond_kulud!L745</f>
        <v>55</v>
      </c>
      <c r="M711" t="str">
        <f>Koond_kulud!M745</f>
        <v>55</v>
      </c>
      <c r="N711" t="str">
        <f>Koond_kulud!N745</f>
        <v>Muud tegevuskulud</v>
      </c>
      <c r="O711" t="str">
        <f>Koond_kulud!O745</f>
        <v>Majandamiskulud</v>
      </c>
      <c r="P711" t="str">
        <f>Koond_kulud!P745</f>
        <v>Põhitegevuse kulu</v>
      </c>
      <c r="Q711">
        <f>Koond_kulud!Q745</f>
        <v>0</v>
      </c>
    </row>
    <row r="712" spans="1:17" hidden="1" x14ac:dyDescent="0.25">
      <c r="A712" t="str">
        <f>Koond_kulud!A746</f>
        <v>09</v>
      </c>
      <c r="B712" t="str">
        <f>Koond_kulud!B746</f>
        <v xml:space="preserve">0911006         </v>
      </c>
      <c r="C712" t="str">
        <f>Koond_kulud!C746</f>
        <v xml:space="preserve"> Laekvere Lasteaed</v>
      </c>
      <c r="D712" t="str">
        <f>Koond_kulud!D746</f>
        <v>Alusharidus</v>
      </c>
      <c r="E712" t="str">
        <f>Koond_kulud!E746</f>
        <v>Haridus</v>
      </c>
      <c r="F712" t="str">
        <f>Koond_kulud!F746</f>
        <v>Muuga-Laekvere kool</v>
      </c>
      <c r="G712" t="str">
        <f>Koond_kulud!G746</f>
        <v>andmeside</v>
      </c>
      <c r="H712">
        <f>Koond_kulud!H746</f>
        <v>100</v>
      </c>
      <c r="I712">
        <f>Koond_kulud!I746</f>
        <v>0</v>
      </c>
      <c r="J712">
        <f>Koond_kulud!J746</f>
        <v>5514</v>
      </c>
      <c r="K712" t="str">
        <f>Koond_kulud!K746</f>
        <v>Info- ja kommunikatsioonitehnoliigised kulud</v>
      </c>
      <c r="L712">
        <f>Koond_kulud!L746</f>
        <v>55</v>
      </c>
      <c r="M712" t="str">
        <f>Koond_kulud!M746</f>
        <v>55</v>
      </c>
      <c r="N712" t="str">
        <f>Koond_kulud!N746</f>
        <v>Muud tegevuskulud</v>
      </c>
      <c r="O712" t="str">
        <f>Koond_kulud!O746</f>
        <v>Majandamiskulud</v>
      </c>
      <c r="P712" t="str">
        <f>Koond_kulud!P746</f>
        <v>Põhitegevuse kulu</v>
      </c>
      <c r="Q712">
        <f>Koond_kulud!Q746</f>
        <v>0</v>
      </c>
    </row>
    <row r="713" spans="1:17" hidden="1" x14ac:dyDescent="0.25">
      <c r="A713" t="str">
        <f>Koond_kulud!A747</f>
        <v>09</v>
      </c>
      <c r="B713" t="str">
        <f>Koond_kulud!B747</f>
        <v xml:space="preserve">0911006         </v>
      </c>
      <c r="C713" t="str">
        <f>Koond_kulud!C747</f>
        <v xml:space="preserve"> Laekvere Lasteaed</v>
      </c>
      <c r="D713" t="str">
        <f>Koond_kulud!D747</f>
        <v>Alusharidus</v>
      </c>
      <c r="E713" t="str">
        <f>Koond_kulud!E747</f>
        <v>Haridus</v>
      </c>
      <c r="F713" t="str">
        <f>Koond_kulud!F747</f>
        <v>Muuga-Laekvere kool</v>
      </c>
      <c r="G713" t="str">
        <f>Koond_kulud!G747</f>
        <v>remont ja hooldus</v>
      </c>
      <c r="H713">
        <f>Koond_kulud!H747</f>
        <v>100</v>
      </c>
      <c r="I713">
        <f>Koond_kulud!I747</f>
        <v>0</v>
      </c>
      <c r="J713">
        <f>Koond_kulud!J747</f>
        <v>5514</v>
      </c>
      <c r="K713" t="str">
        <f>Koond_kulud!K747</f>
        <v>Info- ja kommunikatsioonitehnoliigised kulud</v>
      </c>
      <c r="L713">
        <f>Koond_kulud!L747</f>
        <v>55</v>
      </c>
      <c r="M713" t="str">
        <f>Koond_kulud!M747</f>
        <v>55</v>
      </c>
      <c r="N713" t="str">
        <f>Koond_kulud!N747</f>
        <v>Muud tegevuskulud</v>
      </c>
      <c r="O713" t="str">
        <f>Koond_kulud!O747</f>
        <v>Majandamiskulud</v>
      </c>
      <c r="P713" t="str">
        <f>Koond_kulud!P747</f>
        <v>Põhitegevuse kulu</v>
      </c>
      <c r="Q713">
        <f>Koond_kulud!Q747</f>
        <v>0</v>
      </c>
    </row>
    <row r="714" spans="1:17" hidden="1" x14ac:dyDescent="0.25">
      <c r="A714" t="str">
        <f>Koond_kulud!A748</f>
        <v>09</v>
      </c>
      <c r="B714" t="str">
        <f>Koond_kulud!B748</f>
        <v xml:space="preserve">0911007         </v>
      </c>
      <c r="C714" t="str">
        <f>Koond_kulud!C748</f>
        <v xml:space="preserve"> Roela Lasteaed</v>
      </c>
      <c r="D714" t="str">
        <f>Koond_kulud!D748</f>
        <v>Alusharidus</v>
      </c>
      <c r="E714" t="str">
        <f>Koond_kulud!E748</f>
        <v>Haridus</v>
      </c>
      <c r="F714" t="str">
        <f>Koond_kulud!F748</f>
        <v>Ferdinand von Wrangelli nim Roela Lasteaed-Põhikool</v>
      </c>
      <c r="G714" t="str">
        <f>Koond_kulud!G748</f>
        <v>eliis tarkvara</v>
      </c>
      <c r="H714">
        <f>Koond_kulud!H748</f>
        <v>630</v>
      </c>
      <c r="I714" t="str">
        <f>Koond_kulud!I748</f>
        <v>aasta</v>
      </c>
      <c r="J714">
        <f>Koond_kulud!J748</f>
        <v>5514</v>
      </c>
      <c r="K714" t="str">
        <f>Koond_kulud!K748</f>
        <v>Info- ja kommunikatsioonitehnoliigised kulud</v>
      </c>
      <c r="L714">
        <f>Koond_kulud!L748</f>
        <v>55</v>
      </c>
      <c r="M714" t="str">
        <f>Koond_kulud!M748</f>
        <v>55</v>
      </c>
      <c r="N714" t="str">
        <f>Koond_kulud!N748</f>
        <v>Muud tegevuskulud</v>
      </c>
      <c r="O714" t="str">
        <f>Koond_kulud!O748</f>
        <v>Majandamiskulud</v>
      </c>
      <c r="P714" t="str">
        <f>Koond_kulud!P748</f>
        <v>Põhitegevuse kulu</v>
      </c>
      <c r="Q714">
        <f>Koond_kulud!Q748</f>
        <v>0</v>
      </c>
    </row>
    <row r="715" spans="1:17" hidden="1" x14ac:dyDescent="0.25">
      <c r="A715" t="str">
        <f>Koond_kulud!A749</f>
        <v>09</v>
      </c>
      <c r="B715" t="str">
        <f>Koond_kulud!B749</f>
        <v xml:space="preserve">0911007         </v>
      </c>
      <c r="C715" t="str">
        <f>Koond_kulud!C749</f>
        <v xml:space="preserve"> Roela Lasteaed</v>
      </c>
      <c r="D715" t="str">
        <f>Koond_kulud!D749</f>
        <v>Alusharidus</v>
      </c>
      <c r="E715" t="str">
        <f>Koond_kulud!E749</f>
        <v>Haridus</v>
      </c>
      <c r="F715" t="str">
        <f>Koond_kulud!F749</f>
        <v>Ferdinand von Wrangelli nim Roela Lasteaed-Põhikool</v>
      </c>
      <c r="G715" t="str">
        <f>Koond_kulud!G749</f>
        <v xml:space="preserve">toiduained  </v>
      </c>
      <c r="H715">
        <f>Koond_kulud!H749</f>
        <v>6900</v>
      </c>
      <c r="I715">
        <f>Koond_kulud!I749</f>
        <v>0</v>
      </c>
      <c r="J715">
        <f>Koond_kulud!J749</f>
        <v>5521</v>
      </c>
      <c r="K715" t="str">
        <f>Koond_kulud!K749</f>
        <v>Toiduained ja toitlustusteenused</v>
      </c>
      <c r="L715">
        <f>Koond_kulud!L749</f>
        <v>55</v>
      </c>
      <c r="M715" t="str">
        <f>Koond_kulud!M749</f>
        <v>55</v>
      </c>
      <c r="N715" t="str">
        <f>Koond_kulud!N749</f>
        <v>Muud tegevuskulud</v>
      </c>
      <c r="O715" t="str">
        <f>Koond_kulud!O749</f>
        <v>Majandamiskulud</v>
      </c>
      <c r="P715" t="str">
        <f>Koond_kulud!P749</f>
        <v>Põhitegevuse kulu</v>
      </c>
      <c r="Q715">
        <f>Koond_kulud!Q749</f>
        <v>0</v>
      </c>
    </row>
    <row r="716" spans="1:17" hidden="1" x14ac:dyDescent="0.25">
      <c r="A716" t="str">
        <f>Koond_kulud!A750</f>
        <v>09</v>
      </c>
      <c r="B716" t="str">
        <f>Koond_kulud!B750</f>
        <v xml:space="preserve">0911007         </v>
      </c>
      <c r="C716" t="str">
        <f>Koond_kulud!C750</f>
        <v xml:space="preserve"> Roela Lasteaed</v>
      </c>
      <c r="D716" t="str">
        <f>Koond_kulud!D750</f>
        <v>Alusharidus</v>
      </c>
      <c r="E716" t="str">
        <f>Koond_kulud!E750</f>
        <v>Haridus</v>
      </c>
      <c r="F716" t="str">
        <f>Koond_kulud!F750</f>
        <v>Ferdinand von Wrangelli nim Roela Lasteaed-Põhikool</v>
      </c>
      <c r="G716" t="str">
        <f>Koond_kulud!G750</f>
        <v>Õppevahendid</v>
      </c>
      <c r="H716">
        <f>Koond_kulud!H750</f>
        <v>1000</v>
      </c>
      <c r="I716">
        <f>Koond_kulud!I750</f>
        <v>0</v>
      </c>
      <c r="J716">
        <f>Koond_kulud!J750</f>
        <v>5524</v>
      </c>
      <c r="K716" t="str">
        <f>Koond_kulud!K750</f>
        <v>Õppevahendid</v>
      </c>
      <c r="L716">
        <f>Koond_kulud!L750</f>
        <v>55</v>
      </c>
      <c r="M716" t="str">
        <f>Koond_kulud!M750</f>
        <v>55</v>
      </c>
      <c r="N716" t="str">
        <f>Koond_kulud!N750</f>
        <v>Muud tegevuskulud</v>
      </c>
      <c r="O716" t="str">
        <f>Koond_kulud!O750</f>
        <v>Majandamiskulud</v>
      </c>
      <c r="P716" t="str">
        <f>Koond_kulud!P750</f>
        <v>Põhitegevuse kulu</v>
      </c>
      <c r="Q716">
        <f>Koond_kulud!Q750</f>
        <v>0</v>
      </c>
    </row>
    <row r="717" spans="1:17" hidden="1" x14ac:dyDescent="0.25">
      <c r="A717" t="str">
        <f>Koond_kulud!A751</f>
        <v>09</v>
      </c>
      <c r="B717" t="str">
        <f>Koond_kulud!B751</f>
        <v xml:space="preserve">0911008         </v>
      </c>
      <c r="C717" t="str">
        <f>Koond_kulud!C751</f>
        <v xml:space="preserve"> Kohatasud</v>
      </c>
      <c r="D717" t="str">
        <f>Koond_kulud!D751</f>
        <v>Alusharidus</v>
      </c>
      <c r="E717" t="str">
        <f>Koond_kulud!E751</f>
        <v>Haridus</v>
      </c>
      <c r="F717" t="str">
        <f>Koond_kulud!F751</f>
        <v>Haridusnõunik</v>
      </c>
      <c r="G717" t="str">
        <f>Koond_kulud!G751</f>
        <v xml:space="preserve">Kohatasud </v>
      </c>
      <c r="H717">
        <f>Koond_kulud!H751</f>
        <v>46249.440000000002</v>
      </c>
      <c r="I717" t="str">
        <f>Koond_kulud!I751</f>
        <v>alusharidus</v>
      </c>
      <c r="J717">
        <f>Koond_kulud!J751</f>
        <v>5524</v>
      </c>
      <c r="K717" t="str">
        <f>Koond_kulud!K751</f>
        <v>Õppevahendid</v>
      </c>
      <c r="L717">
        <f>Koond_kulud!L751</f>
        <v>55</v>
      </c>
      <c r="M717" t="str">
        <f>Koond_kulud!M751</f>
        <v>55</v>
      </c>
      <c r="N717" t="str">
        <f>Koond_kulud!N751</f>
        <v>Muud tegevuskulud</v>
      </c>
      <c r="O717" t="str">
        <f>Koond_kulud!O751</f>
        <v>Majandamiskulud</v>
      </c>
      <c r="P717" t="str">
        <f>Koond_kulud!P751</f>
        <v>Põhitegevuse kulu</v>
      </c>
      <c r="Q717">
        <f>Koond_kulud!Q751</f>
        <v>0</v>
      </c>
    </row>
    <row r="718" spans="1:17" hidden="1" x14ac:dyDescent="0.25">
      <c r="A718" t="str">
        <f>Koond_kulud!A753</f>
        <v>09</v>
      </c>
      <c r="B718" t="str">
        <f>Koond_kulud!B753</f>
        <v>0921208</v>
      </c>
      <c r="C718" t="str">
        <f>Koond_kulud!C753</f>
        <v>Muuga-Laekvere Kool</v>
      </c>
      <c r="D718" t="str">
        <f>Koond_kulud!D753</f>
        <v>Põhihariduse otsekulud</v>
      </c>
      <c r="E718" t="str">
        <f>Koond_kulud!E753</f>
        <v>Haridus</v>
      </c>
      <c r="F718" t="str">
        <f>Koond_kulud!F753</f>
        <v>Laekvere õppehoone</v>
      </c>
      <c r="G718" t="str">
        <f>Koond_kulud!G753</f>
        <v>küte</v>
      </c>
      <c r="H718">
        <f>Koond_kulud!H753</f>
        <v>20000</v>
      </c>
      <c r="I718">
        <f>Koond_kulud!I753</f>
        <v>0</v>
      </c>
      <c r="J718">
        <f>Koond_kulud!J753</f>
        <v>5511</v>
      </c>
      <c r="K718" t="str">
        <f>Koond_kulud!K753</f>
        <v>Kinnistute, hoonete ja ruumide majandamiskulud</v>
      </c>
      <c r="L718">
        <f>Koond_kulud!L753</f>
        <v>55</v>
      </c>
      <c r="M718" t="str">
        <f>Koond_kulud!M753</f>
        <v>55</v>
      </c>
      <c r="N718" t="str">
        <f>Koond_kulud!N753</f>
        <v>Muud tegevuskulud</v>
      </c>
      <c r="O718" t="str">
        <f>Koond_kulud!O753</f>
        <v>Majandamiskulud</v>
      </c>
      <c r="P718" t="str">
        <f>Koond_kulud!P753</f>
        <v>Põhitegevuse kulu</v>
      </c>
      <c r="Q718">
        <f>Koond_kulud!Q753</f>
        <v>0</v>
      </c>
    </row>
    <row r="719" spans="1:17" hidden="1" x14ac:dyDescent="0.25">
      <c r="A719" t="str">
        <f>Koond_kulud!A754</f>
        <v>09</v>
      </c>
      <c r="B719" t="str">
        <f>Koond_kulud!B754</f>
        <v>0921208</v>
      </c>
      <c r="C719" t="str">
        <f>Koond_kulud!C754</f>
        <v>Muuga-Laekvere Kool</v>
      </c>
      <c r="D719" t="str">
        <f>Koond_kulud!D754</f>
        <v>Põhihariduse otsekulud</v>
      </c>
      <c r="E719" t="str">
        <f>Koond_kulud!E754</f>
        <v>Haridus</v>
      </c>
      <c r="F719" t="str">
        <f>Koond_kulud!F754</f>
        <v>Laekvere õppehoone</v>
      </c>
      <c r="G719" t="str">
        <f>Koond_kulud!G754</f>
        <v>elekter</v>
      </c>
      <c r="H719">
        <f>Koond_kulud!H754</f>
        <v>6000</v>
      </c>
      <c r="I719">
        <f>Koond_kulud!I754</f>
        <v>0</v>
      </c>
      <c r="J719">
        <f>Koond_kulud!J754</f>
        <v>5511</v>
      </c>
      <c r="K719" t="str">
        <f>Koond_kulud!K754</f>
        <v>Kinnistute, hoonete ja ruumide majandamiskulud</v>
      </c>
      <c r="L719">
        <f>Koond_kulud!L754</f>
        <v>55</v>
      </c>
      <c r="M719" t="str">
        <f>Koond_kulud!M754</f>
        <v>55</v>
      </c>
      <c r="N719" t="str">
        <f>Koond_kulud!N754</f>
        <v>Muud tegevuskulud</v>
      </c>
      <c r="O719" t="str">
        <f>Koond_kulud!O754</f>
        <v>Majandamiskulud</v>
      </c>
      <c r="P719" t="str">
        <f>Koond_kulud!P754</f>
        <v>Põhitegevuse kulu</v>
      </c>
      <c r="Q719">
        <f>Koond_kulud!Q754</f>
        <v>0</v>
      </c>
    </row>
    <row r="720" spans="1:17" hidden="1" x14ac:dyDescent="0.25">
      <c r="A720" t="str">
        <f>Koond_kulud!A755</f>
        <v>09</v>
      </c>
      <c r="B720" t="str">
        <f>Koond_kulud!B755</f>
        <v>0921208</v>
      </c>
      <c r="C720" t="str">
        <f>Koond_kulud!C755</f>
        <v>Muuga-Laekvere Kool</v>
      </c>
      <c r="D720" t="str">
        <f>Koond_kulud!D755</f>
        <v>Põhihariduse otsekulud</v>
      </c>
      <c r="E720" t="str">
        <f>Koond_kulud!E755</f>
        <v>Haridus</v>
      </c>
      <c r="F720" t="str">
        <f>Koond_kulud!F755</f>
        <v>Laekvere õppehoone</v>
      </c>
      <c r="G720" t="str">
        <f>Koond_kulud!G755</f>
        <v>el.käitlus</v>
      </c>
      <c r="H720">
        <f>Koond_kulud!H755</f>
        <v>500</v>
      </c>
      <c r="I720">
        <f>Koond_kulud!I755</f>
        <v>0</v>
      </c>
      <c r="J720">
        <f>Koond_kulud!J755</f>
        <v>5511</v>
      </c>
      <c r="K720" t="str">
        <f>Koond_kulud!K755</f>
        <v>Kinnistute, hoonete ja ruumide majandamiskulud</v>
      </c>
      <c r="L720">
        <f>Koond_kulud!L755</f>
        <v>55</v>
      </c>
      <c r="M720" t="str">
        <f>Koond_kulud!M755</f>
        <v>55</v>
      </c>
      <c r="N720" t="str">
        <f>Koond_kulud!N755</f>
        <v>Muud tegevuskulud</v>
      </c>
      <c r="O720" t="str">
        <f>Koond_kulud!O755</f>
        <v>Majandamiskulud</v>
      </c>
      <c r="P720" t="str">
        <f>Koond_kulud!P755</f>
        <v>Põhitegevuse kulu</v>
      </c>
      <c r="Q720">
        <f>Koond_kulud!Q755</f>
        <v>0</v>
      </c>
    </row>
    <row r="721" spans="1:17" hidden="1" x14ac:dyDescent="0.25">
      <c r="A721" t="str">
        <f>Koond_kulud!A756</f>
        <v>09</v>
      </c>
      <c r="B721" t="str">
        <f>Koond_kulud!B756</f>
        <v>0921208</v>
      </c>
      <c r="C721" t="str">
        <f>Koond_kulud!C756</f>
        <v>Muuga-Laekvere Kool</v>
      </c>
      <c r="D721" t="str">
        <f>Koond_kulud!D756</f>
        <v>Põhihariduse otsekulud</v>
      </c>
      <c r="E721" t="str">
        <f>Koond_kulud!E756</f>
        <v>Haridus</v>
      </c>
      <c r="F721" t="str">
        <f>Koond_kulud!F756</f>
        <v>Laekvere õppehoone</v>
      </c>
      <c r="G721" t="str">
        <f>Koond_kulud!G756</f>
        <v>korrashoid</v>
      </c>
      <c r="H721">
        <f>Koond_kulud!H756</f>
        <v>2600</v>
      </c>
      <c r="I721">
        <f>Koond_kulud!I756</f>
        <v>0</v>
      </c>
      <c r="J721">
        <f>Koond_kulud!J756</f>
        <v>5511</v>
      </c>
      <c r="K721" t="str">
        <f>Koond_kulud!K756</f>
        <v>Kinnistute, hoonete ja ruumide majandamiskulud</v>
      </c>
      <c r="L721">
        <f>Koond_kulud!L756</f>
        <v>55</v>
      </c>
      <c r="M721" t="str">
        <f>Koond_kulud!M756</f>
        <v>55</v>
      </c>
      <c r="N721" t="str">
        <f>Koond_kulud!N756</f>
        <v>Muud tegevuskulud</v>
      </c>
      <c r="O721" t="str">
        <f>Koond_kulud!O756</f>
        <v>Majandamiskulud</v>
      </c>
      <c r="P721" t="str">
        <f>Koond_kulud!P756</f>
        <v>Põhitegevuse kulu</v>
      </c>
      <c r="Q721">
        <f>Koond_kulud!Q756</f>
        <v>0</v>
      </c>
    </row>
    <row r="722" spans="1:17" hidden="1" x14ac:dyDescent="0.25">
      <c r="A722" t="str">
        <f>Koond_kulud!A757</f>
        <v>09</v>
      </c>
      <c r="B722" t="str">
        <f>Koond_kulud!B757</f>
        <v>0921208</v>
      </c>
      <c r="C722" t="str">
        <f>Koond_kulud!C757</f>
        <v>Muuga-Laekvere Kool</v>
      </c>
      <c r="D722" t="str">
        <f>Koond_kulud!D757</f>
        <v>Põhihariduse otsekulud</v>
      </c>
      <c r="E722" t="str">
        <f>Koond_kulud!E757</f>
        <v>Haridus</v>
      </c>
      <c r="F722" t="str">
        <f>Koond_kulud!F757</f>
        <v>Laekvere õppehoone</v>
      </c>
      <c r="G722" t="str">
        <f>Koond_kulud!G757</f>
        <v>prügi</v>
      </c>
      <c r="H722">
        <f>Koond_kulud!H757</f>
        <v>500</v>
      </c>
      <c r="I722">
        <f>Koond_kulud!I757</f>
        <v>0</v>
      </c>
      <c r="J722">
        <f>Koond_kulud!J757</f>
        <v>5511</v>
      </c>
      <c r="K722" t="str">
        <f>Koond_kulud!K757</f>
        <v>Kinnistute, hoonete ja ruumide majandamiskulud</v>
      </c>
      <c r="L722">
        <f>Koond_kulud!L757</f>
        <v>55</v>
      </c>
      <c r="M722" t="str">
        <f>Koond_kulud!M757</f>
        <v>55</v>
      </c>
      <c r="N722" t="str">
        <f>Koond_kulud!N757</f>
        <v>Muud tegevuskulud</v>
      </c>
      <c r="O722" t="str">
        <f>Koond_kulud!O757</f>
        <v>Majandamiskulud</v>
      </c>
      <c r="P722" t="str">
        <f>Koond_kulud!P757</f>
        <v>Põhitegevuse kulu</v>
      </c>
      <c r="Q722">
        <f>Koond_kulud!Q757</f>
        <v>0</v>
      </c>
    </row>
    <row r="723" spans="1:17" hidden="1" x14ac:dyDescent="0.25">
      <c r="A723" t="str">
        <f>Koond_kulud!A758</f>
        <v>09</v>
      </c>
      <c r="B723" t="str">
        <f>Koond_kulud!B758</f>
        <v>0921208</v>
      </c>
      <c r="C723" t="str">
        <f>Koond_kulud!C758</f>
        <v>Muuga-Laekvere Kool</v>
      </c>
      <c r="D723" t="str">
        <f>Koond_kulud!D758</f>
        <v>Põhihariduse otsekulud</v>
      </c>
      <c r="E723" t="str">
        <f>Koond_kulud!E758</f>
        <v>Haridus</v>
      </c>
      <c r="F723" t="str">
        <f>Koond_kulud!F758</f>
        <v>Laekvere õppehoone</v>
      </c>
      <c r="G723" t="str">
        <f>Koond_kulud!G758</f>
        <v>korstnapühkija</v>
      </c>
      <c r="H723">
        <f>Koond_kulud!H758</f>
        <v>120</v>
      </c>
      <c r="I723">
        <f>Koond_kulud!I758</f>
        <v>0</v>
      </c>
      <c r="J723">
        <f>Koond_kulud!J758</f>
        <v>5511</v>
      </c>
      <c r="K723" t="str">
        <f>Koond_kulud!K758</f>
        <v>Kinnistute, hoonete ja ruumide majandamiskulud</v>
      </c>
      <c r="L723">
        <f>Koond_kulud!L758</f>
        <v>55</v>
      </c>
      <c r="M723" t="str">
        <f>Koond_kulud!M758</f>
        <v>55</v>
      </c>
      <c r="N723" t="str">
        <f>Koond_kulud!N758</f>
        <v>Muud tegevuskulud</v>
      </c>
      <c r="O723" t="str">
        <f>Koond_kulud!O758</f>
        <v>Majandamiskulud</v>
      </c>
      <c r="P723" t="str">
        <f>Koond_kulud!P758</f>
        <v>Põhitegevuse kulu</v>
      </c>
      <c r="Q723">
        <f>Koond_kulud!Q758</f>
        <v>0</v>
      </c>
    </row>
    <row r="724" spans="1:17" hidden="1" x14ac:dyDescent="0.25">
      <c r="A724" t="str">
        <f>Koond_kulud!A759</f>
        <v>09</v>
      </c>
      <c r="B724" t="str">
        <f>Koond_kulud!B759</f>
        <v>0921208</v>
      </c>
      <c r="C724" t="str">
        <f>Koond_kulud!C759</f>
        <v>Muuga-Laekvere Kool</v>
      </c>
      <c r="D724" t="str">
        <f>Koond_kulud!D759</f>
        <v>Põhihariduse otsekulud</v>
      </c>
      <c r="E724" t="str">
        <f>Koond_kulud!E759</f>
        <v>Haridus</v>
      </c>
      <c r="F724" t="str">
        <f>Koond_kulud!F759</f>
        <v>Laekvere õppehoone</v>
      </c>
      <c r="G724" t="str">
        <f>Koond_kulud!G759</f>
        <v>vesi kanalisatsioon</v>
      </c>
      <c r="H724">
        <f>Koond_kulud!H759</f>
        <v>3000</v>
      </c>
      <c r="I724">
        <f>Koond_kulud!I759</f>
        <v>0</v>
      </c>
      <c r="J724">
        <f>Koond_kulud!J759</f>
        <v>5511</v>
      </c>
      <c r="K724" t="str">
        <f>Koond_kulud!K759</f>
        <v>Kinnistute, hoonete ja ruumide majandamiskulud</v>
      </c>
      <c r="L724">
        <f>Koond_kulud!L759</f>
        <v>55</v>
      </c>
      <c r="M724" t="str">
        <f>Koond_kulud!M759</f>
        <v>55</v>
      </c>
      <c r="N724" t="str">
        <f>Koond_kulud!N759</f>
        <v>Muud tegevuskulud</v>
      </c>
      <c r="O724" t="str">
        <f>Koond_kulud!O759</f>
        <v>Majandamiskulud</v>
      </c>
      <c r="P724" t="str">
        <f>Koond_kulud!P759</f>
        <v>Põhitegevuse kulu</v>
      </c>
      <c r="Q724">
        <f>Koond_kulud!Q759</f>
        <v>0</v>
      </c>
    </row>
    <row r="725" spans="1:17" hidden="1" x14ac:dyDescent="0.25">
      <c r="A725" t="str">
        <f>Koond_kulud!A760</f>
        <v>09</v>
      </c>
      <c r="B725" t="str">
        <f>Koond_kulud!B760</f>
        <v>0921208</v>
      </c>
      <c r="C725" t="str">
        <f>Koond_kulud!C760</f>
        <v>Muuga-Laekvere Kool</v>
      </c>
      <c r="D725" t="str">
        <f>Koond_kulud!D760</f>
        <v>Põhihariduse otsekulud</v>
      </c>
      <c r="E725" t="str">
        <f>Koond_kulud!E760</f>
        <v>Haridus</v>
      </c>
      <c r="F725" t="str">
        <f>Koond_kulud!F760</f>
        <v>Laekvere õppehoone</v>
      </c>
      <c r="G725" t="str">
        <f>Koond_kulud!G760</f>
        <v>rem tööd</v>
      </c>
      <c r="H725">
        <f>Koond_kulud!H760</f>
        <v>500</v>
      </c>
      <c r="I725">
        <f>Koond_kulud!I760</f>
        <v>0</v>
      </c>
      <c r="J725">
        <f>Koond_kulud!J760</f>
        <v>5511</v>
      </c>
      <c r="K725" t="str">
        <f>Koond_kulud!K760</f>
        <v>Kinnistute, hoonete ja ruumide majandamiskulud</v>
      </c>
      <c r="L725">
        <f>Koond_kulud!L760</f>
        <v>55</v>
      </c>
      <c r="M725" t="str">
        <f>Koond_kulud!M760</f>
        <v>55</v>
      </c>
      <c r="N725" t="str">
        <f>Koond_kulud!N760</f>
        <v>Muud tegevuskulud</v>
      </c>
      <c r="O725" t="str">
        <f>Koond_kulud!O760</f>
        <v>Majandamiskulud</v>
      </c>
      <c r="P725" t="str">
        <f>Koond_kulud!P760</f>
        <v>Põhitegevuse kulu</v>
      </c>
      <c r="Q725">
        <f>Koond_kulud!Q760</f>
        <v>0</v>
      </c>
    </row>
    <row r="726" spans="1:17" hidden="1" x14ac:dyDescent="0.25">
      <c r="A726" t="str">
        <f>Koond_kulud!A761</f>
        <v>09</v>
      </c>
      <c r="B726" t="str">
        <f>Koond_kulud!B761</f>
        <v>0921208</v>
      </c>
      <c r="C726" t="str">
        <f>Koond_kulud!C761</f>
        <v>Muuga-Laekvere Kool</v>
      </c>
      <c r="D726" t="str">
        <f>Koond_kulud!D761</f>
        <v>Põhihariduse otsekulud</v>
      </c>
      <c r="E726" t="str">
        <f>Koond_kulud!E761</f>
        <v>Haridus</v>
      </c>
      <c r="F726" t="str">
        <f>Koond_kulud!F761</f>
        <v>Laekvere õppehoone</v>
      </c>
      <c r="G726" t="str">
        <f>Koond_kulud!G761</f>
        <v>kindlustus</v>
      </c>
      <c r="H726">
        <f>Koond_kulud!H761</f>
        <v>760</v>
      </c>
      <c r="I726">
        <f>Koond_kulud!I761</f>
        <v>0</v>
      </c>
      <c r="J726">
        <f>Koond_kulud!J761</f>
        <v>5511</v>
      </c>
      <c r="K726" t="str">
        <f>Koond_kulud!K761</f>
        <v>Kinnistute, hoonete ja ruumide majandamiskulud</v>
      </c>
      <c r="L726">
        <f>Koond_kulud!L761</f>
        <v>55</v>
      </c>
      <c r="M726" t="str">
        <f>Koond_kulud!M761</f>
        <v>55</v>
      </c>
      <c r="N726" t="str">
        <f>Koond_kulud!N761</f>
        <v>Muud tegevuskulud</v>
      </c>
      <c r="O726" t="str">
        <f>Koond_kulud!O761</f>
        <v>Majandamiskulud</v>
      </c>
      <c r="P726" t="str">
        <f>Koond_kulud!P761</f>
        <v>Põhitegevuse kulu</v>
      </c>
      <c r="Q726">
        <f>Koond_kulud!Q761</f>
        <v>0</v>
      </c>
    </row>
    <row r="727" spans="1:17" hidden="1" x14ac:dyDescent="0.25">
      <c r="A727" t="str">
        <f>Koond_kulud!A762</f>
        <v>09</v>
      </c>
      <c r="B727" t="str">
        <f>Koond_kulud!B762</f>
        <v>0921208</v>
      </c>
      <c r="C727" t="str">
        <f>Koond_kulud!C762</f>
        <v>Muuga-Laekvere Kool</v>
      </c>
      <c r="D727" t="str">
        <f>Koond_kulud!D762</f>
        <v>Põhihariduse otsekulud</v>
      </c>
      <c r="E727" t="str">
        <f>Koond_kulud!E762</f>
        <v>Haridus</v>
      </c>
      <c r="F727" t="str">
        <f>Koond_kulud!F762</f>
        <v>Laekvere õppehoone</v>
      </c>
      <c r="G727" t="str">
        <f>Koond_kulud!G762</f>
        <v>Muud kinnistukulud</v>
      </c>
      <c r="H727">
        <f>Koond_kulud!H762</f>
        <v>1500</v>
      </c>
      <c r="I727">
        <f>Koond_kulud!I762</f>
        <v>0</v>
      </c>
      <c r="J727">
        <f>Koond_kulud!J762</f>
        <v>5511</v>
      </c>
      <c r="K727" t="str">
        <f>Koond_kulud!K762</f>
        <v>Kinnistute, hoonete ja ruumide majandamiskulud</v>
      </c>
      <c r="L727">
        <f>Koond_kulud!L762</f>
        <v>55</v>
      </c>
      <c r="M727" t="str">
        <f>Koond_kulud!M762</f>
        <v>55</v>
      </c>
      <c r="N727" t="str">
        <f>Koond_kulud!N762</f>
        <v>Muud tegevuskulud</v>
      </c>
      <c r="O727" t="str">
        <f>Koond_kulud!O762</f>
        <v>Majandamiskulud</v>
      </c>
      <c r="P727" t="str">
        <f>Koond_kulud!P762</f>
        <v>Põhitegevuse kulu</v>
      </c>
      <c r="Q727">
        <f>Koond_kulud!Q762</f>
        <v>0</v>
      </c>
    </row>
    <row r="728" spans="1:17" hidden="1" x14ac:dyDescent="0.25">
      <c r="A728" t="str">
        <f>Koond_kulud!A763</f>
        <v>09</v>
      </c>
      <c r="B728" t="str">
        <f>Koond_kulud!B763</f>
        <v>0921208</v>
      </c>
      <c r="C728" t="str">
        <f>Koond_kulud!C763</f>
        <v>Muuga-Laekvere Kool</v>
      </c>
      <c r="D728" t="str">
        <f>Koond_kulud!D763</f>
        <v>Põhihariduse otsekulud</v>
      </c>
      <c r="E728" t="str">
        <f>Koond_kulud!E763</f>
        <v>Haridus</v>
      </c>
      <c r="F728" t="str">
        <f>Koond_kulud!F763</f>
        <v>Laekvere õppehoone</v>
      </c>
      <c r="G728" t="str">
        <f>Koond_kulud!G763</f>
        <v>ohutusvahendite kontroll</v>
      </c>
      <c r="H728">
        <f>Koond_kulud!H763</f>
        <v>150</v>
      </c>
      <c r="I728">
        <f>Koond_kulud!I763</f>
        <v>0</v>
      </c>
      <c r="J728">
        <f>Koond_kulud!J763</f>
        <v>5511</v>
      </c>
      <c r="K728" t="str">
        <f>Koond_kulud!K763</f>
        <v>Kinnistute, hoonete ja ruumide majandamiskulud</v>
      </c>
      <c r="L728">
        <f>Koond_kulud!L763</f>
        <v>55</v>
      </c>
      <c r="M728" t="str">
        <f>Koond_kulud!M763</f>
        <v>55</v>
      </c>
      <c r="N728" t="str">
        <f>Koond_kulud!N763</f>
        <v>Muud tegevuskulud</v>
      </c>
      <c r="O728" t="str">
        <f>Koond_kulud!O763</f>
        <v>Majandamiskulud</v>
      </c>
      <c r="P728" t="str">
        <f>Koond_kulud!P763</f>
        <v>Põhitegevuse kulu</v>
      </c>
      <c r="Q728">
        <f>Koond_kulud!Q763</f>
        <v>0</v>
      </c>
    </row>
    <row r="729" spans="1:17" hidden="1" x14ac:dyDescent="0.25">
      <c r="A729" t="str">
        <f>Koond_kulud!A764</f>
        <v>09</v>
      </c>
      <c r="B729" t="str">
        <f>Koond_kulud!B764</f>
        <v>0921208</v>
      </c>
      <c r="C729" t="str">
        <f>Koond_kulud!C764</f>
        <v>Muuga-Laekvere Kool</v>
      </c>
      <c r="D729" t="str">
        <f>Koond_kulud!D764</f>
        <v>Põhihariduse otsekulud</v>
      </c>
      <c r="E729" t="str">
        <f>Koond_kulud!E764</f>
        <v>Haridus</v>
      </c>
      <c r="F729" t="str">
        <f>Koond_kulud!F764</f>
        <v>Laekvere õppehoone</v>
      </c>
      <c r="G729" t="str">
        <f>Koond_kulud!G764</f>
        <v>tahm</v>
      </c>
      <c r="H729">
        <f>Koond_kulud!H764</f>
        <v>400</v>
      </c>
      <c r="I729">
        <f>Koond_kulud!I764</f>
        <v>0</v>
      </c>
      <c r="J729">
        <f>Koond_kulud!J764</f>
        <v>5500</v>
      </c>
      <c r="K729" t="str">
        <f>Koond_kulud!K764</f>
        <v>Administreerimiskulud</v>
      </c>
      <c r="L729">
        <f>Koond_kulud!L764</f>
        <v>55</v>
      </c>
      <c r="M729" t="str">
        <f>Koond_kulud!M764</f>
        <v>55</v>
      </c>
      <c r="N729" t="str">
        <f>Koond_kulud!N764</f>
        <v>Muud tegevuskulud</v>
      </c>
      <c r="O729" t="str">
        <f>Koond_kulud!O764</f>
        <v>Majandamiskulud</v>
      </c>
      <c r="P729" t="str">
        <f>Koond_kulud!P764</f>
        <v>Põhitegevuse kulu</v>
      </c>
      <c r="Q729">
        <f>Koond_kulud!Q764</f>
        <v>0</v>
      </c>
    </row>
    <row r="730" spans="1:17" hidden="1" x14ac:dyDescent="0.25">
      <c r="A730" t="str">
        <f>Koond_kulud!A765</f>
        <v>09</v>
      </c>
      <c r="B730" t="str">
        <f>Koond_kulud!B765</f>
        <v>0921208</v>
      </c>
      <c r="C730" t="str">
        <f>Koond_kulud!C765</f>
        <v>Muuga-Laekvere Kool</v>
      </c>
      <c r="D730" t="str">
        <f>Koond_kulud!D765</f>
        <v>Põhihariduse otsekulud</v>
      </c>
      <c r="E730" t="str">
        <f>Koond_kulud!E765</f>
        <v>Haridus</v>
      </c>
      <c r="F730" t="str">
        <f>Koond_kulud!F765</f>
        <v>Laekvere õppehoone</v>
      </c>
      <c r="G730" t="str">
        <f>Koond_kulud!G765</f>
        <v>trükised</v>
      </c>
      <c r="H730">
        <f>Koond_kulud!H765</f>
        <v>150</v>
      </c>
      <c r="I730">
        <f>Koond_kulud!I765</f>
        <v>0</v>
      </c>
      <c r="J730">
        <f>Koond_kulud!J765</f>
        <v>5500</v>
      </c>
      <c r="K730" t="str">
        <f>Koond_kulud!K765</f>
        <v>Administreerimiskulud</v>
      </c>
      <c r="L730">
        <f>Koond_kulud!L765</f>
        <v>55</v>
      </c>
      <c r="M730" t="str">
        <f>Koond_kulud!M765</f>
        <v>55</v>
      </c>
      <c r="N730" t="str">
        <f>Koond_kulud!N765</f>
        <v>Muud tegevuskulud</v>
      </c>
      <c r="O730" t="str">
        <f>Koond_kulud!O765</f>
        <v>Majandamiskulud</v>
      </c>
      <c r="P730" t="str">
        <f>Koond_kulud!P765</f>
        <v>Põhitegevuse kulu</v>
      </c>
      <c r="Q730">
        <f>Koond_kulud!Q765</f>
        <v>0</v>
      </c>
    </row>
    <row r="731" spans="1:17" hidden="1" x14ac:dyDescent="0.25">
      <c r="A731" t="str">
        <f>Koond_kulud!A766</f>
        <v>09</v>
      </c>
      <c r="B731" t="str">
        <f>Koond_kulud!B766</f>
        <v>0921208</v>
      </c>
      <c r="C731" t="str">
        <f>Koond_kulud!C766</f>
        <v>Muuga-Laekvere Kool</v>
      </c>
      <c r="D731" t="str">
        <f>Koond_kulud!D766</f>
        <v>Põhihariduse otsekulud</v>
      </c>
      <c r="E731" t="str">
        <f>Koond_kulud!E766</f>
        <v>Haridus</v>
      </c>
      <c r="F731" t="str">
        <f>Koond_kulud!F766</f>
        <v>Laekvere õppehoone</v>
      </c>
      <c r="G731" t="str">
        <f>Koond_kulud!G766</f>
        <v>post</v>
      </c>
      <c r="H731">
        <f>Koond_kulud!H766</f>
        <v>50</v>
      </c>
      <c r="I731">
        <f>Koond_kulud!I766</f>
        <v>0</v>
      </c>
      <c r="J731">
        <f>Koond_kulud!J766</f>
        <v>5500</v>
      </c>
      <c r="K731" t="str">
        <f>Koond_kulud!K766</f>
        <v>Administreerimiskulud</v>
      </c>
      <c r="L731">
        <f>Koond_kulud!L766</f>
        <v>55</v>
      </c>
      <c r="M731" t="str">
        <f>Koond_kulud!M766</f>
        <v>55</v>
      </c>
      <c r="N731" t="str">
        <f>Koond_kulud!N766</f>
        <v>Muud tegevuskulud</v>
      </c>
      <c r="O731" t="str">
        <f>Koond_kulud!O766</f>
        <v>Majandamiskulud</v>
      </c>
      <c r="P731" t="str">
        <f>Koond_kulud!P766</f>
        <v>Põhitegevuse kulu</v>
      </c>
      <c r="Q731">
        <f>Koond_kulud!Q766</f>
        <v>0</v>
      </c>
    </row>
    <row r="732" spans="1:17" hidden="1" x14ac:dyDescent="0.25">
      <c r="A732" t="str">
        <f>Koond_kulud!A767</f>
        <v>09</v>
      </c>
      <c r="B732" t="str">
        <f>Koond_kulud!B767</f>
        <v>0921208</v>
      </c>
      <c r="C732" t="str">
        <f>Koond_kulud!C767</f>
        <v>Muuga-Laekvere Kool</v>
      </c>
      <c r="D732" t="str">
        <f>Koond_kulud!D767</f>
        <v>Põhihariduse otsekulud</v>
      </c>
      <c r="E732" t="str">
        <f>Koond_kulud!E767</f>
        <v>Haridus</v>
      </c>
      <c r="F732" t="str">
        <f>Koond_kulud!F767</f>
        <v>Laekvere õppehoone</v>
      </c>
      <c r="G732" t="str">
        <f>Koond_kulud!G767</f>
        <v>telefon</v>
      </c>
      <c r="H732">
        <f>Koond_kulud!H767</f>
        <v>350</v>
      </c>
      <c r="I732">
        <f>Koond_kulud!I767</f>
        <v>0</v>
      </c>
      <c r="J732">
        <f>Koond_kulud!J767</f>
        <v>5500</v>
      </c>
      <c r="K732" t="str">
        <f>Koond_kulud!K767</f>
        <v>Administreerimiskulud</v>
      </c>
      <c r="L732">
        <f>Koond_kulud!L767</f>
        <v>55</v>
      </c>
      <c r="M732" t="str">
        <f>Koond_kulud!M767</f>
        <v>55</v>
      </c>
      <c r="N732" t="str">
        <f>Koond_kulud!N767</f>
        <v>Muud tegevuskulud</v>
      </c>
      <c r="O732" t="str">
        <f>Koond_kulud!O767</f>
        <v>Majandamiskulud</v>
      </c>
      <c r="P732" t="str">
        <f>Koond_kulud!P767</f>
        <v>Põhitegevuse kulu</v>
      </c>
      <c r="Q732">
        <f>Koond_kulud!Q767</f>
        <v>0</v>
      </c>
    </row>
    <row r="733" spans="1:17" hidden="1" x14ac:dyDescent="0.25">
      <c r="A733" t="str">
        <f>Koond_kulud!A768</f>
        <v>09</v>
      </c>
      <c r="B733" t="str">
        <f>Koond_kulud!B768</f>
        <v>0921208</v>
      </c>
      <c r="C733" t="str">
        <f>Koond_kulud!C768</f>
        <v>Muuga-Laekvere Kool</v>
      </c>
      <c r="D733" t="str">
        <f>Koond_kulud!D768</f>
        <v>Põhihariduse otsekulud</v>
      </c>
      <c r="E733" t="str">
        <f>Koond_kulud!E768</f>
        <v>Haridus</v>
      </c>
      <c r="F733" t="str">
        <f>Koond_kulud!F768</f>
        <v>Laekvere õppehoone</v>
      </c>
      <c r="G733" t="str">
        <f>Koond_kulud!G768</f>
        <v>mobiiltel</v>
      </c>
      <c r="H733">
        <f>Koond_kulud!H768</f>
        <v>200</v>
      </c>
      <c r="I733">
        <f>Koond_kulud!I768</f>
        <v>0</v>
      </c>
      <c r="J733">
        <f>Koond_kulud!J768</f>
        <v>5500</v>
      </c>
      <c r="K733" t="str">
        <f>Koond_kulud!K768</f>
        <v>Administreerimiskulud</v>
      </c>
      <c r="L733">
        <f>Koond_kulud!L768</f>
        <v>55</v>
      </c>
      <c r="M733" t="str">
        <f>Koond_kulud!M768</f>
        <v>55</v>
      </c>
      <c r="N733" t="str">
        <f>Koond_kulud!N768</f>
        <v>Muud tegevuskulud</v>
      </c>
      <c r="O733" t="str">
        <f>Koond_kulud!O768</f>
        <v>Majandamiskulud</v>
      </c>
      <c r="P733" t="str">
        <f>Koond_kulud!P768</f>
        <v>Põhitegevuse kulu</v>
      </c>
      <c r="Q733">
        <f>Koond_kulud!Q768</f>
        <v>0</v>
      </c>
    </row>
    <row r="734" spans="1:17" hidden="1" x14ac:dyDescent="0.25">
      <c r="A734" t="str">
        <f>Koond_kulud!A769</f>
        <v>09</v>
      </c>
      <c r="B734" t="str">
        <f>Koond_kulud!B769</f>
        <v>0921208</v>
      </c>
      <c r="C734" t="str">
        <f>Koond_kulud!C769</f>
        <v>Muuga-Laekvere Kool</v>
      </c>
      <c r="D734" t="str">
        <f>Koond_kulud!D769</f>
        <v>Põhihariduse otsekulud</v>
      </c>
      <c r="E734" t="str">
        <f>Koond_kulud!E769</f>
        <v>Haridus</v>
      </c>
      <c r="F734" t="str">
        <f>Koond_kulud!F769</f>
        <v>Laekvere õppehoone</v>
      </c>
      <c r="G734" t="str">
        <f>Koond_kulud!G769</f>
        <v>kingitused</v>
      </c>
      <c r="H734">
        <f>Koond_kulud!H769</f>
        <v>150</v>
      </c>
      <c r="I734">
        <f>Koond_kulud!I769</f>
        <v>0</v>
      </c>
      <c r="J734">
        <f>Koond_kulud!J769</f>
        <v>5500</v>
      </c>
      <c r="K734" t="str">
        <f>Koond_kulud!K769</f>
        <v>Administreerimiskulud</v>
      </c>
      <c r="L734">
        <f>Koond_kulud!L769</f>
        <v>55</v>
      </c>
      <c r="M734" t="str">
        <f>Koond_kulud!M769</f>
        <v>55</v>
      </c>
      <c r="N734" t="str">
        <f>Koond_kulud!N769</f>
        <v>Muud tegevuskulud</v>
      </c>
      <c r="O734" t="str">
        <f>Koond_kulud!O769</f>
        <v>Majandamiskulud</v>
      </c>
      <c r="P734" t="str">
        <f>Koond_kulud!P769</f>
        <v>Põhitegevuse kulu</v>
      </c>
      <c r="Q734">
        <f>Koond_kulud!Q769</f>
        <v>0</v>
      </c>
    </row>
    <row r="735" spans="1:17" hidden="1" x14ac:dyDescent="0.25">
      <c r="A735" t="str">
        <f>Koond_kulud!A770</f>
        <v>09</v>
      </c>
      <c r="B735" t="str">
        <f>Koond_kulud!B770</f>
        <v>0921208</v>
      </c>
      <c r="C735" t="str">
        <f>Koond_kulud!C770</f>
        <v>Muuga-Laekvere Kool</v>
      </c>
      <c r="D735" t="str">
        <f>Koond_kulud!D770</f>
        <v>Põhihariduse otsekulud</v>
      </c>
      <c r="E735" t="str">
        <f>Koond_kulud!E770</f>
        <v>Haridus</v>
      </c>
      <c r="F735" t="str">
        <f>Koond_kulud!F770</f>
        <v>Laekvere õppehoone</v>
      </c>
      <c r="G735" t="str">
        <f>Koond_kulud!G770</f>
        <v>esindamine</v>
      </c>
      <c r="H735">
        <f>Koond_kulud!H770</f>
        <v>250</v>
      </c>
      <c r="I735">
        <f>Koond_kulud!I770</f>
        <v>0</v>
      </c>
      <c r="J735">
        <f>Koond_kulud!J770</f>
        <v>5500</v>
      </c>
      <c r="K735" t="str">
        <f>Koond_kulud!K770</f>
        <v>Administreerimiskulud</v>
      </c>
      <c r="L735">
        <f>Koond_kulud!L770</f>
        <v>55</v>
      </c>
      <c r="M735" t="str">
        <f>Koond_kulud!M770</f>
        <v>55</v>
      </c>
      <c r="N735" t="str">
        <f>Koond_kulud!N770</f>
        <v>Muud tegevuskulud</v>
      </c>
      <c r="O735" t="str">
        <f>Koond_kulud!O770</f>
        <v>Majandamiskulud</v>
      </c>
      <c r="P735" t="str">
        <f>Koond_kulud!P770</f>
        <v>Põhitegevuse kulu</v>
      </c>
      <c r="Q735">
        <f>Koond_kulud!Q770</f>
        <v>0</v>
      </c>
    </row>
    <row r="736" spans="1:17" hidden="1" x14ac:dyDescent="0.25">
      <c r="A736" t="str">
        <f>Koond_kulud!A771</f>
        <v>09</v>
      </c>
      <c r="B736" t="str">
        <f>Koond_kulud!B771</f>
        <v>0921208</v>
      </c>
      <c r="C736" t="str">
        <f>Koond_kulud!C771</f>
        <v>Muuga-Laekvere Kool</v>
      </c>
      <c r="D736" t="str">
        <f>Koond_kulud!D771</f>
        <v>Põhihariduse otsekulud</v>
      </c>
      <c r="E736" t="str">
        <f>Koond_kulud!E771</f>
        <v>Haridus</v>
      </c>
      <c r="F736" t="str">
        <f>Koond_kulud!F771</f>
        <v>Laekvere õppehoone</v>
      </c>
      <c r="G736" t="str">
        <f>Koond_kulud!G771</f>
        <v>kuulutused</v>
      </c>
      <c r="H736">
        <f>Koond_kulud!H771</f>
        <v>50</v>
      </c>
      <c r="I736">
        <f>Koond_kulud!I771</f>
        <v>0</v>
      </c>
      <c r="J736">
        <f>Koond_kulud!J771</f>
        <v>5500</v>
      </c>
      <c r="K736" t="str">
        <f>Koond_kulud!K771</f>
        <v>Administreerimiskulud</v>
      </c>
      <c r="L736">
        <f>Koond_kulud!L771</f>
        <v>55</v>
      </c>
      <c r="M736" t="str">
        <f>Koond_kulud!M771</f>
        <v>55</v>
      </c>
      <c r="N736" t="str">
        <f>Koond_kulud!N771</f>
        <v>Muud tegevuskulud</v>
      </c>
      <c r="O736" t="str">
        <f>Koond_kulud!O771</f>
        <v>Majandamiskulud</v>
      </c>
      <c r="P736" t="str">
        <f>Koond_kulud!P771</f>
        <v>Põhitegevuse kulu</v>
      </c>
      <c r="Q736">
        <f>Koond_kulud!Q771</f>
        <v>0</v>
      </c>
    </row>
    <row r="737" spans="1:17" hidden="1" x14ac:dyDescent="0.25">
      <c r="A737" t="str">
        <f>Koond_kulud!A772</f>
        <v>09</v>
      </c>
      <c r="B737" t="str">
        <f>Koond_kulud!B772</f>
        <v>0921208</v>
      </c>
      <c r="C737" t="str">
        <f>Koond_kulud!C772</f>
        <v>Muuga-Laekvere Kool</v>
      </c>
      <c r="D737" t="str">
        <f>Koond_kulud!D772</f>
        <v>Põhihariduse otsekulud</v>
      </c>
      <c r="E737" t="str">
        <f>Koond_kulud!E772</f>
        <v>Haridus</v>
      </c>
      <c r="F737" t="str">
        <f>Koond_kulud!F772</f>
        <v>Laekvere õppehoone</v>
      </c>
      <c r="G737" t="str">
        <f>Koond_kulud!G772</f>
        <v>Muud admin.kulud</v>
      </c>
      <c r="H737">
        <f>Koond_kulud!H772</f>
        <v>150</v>
      </c>
      <c r="I737">
        <f>Koond_kulud!I772</f>
        <v>0</v>
      </c>
      <c r="J737">
        <f>Koond_kulud!J772</f>
        <v>5500</v>
      </c>
      <c r="K737" t="str">
        <f>Koond_kulud!K772</f>
        <v>Administreerimiskulud</v>
      </c>
      <c r="L737">
        <f>Koond_kulud!L772</f>
        <v>55</v>
      </c>
      <c r="M737" t="str">
        <f>Koond_kulud!M772</f>
        <v>55</v>
      </c>
      <c r="N737" t="str">
        <f>Koond_kulud!N772</f>
        <v>Muud tegevuskulud</v>
      </c>
      <c r="O737" t="str">
        <f>Koond_kulud!O772</f>
        <v>Majandamiskulud</v>
      </c>
      <c r="P737" t="str">
        <f>Koond_kulud!P772</f>
        <v>Põhitegevuse kulu</v>
      </c>
      <c r="Q737">
        <f>Koond_kulud!Q772</f>
        <v>0</v>
      </c>
    </row>
    <row r="738" spans="1:17" hidden="1" x14ac:dyDescent="0.25">
      <c r="A738" t="str">
        <f>Koond_kulud!A773</f>
        <v>09</v>
      </c>
      <c r="B738" t="str">
        <f>Koond_kulud!B773</f>
        <v>0921208</v>
      </c>
      <c r="C738" t="str">
        <f>Koond_kulud!C773</f>
        <v>Muuga-Laekvere Kool</v>
      </c>
      <c r="D738" t="str">
        <f>Koond_kulud!D773</f>
        <v>Põhihariduse otsekulud</v>
      </c>
      <c r="E738" t="str">
        <f>Koond_kulud!E773</f>
        <v>Haridus</v>
      </c>
      <c r="F738" t="str">
        <f>Koond_kulud!F773</f>
        <v>Laekvere õppehoone</v>
      </c>
      <c r="G738" t="str">
        <f>Koond_kulud!G773</f>
        <v>koolitused</v>
      </c>
      <c r="H738">
        <f>Koond_kulud!H773</f>
        <v>415.44000000000005</v>
      </c>
      <c r="I738">
        <f>Koond_kulud!I773</f>
        <v>0</v>
      </c>
      <c r="J738">
        <f>Koond_kulud!J773</f>
        <v>5504</v>
      </c>
      <c r="K738" t="str">
        <f>Koond_kulud!K773</f>
        <v>Koolituskulud</v>
      </c>
      <c r="L738">
        <f>Koond_kulud!L773</f>
        <v>55</v>
      </c>
      <c r="M738" t="str">
        <f>Koond_kulud!M773</f>
        <v>55</v>
      </c>
      <c r="N738" t="str">
        <f>Koond_kulud!N773</f>
        <v>Muud tegevuskulud</v>
      </c>
      <c r="O738" t="str">
        <f>Koond_kulud!O773</f>
        <v>Majandamiskulud</v>
      </c>
      <c r="P738" t="str">
        <f>Koond_kulud!P773</f>
        <v>Põhitegevuse kulu</v>
      </c>
      <c r="Q738">
        <f>Koond_kulud!Q773</f>
        <v>0</v>
      </c>
    </row>
    <row r="739" spans="1:17" hidden="1" x14ac:dyDescent="0.25">
      <c r="A739" t="str">
        <f>Koond_kulud!A774</f>
        <v>09</v>
      </c>
      <c r="B739" t="str">
        <f>Koond_kulud!B774</f>
        <v>0921208</v>
      </c>
      <c r="C739" t="str">
        <f>Koond_kulud!C774</f>
        <v>Muuga-Laekvere Kool</v>
      </c>
      <c r="D739" t="str">
        <f>Koond_kulud!D774</f>
        <v>Põhihariduse otsekulud</v>
      </c>
      <c r="E739" t="str">
        <f>Koond_kulud!E774</f>
        <v>Haridus</v>
      </c>
      <c r="F739" t="str">
        <f>Koond_kulud!F774</f>
        <v>Laekvere õppehoone</v>
      </c>
      <c r="G739" t="str">
        <f>Koond_kulud!G774</f>
        <v>isikliku sõiduki kasutamine</v>
      </c>
      <c r="H739">
        <f>Koond_kulud!H774</f>
        <v>2600</v>
      </c>
      <c r="I739">
        <f>Koond_kulud!I774</f>
        <v>0</v>
      </c>
      <c r="J739">
        <f>Koond_kulud!J774</f>
        <v>5513</v>
      </c>
      <c r="K739" t="str">
        <f>Koond_kulud!K774</f>
        <v>Sõidukite ülalpidamise kulud</v>
      </c>
      <c r="L739">
        <f>Koond_kulud!L774</f>
        <v>55</v>
      </c>
      <c r="M739" t="str">
        <f>Koond_kulud!M774</f>
        <v>55</v>
      </c>
      <c r="N739" t="str">
        <f>Koond_kulud!N774</f>
        <v>Muud tegevuskulud</v>
      </c>
      <c r="O739" t="str">
        <f>Koond_kulud!O774</f>
        <v>Majandamiskulud</v>
      </c>
      <c r="P739" t="str">
        <f>Koond_kulud!P774</f>
        <v>Põhitegevuse kulu</v>
      </c>
      <c r="Q739">
        <f>Koond_kulud!Q774</f>
        <v>0</v>
      </c>
    </row>
    <row r="740" spans="1:17" hidden="1" x14ac:dyDescent="0.25">
      <c r="A740" t="str">
        <f>Koond_kulud!A775</f>
        <v>09</v>
      </c>
      <c r="B740" t="str">
        <f>Koond_kulud!B775</f>
        <v>0921208</v>
      </c>
      <c r="C740" t="str">
        <f>Koond_kulud!C775</f>
        <v>Muuga-Laekvere Kool</v>
      </c>
      <c r="D740" t="str">
        <f>Koond_kulud!D775</f>
        <v>Põhihariduse otsekulud</v>
      </c>
      <c r="E740" t="str">
        <f>Koond_kulud!E775</f>
        <v>Haridus</v>
      </c>
      <c r="F740" t="str">
        <f>Koond_kulud!F775</f>
        <v>Laekvere õppehoone</v>
      </c>
      <c r="G740" t="str">
        <f>Koond_kulud!G775</f>
        <v>Kooli bussi haldamine</v>
      </c>
      <c r="H740">
        <f>Koond_kulud!H775</f>
        <v>3500</v>
      </c>
      <c r="I740">
        <f>Koond_kulud!I775</f>
        <v>0</v>
      </c>
      <c r="J740">
        <f>Koond_kulud!J775</f>
        <v>5513</v>
      </c>
      <c r="K740" t="str">
        <f>Koond_kulud!K775</f>
        <v>Sõidukite ülalpidamise kulud</v>
      </c>
      <c r="L740">
        <f>Koond_kulud!L775</f>
        <v>55</v>
      </c>
      <c r="M740" t="str">
        <f>Koond_kulud!M775</f>
        <v>55</v>
      </c>
      <c r="N740" t="str">
        <f>Koond_kulud!N775</f>
        <v>Muud tegevuskulud</v>
      </c>
      <c r="O740" t="str">
        <f>Koond_kulud!O775</f>
        <v>Majandamiskulud</v>
      </c>
      <c r="P740" t="str">
        <f>Koond_kulud!P775</f>
        <v>Põhitegevuse kulu</v>
      </c>
      <c r="Q740">
        <f>Koond_kulud!Q775</f>
        <v>0</v>
      </c>
    </row>
    <row r="741" spans="1:17" hidden="1" x14ac:dyDescent="0.25">
      <c r="A741" t="str">
        <f>Koond_kulud!A776</f>
        <v>09</v>
      </c>
      <c r="B741" t="str">
        <f>Koond_kulud!B776</f>
        <v>0921208</v>
      </c>
      <c r="C741" t="str">
        <f>Koond_kulud!C776</f>
        <v>Muuga-Laekvere Kool</v>
      </c>
      <c r="D741" t="str">
        <f>Koond_kulud!D776</f>
        <v>Põhihariduse otsekulud</v>
      </c>
      <c r="E741" t="str">
        <f>Koond_kulud!E776</f>
        <v>Haridus</v>
      </c>
      <c r="F741" t="str">
        <f>Koond_kulud!F776</f>
        <v>Laekvere õppehoone</v>
      </c>
      <c r="G741" t="str">
        <f>Koond_kulud!G776</f>
        <v>hooldus ja remont</v>
      </c>
      <c r="H741">
        <f>Koond_kulud!H776</f>
        <v>3000</v>
      </c>
      <c r="I741">
        <f>Koond_kulud!I776</f>
        <v>0</v>
      </c>
      <c r="J741">
        <f>Koond_kulud!J776</f>
        <v>5515</v>
      </c>
      <c r="K741" t="str">
        <f>Koond_kulud!K776</f>
        <v>Inventari kulud, v.a infotehnoloogia ja kaitseotstarbelised kulud</v>
      </c>
      <c r="L741">
        <f>Koond_kulud!L776</f>
        <v>55</v>
      </c>
      <c r="M741" t="str">
        <f>Koond_kulud!M776</f>
        <v>55</v>
      </c>
      <c r="N741" t="str">
        <f>Koond_kulud!N776</f>
        <v>Muud tegevuskulud</v>
      </c>
      <c r="O741" t="str">
        <f>Koond_kulud!O776</f>
        <v>Majandamiskulud</v>
      </c>
      <c r="P741" t="str">
        <f>Koond_kulud!P776</f>
        <v>Põhitegevuse kulu</v>
      </c>
      <c r="Q741">
        <f>Koond_kulud!Q776</f>
        <v>0</v>
      </c>
    </row>
    <row r="742" spans="1:17" hidden="1" x14ac:dyDescent="0.25">
      <c r="A742" t="str">
        <f>Koond_kulud!A777</f>
        <v>09</v>
      </c>
      <c r="B742" t="str">
        <f>Koond_kulud!B777</f>
        <v>0921208</v>
      </c>
      <c r="C742" t="str">
        <f>Koond_kulud!C777</f>
        <v>Muuga-Laekvere Kool</v>
      </c>
      <c r="D742" t="str">
        <f>Koond_kulud!D777</f>
        <v>Põhihariduse otsekulud</v>
      </c>
      <c r="E742" t="str">
        <f>Koond_kulud!E777</f>
        <v>Haridus</v>
      </c>
      <c r="F742" t="str">
        <f>Koond_kulud!F777</f>
        <v>Laekvere õppehoone</v>
      </c>
      <c r="G742" t="str">
        <f>Koond_kulud!G777</f>
        <v>muud inventari kulud</v>
      </c>
      <c r="H742">
        <f>Koond_kulud!H777</f>
        <v>500</v>
      </c>
      <c r="I742">
        <f>Koond_kulud!I777</f>
        <v>0</v>
      </c>
      <c r="J742">
        <f>Koond_kulud!J777</f>
        <v>5515</v>
      </c>
      <c r="K742" t="str">
        <f>Koond_kulud!K777</f>
        <v>Inventari kulud, v.a infotehnoloogia ja kaitseotstarbelised kulud</v>
      </c>
      <c r="L742">
        <f>Koond_kulud!L777</f>
        <v>55</v>
      </c>
      <c r="M742" t="str">
        <f>Koond_kulud!M777</f>
        <v>55</v>
      </c>
      <c r="N742" t="str">
        <f>Koond_kulud!N777</f>
        <v>Muud tegevuskulud</v>
      </c>
      <c r="O742" t="str">
        <f>Koond_kulud!O777</f>
        <v>Majandamiskulud</v>
      </c>
      <c r="P742" t="str">
        <f>Koond_kulud!P777</f>
        <v>Põhitegevuse kulu</v>
      </c>
      <c r="Q742">
        <f>Koond_kulud!Q777</f>
        <v>0</v>
      </c>
    </row>
    <row r="743" spans="1:17" hidden="1" x14ac:dyDescent="0.25">
      <c r="A743" t="str">
        <f>Koond_kulud!A778</f>
        <v>09</v>
      </c>
      <c r="B743" t="str">
        <f>Koond_kulud!B778</f>
        <v>0921208</v>
      </c>
      <c r="C743" t="str">
        <f>Koond_kulud!C778</f>
        <v>Muuga-Laekvere Kool</v>
      </c>
      <c r="D743" t="str">
        <f>Koond_kulud!D778</f>
        <v>Põhihariduse otsekulud</v>
      </c>
      <c r="E743" t="str">
        <f>Koond_kulud!E778</f>
        <v>Haridus</v>
      </c>
      <c r="F743" t="str">
        <f>Koond_kulud!F778</f>
        <v>Laekvere õppehoone</v>
      </c>
      <c r="G743" t="str">
        <f>Koond_kulud!G778</f>
        <v>toiduained</v>
      </c>
      <c r="H743">
        <f>Koond_kulud!H778</f>
        <v>13965</v>
      </c>
      <c r="I743" t="str">
        <f>Koond_kulud!I778</f>
        <v>Ped.</v>
      </c>
      <c r="J743">
        <f>Koond_kulud!J778</f>
        <v>5521</v>
      </c>
      <c r="K743" t="str">
        <f>Koond_kulud!K778</f>
        <v>Toiduained ja toitlustusteenused</v>
      </c>
      <c r="L743">
        <f>Koond_kulud!L778</f>
        <v>55</v>
      </c>
      <c r="M743" t="str">
        <f>Koond_kulud!M778</f>
        <v>55</v>
      </c>
      <c r="N743" t="str">
        <f>Koond_kulud!N778</f>
        <v>Muud tegevuskulud</v>
      </c>
      <c r="O743" t="str">
        <f>Koond_kulud!O778</f>
        <v>Majandamiskulud</v>
      </c>
      <c r="P743" t="str">
        <f>Koond_kulud!P778</f>
        <v>Põhitegevuse kulu</v>
      </c>
      <c r="Q743">
        <f>Koond_kulud!Q778</f>
        <v>0</v>
      </c>
    </row>
    <row r="744" spans="1:17" hidden="1" x14ac:dyDescent="0.25">
      <c r="A744" t="str">
        <f>Koond_kulud!A779</f>
        <v>09</v>
      </c>
      <c r="B744" t="str">
        <f>Koond_kulud!B779</f>
        <v>0921208</v>
      </c>
      <c r="C744" t="str">
        <f>Koond_kulud!C779</f>
        <v>Muuga-Laekvere Kool</v>
      </c>
      <c r="D744" t="str">
        <f>Koond_kulud!D779</f>
        <v>Põhihariduse otsekulud</v>
      </c>
      <c r="E744" t="str">
        <f>Koond_kulud!E779</f>
        <v>Haridus</v>
      </c>
      <c r="F744" t="str">
        <f>Koond_kulud!F779</f>
        <v>Laekvere õppehoone</v>
      </c>
      <c r="G744" t="str">
        <f>Koond_kulud!G779</f>
        <v>esmaabi</v>
      </c>
      <c r="H744">
        <f>Koond_kulud!H779</f>
        <v>100</v>
      </c>
      <c r="I744">
        <f>Koond_kulud!I779</f>
        <v>0</v>
      </c>
      <c r="J744">
        <f>Koond_kulud!J779</f>
        <v>5522</v>
      </c>
      <c r="K744" t="str">
        <f>Koond_kulud!K779</f>
        <v>Meditsiinikulud ja hügieenitarbed</v>
      </c>
      <c r="L744">
        <f>Koond_kulud!L779</f>
        <v>55</v>
      </c>
      <c r="M744" t="str">
        <f>Koond_kulud!M779</f>
        <v>55</v>
      </c>
      <c r="N744" t="str">
        <f>Koond_kulud!N779</f>
        <v>Muud tegevuskulud</v>
      </c>
      <c r="O744" t="str">
        <f>Koond_kulud!O779</f>
        <v>Majandamiskulud</v>
      </c>
      <c r="P744" t="str">
        <f>Koond_kulud!P779</f>
        <v>Põhitegevuse kulu</v>
      </c>
      <c r="Q744">
        <f>Koond_kulud!Q779</f>
        <v>0</v>
      </c>
    </row>
    <row r="745" spans="1:17" hidden="1" x14ac:dyDescent="0.25">
      <c r="A745" t="str">
        <f>Koond_kulud!A780</f>
        <v>09</v>
      </c>
      <c r="B745" t="str">
        <f>Koond_kulud!B780</f>
        <v>0921208</v>
      </c>
      <c r="C745" t="str">
        <f>Koond_kulud!C780</f>
        <v>Muuga-Laekvere Kool</v>
      </c>
      <c r="D745" t="str">
        <f>Koond_kulud!D780</f>
        <v>Põhihariduse otsekulud</v>
      </c>
      <c r="E745" t="str">
        <f>Koond_kulud!E780</f>
        <v>Haridus</v>
      </c>
      <c r="F745" t="str">
        <f>Koond_kulud!F780</f>
        <v>Laekvere õppehoone</v>
      </c>
      <c r="G745" t="str">
        <f>Koond_kulud!G780</f>
        <v>hügieenivahendid</v>
      </c>
      <c r="H745">
        <f>Koond_kulud!H780</f>
        <v>600</v>
      </c>
      <c r="I745">
        <f>Koond_kulud!I780</f>
        <v>0</v>
      </c>
      <c r="J745">
        <f>Koond_kulud!J780</f>
        <v>5522</v>
      </c>
      <c r="K745" t="str">
        <f>Koond_kulud!K780</f>
        <v>Meditsiinikulud ja hügieenitarbed</v>
      </c>
      <c r="L745">
        <f>Koond_kulud!L780</f>
        <v>55</v>
      </c>
      <c r="M745" t="str">
        <f>Koond_kulud!M780</f>
        <v>55</v>
      </c>
      <c r="N745" t="str">
        <f>Koond_kulud!N780</f>
        <v>Muud tegevuskulud</v>
      </c>
      <c r="O745" t="str">
        <f>Koond_kulud!O780</f>
        <v>Majandamiskulud</v>
      </c>
      <c r="P745" t="str">
        <f>Koond_kulud!P780</f>
        <v>Põhitegevuse kulu</v>
      </c>
      <c r="Q745">
        <f>Koond_kulud!Q780</f>
        <v>0</v>
      </c>
    </row>
    <row r="746" spans="1:17" hidden="1" x14ac:dyDescent="0.25">
      <c r="A746" t="str">
        <f>Koond_kulud!A781</f>
        <v>09</v>
      </c>
      <c r="B746" t="str">
        <f>Koond_kulud!B781</f>
        <v>0921208</v>
      </c>
      <c r="C746" t="str">
        <f>Koond_kulud!C781</f>
        <v>Muuga-Laekvere Kool</v>
      </c>
      <c r="D746" t="str">
        <f>Koond_kulud!D781</f>
        <v>Põhihariduse otsekulud</v>
      </c>
      <c r="E746" t="str">
        <f>Koond_kulud!E781</f>
        <v>Haridus</v>
      </c>
      <c r="F746" t="str">
        <f>Koond_kulud!F781</f>
        <v>Laekvere õppehoone</v>
      </c>
      <c r="G746" t="str">
        <f>Koond_kulud!G781</f>
        <v>tervisekontroll</v>
      </c>
      <c r="H746">
        <f>Koond_kulud!H781</f>
        <v>50</v>
      </c>
      <c r="I746">
        <f>Koond_kulud!I781</f>
        <v>0</v>
      </c>
      <c r="J746">
        <f>Koond_kulud!J781</f>
        <v>5522</v>
      </c>
      <c r="K746" t="str">
        <f>Koond_kulud!K781</f>
        <v>Meditsiinikulud ja hügieenitarbed</v>
      </c>
      <c r="L746">
        <f>Koond_kulud!L781</f>
        <v>55</v>
      </c>
      <c r="M746" t="str">
        <f>Koond_kulud!M781</f>
        <v>55</v>
      </c>
      <c r="N746" t="str">
        <f>Koond_kulud!N781</f>
        <v>Muud tegevuskulud</v>
      </c>
      <c r="O746" t="str">
        <f>Koond_kulud!O781</f>
        <v>Majandamiskulud</v>
      </c>
      <c r="P746" t="str">
        <f>Koond_kulud!P781</f>
        <v>Põhitegevuse kulu</v>
      </c>
      <c r="Q746">
        <f>Koond_kulud!Q781</f>
        <v>0</v>
      </c>
    </row>
    <row r="747" spans="1:17" hidden="1" x14ac:dyDescent="0.25">
      <c r="A747" t="str">
        <f>Koond_kulud!A782</f>
        <v>09</v>
      </c>
      <c r="B747" t="str">
        <f>Koond_kulud!B782</f>
        <v>0921208</v>
      </c>
      <c r="C747" t="str">
        <f>Koond_kulud!C782</f>
        <v>Muuga-Laekvere Kool</v>
      </c>
      <c r="D747" t="str">
        <f>Koond_kulud!D782</f>
        <v>Põhihariduse otsekulud</v>
      </c>
      <c r="E747" t="str">
        <f>Koond_kulud!E782</f>
        <v>Haridus</v>
      </c>
      <c r="F747" t="str">
        <f>Koond_kulud!F782</f>
        <v>Laekvere õppehoone</v>
      </c>
      <c r="G747" t="str">
        <f>Koond_kulud!G782</f>
        <v>prillid</v>
      </c>
      <c r="H747">
        <f>Koond_kulud!H782</f>
        <v>300</v>
      </c>
      <c r="I747">
        <f>Koond_kulud!I782</f>
        <v>0</v>
      </c>
      <c r="J747">
        <f>Koond_kulud!J782</f>
        <v>5522</v>
      </c>
      <c r="K747" t="str">
        <f>Koond_kulud!K782</f>
        <v>Meditsiinikulud ja hügieenitarbed</v>
      </c>
      <c r="L747">
        <f>Koond_kulud!L782</f>
        <v>55</v>
      </c>
      <c r="M747" t="str">
        <f>Koond_kulud!M782</f>
        <v>55</v>
      </c>
      <c r="N747" t="str">
        <f>Koond_kulud!N782</f>
        <v>Muud tegevuskulud</v>
      </c>
      <c r="O747" t="str">
        <f>Koond_kulud!O782</f>
        <v>Majandamiskulud</v>
      </c>
      <c r="P747" t="str">
        <f>Koond_kulud!P782</f>
        <v>Põhitegevuse kulu</v>
      </c>
      <c r="Q747">
        <f>Koond_kulud!Q782</f>
        <v>0</v>
      </c>
    </row>
    <row r="748" spans="1:17" hidden="1" x14ac:dyDescent="0.25">
      <c r="A748" t="str">
        <f>Koond_kulud!A783</f>
        <v>09</v>
      </c>
      <c r="B748" t="str">
        <f>Koond_kulud!B783</f>
        <v>0921208</v>
      </c>
      <c r="C748" t="str">
        <f>Koond_kulud!C783</f>
        <v>Muuga-Laekvere Kool</v>
      </c>
      <c r="D748" t="str">
        <f>Koond_kulud!D783</f>
        <v>Põhihariduse otsekulud</v>
      </c>
      <c r="E748" t="str">
        <f>Koond_kulud!E783</f>
        <v>Haridus</v>
      </c>
      <c r="F748" t="str">
        <f>Koond_kulud!F783</f>
        <v>Laekvere õppehoone</v>
      </c>
      <c r="G748" t="str">
        <f>Koond_kulud!G783</f>
        <v>õpikud, töövihikud</v>
      </c>
      <c r="H748">
        <f>Koond_kulud!H783</f>
        <v>2788.58</v>
      </c>
      <c r="I748">
        <f>Koond_kulud!I783</f>
        <v>0</v>
      </c>
      <c r="J748">
        <f>Koond_kulud!J783</f>
        <v>5524</v>
      </c>
      <c r="K748" t="str">
        <f>Koond_kulud!K783</f>
        <v>Õppevahendid</v>
      </c>
      <c r="L748">
        <f>Koond_kulud!L783</f>
        <v>55</v>
      </c>
      <c r="M748" t="str">
        <f>Koond_kulud!M783</f>
        <v>55</v>
      </c>
      <c r="N748" t="str">
        <f>Koond_kulud!N783</f>
        <v>Muud tegevuskulud</v>
      </c>
      <c r="O748" t="str">
        <f>Koond_kulud!O783</f>
        <v>Majandamiskulud</v>
      </c>
      <c r="P748" t="str">
        <f>Koond_kulud!P783</f>
        <v>Põhitegevuse kulu</v>
      </c>
      <c r="Q748">
        <f>Koond_kulud!Q783</f>
        <v>0</v>
      </c>
    </row>
    <row r="749" spans="1:17" hidden="1" x14ac:dyDescent="0.25">
      <c r="A749" t="str">
        <f>Koond_kulud!A784</f>
        <v>09</v>
      </c>
      <c r="B749" t="str">
        <f>Koond_kulud!B784</f>
        <v>0921208</v>
      </c>
      <c r="C749" t="str">
        <f>Koond_kulud!C784</f>
        <v>Muuga-Laekvere Kool</v>
      </c>
      <c r="D749" t="str">
        <f>Koond_kulud!D784</f>
        <v>Põhihariduse otsekulud</v>
      </c>
      <c r="E749" t="str">
        <f>Koond_kulud!E784</f>
        <v>Haridus</v>
      </c>
      <c r="F749" t="str">
        <f>Koond_kulud!F784</f>
        <v>Laekvere õppehoone</v>
      </c>
      <c r="G749" t="str">
        <f>Koond_kulud!G784</f>
        <v>õppematerjalid</v>
      </c>
      <c r="H749">
        <f>Koond_kulud!H784</f>
        <v>1400</v>
      </c>
      <c r="I749">
        <f>Koond_kulud!I784</f>
        <v>0</v>
      </c>
      <c r="J749">
        <f>Koond_kulud!J784</f>
        <v>5524</v>
      </c>
      <c r="K749" t="str">
        <f>Koond_kulud!K784</f>
        <v>Õppevahendid</v>
      </c>
      <c r="L749">
        <f>Koond_kulud!L784</f>
        <v>55</v>
      </c>
      <c r="M749" t="str">
        <f>Koond_kulud!M784</f>
        <v>55</v>
      </c>
      <c r="N749" t="str">
        <f>Koond_kulud!N784</f>
        <v>Muud tegevuskulud</v>
      </c>
      <c r="O749" t="str">
        <f>Koond_kulud!O784</f>
        <v>Majandamiskulud</v>
      </c>
      <c r="P749" t="str">
        <f>Koond_kulud!P784</f>
        <v>Põhitegevuse kulu</v>
      </c>
      <c r="Q749">
        <f>Koond_kulud!Q784</f>
        <v>0</v>
      </c>
    </row>
    <row r="750" spans="1:17" hidden="1" x14ac:dyDescent="0.25">
      <c r="A750" t="str">
        <f>Koond_kulud!A785</f>
        <v>09</v>
      </c>
      <c r="B750" t="str">
        <f>Koond_kulud!B785</f>
        <v>0921208</v>
      </c>
      <c r="C750" t="str">
        <f>Koond_kulud!C785</f>
        <v>Muuga-Laekvere Kool</v>
      </c>
      <c r="D750" t="str">
        <f>Koond_kulud!D785</f>
        <v>Põhihariduse otsekulud</v>
      </c>
      <c r="E750" t="str">
        <f>Koond_kulud!E785</f>
        <v>Haridus</v>
      </c>
      <c r="F750" t="str">
        <f>Koond_kulud!F785</f>
        <v>Laekvere õppehoone</v>
      </c>
      <c r="G750" t="str">
        <f>Koond_kulud!G785</f>
        <v>mänguasjad</v>
      </c>
      <c r="H750">
        <f>Koond_kulud!H785</f>
        <v>0</v>
      </c>
      <c r="I750">
        <f>Koond_kulud!I785</f>
        <v>0</v>
      </c>
      <c r="J750">
        <f>Koond_kulud!J785</f>
        <v>5524</v>
      </c>
      <c r="K750" t="str">
        <f>Koond_kulud!K785</f>
        <v>Õppevahendid</v>
      </c>
      <c r="L750">
        <f>Koond_kulud!L785</f>
        <v>55</v>
      </c>
      <c r="M750" t="str">
        <f>Koond_kulud!M785</f>
        <v>55</v>
      </c>
      <c r="N750" t="str">
        <f>Koond_kulud!N785</f>
        <v>Muud tegevuskulud</v>
      </c>
      <c r="O750" t="str">
        <f>Koond_kulud!O785</f>
        <v>Majandamiskulud</v>
      </c>
      <c r="P750" t="str">
        <f>Koond_kulud!P785</f>
        <v>Põhitegevuse kulu</v>
      </c>
      <c r="Q750">
        <f>Koond_kulud!Q785</f>
        <v>0</v>
      </c>
    </row>
    <row r="751" spans="1:17" hidden="1" x14ac:dyDescent="0.25">
      <c r="A751" t="str">
        <f>Koond_kulud!A786</f>
        <v>09</v>
      </c>
      <c r="B751" t="str">
        <f>Koond_kulud!B786</f>
        <v>0921208</v>
      </c>
      <c r="C751" t="str">
        <f>Koond_kulud!C786</f>
        <v>Muuga-Laekvere Kool</v>
      </c>
      <c r="D751" t="str">
        <f>Koond_kulud!D786</f>
        <v>Põhihariduse otsekulud</v>
      </c>
      <c r="E751" t="str">
        <f>Koond_kulud!E786</f>
        <v>Haridus</v>
      </c>
      <c r="F751" t="str">
        <f>Koond_kulud!F786</f>
        <v>Laekvere õppehoone</v>
      </c>
      <c r="G751" t="str">
        <f>Koond_kulud!G786</f>
        <v>ühisüritused</v>
      </c>
      <c r="H751">
        <f>Koond_kulud!H786</f>
        <v>600</v>
      </c>
      <c r="I751">
        <f>Koond_kulud!I786</f>
        <v>0</v>
      </c>
      <c r="J751">
        <f>Koond_kulud!J786</f>
        <v>5525</v>
      </c>
      <c r="K751" t="str">
        <f>Koond_kulud!K786</f>
        <v>Kommunikatsiooni-, kultuuri- ja vaba aja sisustamise kulud</v>
      </c>
      <c r="L751">
        <f>Koond_kulud!L786</f>
        <v>55</v>
      </c>
      <c r="M751" t="str">
        <f>Koond_kulud!M786</f>
        <v>55</v>
      </c>
      <c r="N751" t="str">
        <f>Koond_kulud!N786</f>
        <v>Muud tegevuskulud</v>
      </c>
      <c r="O751" t="str">
        <f>Koond_kulud!O786</f>
        <v>Majandamiskulud</v>
      </c>
      <c r="P751" t="str">
        <f>Koond_kulud!P786</f>
        <v>Põhitegevuse kulu</v>
      </c>
      <c r="Q751">
        <f>Koond_kulud!Q786</f>
        <v>0</v>
      </c>
    </row>
    <row r="752" spans="1:17" hidden="1" x14ac:dyDescent="0.25">
      <c r="A752" t="str">
        <f>Koond_kulud!A787</f>
        <v>09</v>
      </c>
      <c r="B752" t="str">
        <f>Koond_kulud!B787</f>
        <v>0921208</v>
      </c>
      <c r="C752" t="str">
        <f>Koond_kulud!C787</f>
        <v>Muuga-Laekvere Kool</v>
      </c>
      <c r="D752" t="str">
        <f>Koond_kulud!D787</f>
        <v>Põhihariduse otsekulud</v>
      </c>
      <c r="E752" t="str">
        <f>Koond_kulud!E787</f>
        <v>Haridus</v>
      </c>
      <c r="F752" t="str">
        <f>Koond_kulud!F787</f>
        <v>Laekvere õppehoone</v>
      </c>
      <c r="G752" t="str">
        <f>Koond_kulud!G787</f>
        <v>transport</v>
      </c>
      <c r="H752">
        <f>Koond_kulud!H787</f>
        <v>4000</v>
      </c>
      <c r="I752">
        <f>Koond_kulud!I787</f>
        <v>0</v>
      </c>
      <c r="J752">
        <f>Koond_kulud!J787</f>
        <v>5524</v>
      </c>
      <c r="K752" t="str">
        <f>Koond_kulud!K787</f>
        <v>Õppevahendid</v>
      </c>
      <c r="L752">
        <f>Koond_kulud!L787</f>
        <v>55</v>
      </c>
      <c r="M752" t="str">
        <f>Koond_kulud!M787</f>
        <v>55</v>
      </c>
      <c r="N752" t="str">
        <f>Koond_kulud!N787</f>
        <v>Muud tegevuskulud</v>
      </c>
      <c r="O752" t="str">
        <f>Koond_kulud!O787</f>
        <v>Majandamiskulud</v>
      </c>
      <c r="P752" t="str">
        <f>Koond_kulud!P787</f>
        <v>Põhitegevuse kulu</v>
      </c>
      <c r="Q752">
        <f>Koond_kulud!Q787</f>
        <v>0</v>
      </c>
    </row>
    <row r="753" spans="1:17" hidden="1" x14ac:dyDescent="0.25">
      <c r="A753" t="str">
        <f>Koond_kulud!A788</f>
        <v>09</v>
      </c>
      <c r="B753" t="str">
        <f>Koond_kulud!B788</f>
        <v>0921208</v>
      </c>
      <c r="C753" t="str">
        <f>Koond_kulud!C788</f>
        <v>Muuga-Laekvere Kool</v>
      </c>
      <c r="D753" t="str">
        <f>Koond_kulud!D788</f>
        <v>Põhihariduse otsekulud</v>
      </c>
      <c r="E753" t="str">
        <f>Koond_kulud!E788</f>
        <v>Haridus</v>
      </c>
      <c r="F753" t="str">
        <f>Koond_kulud!F788</f>
        <v>Laekvere õppehoone</v>
      </c>
      <c r="G753" t="str">
        <f>Koond_kulud!G788</f>
        <v>ujumine</v>
      </c>
      <c r="H753">
        <f>Koond_kulud!H788</f>
        <v>900</v>
      </c>
      <c r="I753">
        <f>Koond_kulud!I788</f>
        <v>0</v>
      </c>
      <c r="J753">
        <f>Koond_kulud!J788</f>
        <v>5524</v>
      </c>
      <c r="K753" t="str">
        <f>Koond_kulud!K788</f>
        <v>Õppevahendid</v>
      </c>
      <c r="L753">
        <f>Koond_kulud!L788</f>
        <v>55</v>
      </c>
      <c r="M753" t="str">
        <f>Koond_kulud!M788</f>
        <v>55</v>
      </c>
      <c r="N753" t="str">
        <f>Koond_kulud!N788</f>
        <v>Muud tegevuskulud</v>
      </c>
      <c r="O753" t="str">
        <f>Koond_kulud!O788</f>
        <v>Majandamiskulud</v>
      </c>
      <c r="P753" t="str">
        <f>Koond_kulud!P788</f>
        <v>Põhitegevuse kulu</v>
      </c>
      <c r="Q753">
        <f>Koond_kulud!Q788</f>
        <v>0</v>
      </c>
    </row>
    <row r="754" spans="1:17" hidden="1" x14ac:dyDescent="0.25">
      <c r="A754" t="str">
        <f>Koond_kulud!A789</f>
        <v>09</v>
      </c>
      <c r="B754" t="str">
        <f>Koond_kulud!B789</f>
        <v>0921208</v>
      </c>
      <c r="C754" t="str">
        <f>Koond_kulud!C789</f>
        <v>Muuga-Laekvere Kool</v>
      </c>
      <c r="D754" t="str">
        <f>Koond_kulud!D789</f>
        <v>Põhihariduse otsekulud</v>
      </c>
      <c r="E754" t="str">
        <f>Koond_kulud!E789</f>
        <v>Haridus</v>
      </c>
      <c r="F754" t="str">
        <f>Koond_kulud!F789</f>
        <v>Laekvere õppehoone</v>
      </c>
      <c r="G754" t="str">
        <f>Koond_kulud!G789</f>
        <v>etendused, kontserdid</v>
      </c>
      <c r="H754">
        <f>Koond_kulud!H789</f>
        <v>150</v>
      </c>
      <c r="I754">
        <f>Koond_kulud!I789</f>
        <v>0</v>
      </c>
      <c r="J754">
        <f>Koond_kulud!J789</f>
        <v>5525</v>
      </c>
      <c r="K754" t="str">
        <f>Koond_kulud!K789</f>
        <v>Kommunikatsiooni-, kultuuri- ja vaba aja sisustamise kulud</v>
      </c>
      <c r="L754">
        <f>Koond_kulud!L789</f>
        <v>55</v>
      </c>
      <c r="M754" t="str">
        <f>Koond_kulud!M789</f>
        <v>55</v>
      </c>
      <c r="N754" t="str">
        <f>Koond_kulud!N789</f>
        <v>Muud tegevuskulud</v>
      </c>
      <c r="O754" t="str">
        <f>Koond_kulud!O789</f>
        <v>Majandamiskulud</v>
      </c>
      <c r="P754" t="str">
        <f>Koond_kulud!P789</f>
        <v>Põhitegevuse kulu</v>
      </c>
      <c r="Q754">
        <f>Koond_kulud!Q789</f>
        <v>0</v>
      </c>
    </row>
    <row r="755" spans="1:17" hidden="1" x14ac:dyDescent="0.25">
      <c r="A755" t="str">
        <f>Koond_kulud!A790</f>
        <v>09</v>
      </c>
      <c r="B755" t="str">
        <f>Koond_kulud!B790</f>
        <v>0921208</v>
      </c>
      <c r="C755" t="str">
        <f>Koond_kulud!C790</f>
        <v>Muuga-Laekvere Kool</v>
      </c>
      <c r="D755" t="str">
        <f>Koond_kulud!D790</f>
        <v>Põhihariduse otsekulud</v>
      </c>
      <c r="E755" t="str">
        <f>Koond_kulud!E790</f>
        <v>Haridus</v>
      </c>
      <c r="F755" t="str">
        <f>Koond_kulud!F790</f>
        <v>Laekvere õppehoone</v>
      </c>
      <c r="G755" t="str">
        <f>Koond_kulud!G790</f>
        <v>osalustasud</v>
      </c>
      <c r="H755">
        <f>Koond_kulud!H790</f>
        <v>100</v>
      </c>
      <c r="I755">
        <f>Koond_kulud!I790</f>
        <v>0</v>
      </c>
      <c r="J755">
        <f>Koond_kulud!J790</f>
        <v>5525</v>
      </c>
      <c r="K755" t="str">
        <f>Koond_kulud!K790</f>
        <v>Kommunikatsiooni-, kultuuri- ja vaba aja sisustamise kulud</v>
      </c>
      <c r="L755">
        <f>Koond_kulud!L790</f>
        <v>55</v>
      </c>
      <c r="M755" t="str">
        <f>Koond_kulud!M790</f>
        <v>55</v>
      </c>
      <c r="N755" t="str">
        <f>Koond_kulud!N790</f>
        <v>Muud tegevuskulud</v>
      </c>
      <c r="O755" t="str">
        <f>Koond_kulud!O790</f>
        <v>Majandamiskulud</v>
      </c>
      <c r="P755" t="str">
        <f>Koond_kulud!P790</f>
        <v>Põhitegevuse kulu</v>
      </c>
      <c r="Q755">
        <f>Koond_kulud!Q790</f>
        <v>0</v>
      </c>
    </row>
    <row r="756" spans="1:17" hidden="1" x14ac:dyDescent="0.25">
      <c r="A756" t="str">
        <f>Koond_kulud!A791</f>
        <v>09</v>
      </c>
      <c r="B756" t="str">
        <f>Koond_kulud!B791</f>
        <v>0921208</v>
      </c>
      <c r="C756" t="str">
        <f>Koond_kulud!C791</f>
        <v>Muuga-Laekvere Kool</v>
      </c>
      <c r="D756" t="str">
        <f>Koond_kulud!D791</f>
        <v>Põhihariduse otsekulud</v>
      </c>
      <c r="E756" t="str">
        <f>Koond_kulud!E791</f>
        <v>Haridus</v>
      </c>
      <c r="F756" t="str">
        <f>Koond_kulud!F791</f>
        <v>Laekvere õppehoone</v>
      </c>
      <c r="G756" t="str">
        <f>Koond_kulud!G791</f>
        <v>aastapäevad</v>
      </c>
      <c r="H756">
        <f>Koond_kulud!H791</f>
        <v>3000</v>
      </c>
      <c r="I756">
        <f>Koond_kulud!I791</f>
        <v>0</v>
      </c>
      <c r="J756">
        <f>Koond_kulud!J791</f>
        <v>5525</v>
      </c>
      <c r="K756" t="str">
        <f>Koond_kulud!K791</f>
        <v>Kommunikatsiooni-, kultuuri- ja vaba aja sisustamise kulud</v>
      </c>
      <c r="L756">
        <f>Koond_kulud!L791</f>
        <v>55</v>
      </c>
      <c r="M756" t="str">
        <f>Koond_kulud!M791</f>
        <v>55</v>
      </c>
      <c r="N756" t="str">
        <f>Koond_kulud!N791</f>
        <v>Muud tegevuskulud</v>
      </c>
      <c r="O756" t="str">
        <f>Koond_kulud!O791</f>
        <v>Majandamiskulud</v>
      </c>
      <c r="P756" t="str">
        <f>Koond_kulud!P791</f>
        <v>Põhitegevuse kulu</v>
      </c>
      <c r="Q756">
        <f>Koond_kulud!Q791</f>
        <v>0</v>
      </c>
    </row>
    <row r="757" spans="1:17" hidden="1" x14ac:dyDescent="0.25">
      <c r="A757" t="str">
        <f>Koond_kulud!A792</f>
        <v>09</v>
      </c>
      <c r="B757" t="str">
        <f>Koond_kulud!B792</f>
        <v>0921208</v>
      </c>
      <c r="C757" t="str">
        <f>Koond_kulud!C792</f>
        <v>Muuga-Laekvere Kool</v>
      </c>
      <c r="D757" t="str">
        <f>Koond_kulud!D792</f>
        <v>Põhihariduse otsekulud</v>
      </c>
      <c r="E757" t="str">
        <f>Koond_kulud!E792</f>
        <v>Haridus</v>
      </c>
      <c r="F757" t="str">
        <f>Koond_kulud!F792</f>
        <v>Laekvere õppehoone</v>
      </c>
      <c r="G757" t="str">
        <f>Koond_kulud!G792</f>
        <v>õpilaste üritused</v>
      </c>
      <c r="H757">
        <f>Koond_kulud!H792</f>
        <v>2000</v>
      </c>
      <c r="I757">
        <f>Koond_kulud!I792</f>
        <v>0</v>
      </c>
      <c r="J757">
        <f>Koond_kulud!J792</f>
        <v>5525</v>
      </c>
      <c r="K757" t="str">
        <f>Koond_kulud!K792</f>
        <v>Kommunikatsiooni-, kultuuri- ja vaba aja sisustamise kulud</v>
      </c>
      <c r="L757">
        <f>Koond_kulud!L792</f>
        <v>55</v>
      </c>
      <c r="M757" t="str">
        <f>Koond_kulud!M792</f>
        <v>55</v>
      </c>
      <c r="N757" t="str">
        <f>Koond_kulud!N792</f>
        <v>Muud tegevuskulud</v>
      </c>
      <c r="O757" t="str">
        <f>Koond_kulud!O792</f>
        <v>Majandamiskulud</v>
      </c>
      <c r="P757" t="str">
        <f>Koond_kulud!P792</f>
        <v>Põhitegevuse kulu</v>
      </c>
      <c r="Q757">
        <f>Koond_kulud!Q792</f>
        <v>0</v>
      </c>
    </row>
    <row r="758" spans="1:17" hidden="1" x14ac:dyDescent="0.25">
      <c r="A758" t="str">
        <f>Koond_kulud!A793</f>
        <v>09</v>
      </c>
      <c r="B758" t="str">
        <f>Koond_kulud!B793</f>
        <v>0921208</v>
      </c>
      <c r="C758" t="str">
        <f>Koond_kulud!C793</f>
        <v>Muuga-Laekvere Kool</v>
      </c>
      <c r="D758" t="str">
        <f>Koond_kulud!D793</f>
        <v>Põhihariduse otsekulud</v>
      </c>
      <c r="E758" t="str">
        <f>Koond_kulud!E793</f>
        <v>Haridus</v>
      </c>
      <c r="F758" t="str">
        <f>Koond_kulud!F793</f>
        <v>Laekvere õppehoone</v>
      </c>
      <c r="G758" t="str">
        <f>Koond_kulud!G793</f>
        <v>programmid</v>
      </c>
      <c r="H758">
        <f>Koond_kulud!H793</f>
        <v>1000</v>
      </c>
      <c r="I758">
        <f>Koond_kulud!I793</f>
        <v>0</v>
      </c>
      <c r="J758">
        <f>Koond_kulud!J793</f>
        <v>5514</v>
      </c>
      <c r="K758" t="str">
        <f>Koond_kulud!K793</f>
        <v>Info- ja kommunikatsioonitehnoliigised kulud</v>
      </c>
      <c r="L758">
        <f>Koond_kulud!L793</f>
        <v>55</v>
      </c>
      <c r="M758" t="str">
        <f>Koond_kulud!M793</f>
        <v>55</v>
      </c>
      <c r="N758" t="str">
        <f>Koond_kulud!N793</f>
        <v>Muud tegevuskulud</v>
      </c>
      <c r="O758" t="str">
        <f>Koond_kulud!O793</f>
        <v>Majandamiskulud</v>
      </c>
      <c r="P758" t="str">
        <f>Koond_kulud!P793</f>
        <v>Põhitegevuse kulu</v>
      </c>
      <c r="Q758">
        <f>Koond_kulud!Q793</f>
        <v>0</v>
      </c>
    </row>
    <row r="759" spans="1:17" hidden="1" x14ac:dyDescent="0.25">
      <c r="A759" t="str">
        <f>Koond_kulud!A794</f>
        <v>09</v>
      </c>
      <c r="B759" t="str">
        <f>Koond_kulud!B794</f>
        <v>0921208</v>
      </c>
      <c r="C759" t="str">
        <f>Koond_kulud!C794</f>
        <v>Muuga-Laekvere Kool</v>
      </c>
      <c r="D759" t="str">
        <f>Koond_kulud!D794</f>
        <v>Põhihariduse otsekulud</v>
      </c>
      <c r="E759" t="str">
        <f>Koond_kulud!E794</f>
        <v>Haridus</v>
      </c>
      <c r="F759" t="str">
        <f>Koond_kulud!F794</f>
        <v>Laekvere õppehoone</v>
      </c>
      <c r="G759" t="str">
        <f>Koond_kulud!G794</f>
        <v>soetamine</v>
      </c>
      <c r="H759">
        <f>Koond_kulud!H794</f>
        <v>500</v>
      </c>
      <c r="I759">
        <f>Koond_kulud!I794</f>
        <v>0</v>
      </c>
      <c r="J759">
        <f>Koond_kulud!J794</f>
        <v>5514</v>
      </c>
      <c r="K759" t="str">
        <f>Koond_kulud!K794</f>
        <v>Info- ja kommunikatsioonitehnoliigised kulud</v>
      </c>
      <c r="L759">
        <f>Koond_kulud!L794</f>
        <v>55</v>
      </c>
      <c r="M759" t="str">
        <f>Koond_kulud!M794</f>
        <v>55</v>
      </c>
      <c r="N759" t="str">
        <f>Koond_kulud!N794</f>
        <v>Muud tegevuskulud</v>
      </c>
      <c r="O759" t="str">
        <f>Koond_kulud!O794</f>
        <v>Majandamiskulud</v>
      </c>
      <c r="P759" t="str">
        <f>Koond_kulud!P794</f>
        <v>Põhitegevuse kulu</v>
      </c>
      <c r="Q759">
        <f>Koond_kulud!Q794</f>
        <v>0</v>
      </c>
    </row>
    <row r="760" spans="1:17" hidden="1" x14ac:dyDescent="0.25">
      <c r="A760" t="str">
        <f>Koond_kulud!A795</f>
        <v>09</v>
      </c>
      <c r="B760" t="str">
        <f>Koond_kulud!B795</f>
        <v>0921208</v>
      </c>
      <c r="C760" t="str">
        <f>Koond_kulud!C795</f>
        <v>Muuga-Laekvere Kool</v>
      </c>
      <c r="D760" t="str">
        <f>Koond_kulud!D795</f>
        <v>Põhihariduse otsekulud</v>
      </c>
      <c r="E760" t="str">
        <f>Koond_kulud!E795</f>
        <v>Haridus</v>
      </c>
      <c r="F760" t="str">
        <f>Koond_kulud!F795</f>
        <v>Laekvere õppehoone</v>
      </c>
      <c r="G760" t="str">
        <f>Koond_kulud!G795</f>
        <v>andmeside</v>
      </c>
      <c r="H760">
        <f>Koond_kulud!H795</f>
        <v>600</v>
      </c>
      <c r="I760">
        <f>Koond_kulud!I795</f>
        <v>0</v>
      </c>
      <c r="J760">
        <f>Koond_kulud!J795</f>
        <v>5514</v>
      </c>
      <c r="K760" t="str">
        <f>Koond_kulud!K795</f>
        <v>Info- ja kommunikatsioonitehnoliigised kulud</v>
      </c>
      <c r="L760">
        <f>Koond_kulud!L795</f>
        <v>55</v>
      </c>
      <c r="M760" t="str">
        <f>Koond_kulud!M795</f>
        <v>55</v>
      </c>
      <c r="N760" t="str">
        <f>Koond_kulud!N795</f>
        <v>Muud tegevuskulud</v>
      </c>
      <c r="O760" t="str">
        <f>Koond_kulud!O795</f>
        <v>Majandamiskulud</v>
      </c>
      <c r="P760" t="str">
        <f>Koond_kulud!P795</f>
        <v>Põhitegevuse kulu</v>
      </c>
      <c r="Q760">
        <f>Koond_kulud!Q795</f>
        <v>0</v>
      </c>
    </row>
    <row r="761" spans="1:17" hidden="1" x14ac:dyDescent="0.25">
      <c r="A761" t="str">
        <f>Koond_kulud!A796</f>
        <v>09</v>
      </c>
      <c r="B761" t="str">
        <f>Koond_kulud!B796</f>
        <v>0921208</v>
      </c>
      <c r="C761" t="str">
        <f>Koond_kulud!C796</f>
        <v>Muuga-Laekvere Kool</v>
      </c>
      <c r="D761" t="str">
        <f>Koond_kulud!D796</f>
        <v>Põhihariduse otsekulud</v>
      </c>
      <c r="E761" t="str">
        <f>Koond_kulud!E796</f>
        <v>Haridus</v>
      </c>
      <c r="F761" t="str">
        <f>Koond_kulud!F796</f>
        <v>Laekvere õppehoone</v>
      </c>
      <c r="G761" t="str">
        <f>Koond_kulud!G796</f>
        <v>remont ja hooldus</v>
      </c>
      <c r="H761">
        <f>Koond_kulud!H796</f>
        <v>300</v>
      </c>
      <c r="I761">
        <f>Koond_kulud!I796</f>
        <v>0</v>
      </c>
      <c r="J761">
        <f>Koond_kulud!J796</f>
        <v>5514</v>
      </c>
      <c r="K761" t="str">
        <f>Koond_kulud!K796</f>
        <v>Info- ja kommunikatsioonitehnoliigised kulud</v>
      </c>
      <c r="L761">
        <f>Koond_kulud!L796</f>
        <v>55</v>
      </c>
      <c r="M761" t="str">
        <f>Koond_kulud!M796</f>
        <v>55</v>
      </c>
      <c r="N761" t="str">
        <f>Koond_kulud!N796</f>
        <v>Muud tegevuskulud</v>
      </c>
      <c r="O761" t="str">
        <f>Koond_kulud!O796</f>
        <v>Majandamiskulud</v>
      </c>
      <c r="P761" t="str">
        <f>Koond_kulud!P796</f>
        <v>Põhitegevuse kulu</v>
      </c>
      <c r="Q761">
        <f>Koond_kulud!Q796</f>
        <v>0</v>
      </c>
    </row>
    <row r="762" spans="1:17" hidden="1" x14ac:dyDescent="0.25">
      <c r="A762" t="str">
        <f>Koond_kulud!A798</f>
        <v>09</v>
      </c>
      <c r="B762" t="str">
        <f>Koond_kulud!B798</f>
        <v>0921208</v>
      </c>
      <c r="C762" t="str">
        <f>Koond_kulud!C798</f>
        <v>Muuga-Laekvere Kool</v>
      </c>
      <c r="D762" t="str">
        <f>Koond_kulud!D798</f>
        <v>Põhihariduse otsekulud</v>
      </c>
      <c r="E762" t="str">
        <f>Koond_kulud!E798</f>
        <v>Haridus</v>
      </c>
      <c r="F762" t="str">
        <f>Koond_kulud!F798</f>
        <v>Laekvere õppehoone</v>
      </c>
      <c r="G762" t="str">
        <f>Koond_kulud!G798</f>
        <v>Pedagoogilised koolitused</v>
      </c>
      <c r="H762">
        <f>Koond_kulud!H798</f>
        <v>1384.56</v>
      </c>
      <c r="I762" t="str">
        <f>Koond_kulud!I798</f>
        <v>Ped.</v>
      </c>
      <c r="J762">
        <f>Koond_kulud!J798</f>
        <v>5504</v>
      </c>
      <c r="K762" t="str">
        <f>Koond_kulud!K798</f>
        <v>Koolituskulud</v>
      </c>
      <c r="L762">
        <f>Koond_kulud!L798</f>
        <v>55</v>
      </c>
      <c r="M762" t="str">
        <f>Koond_kulud!M798</f>
        <v>55</v>
      </c>
      <c r="N762" t="str">
        <f>Koond_kulud!N798</f>
        <v>Muud tegevuskulud</v>
      </c>
      <c r="O762" t="str">
        <f>Koond_kulud!O798</f>
        <v>Majandamiskulud</v>
      </c>
      <c r="P762" t="str">
        <f>Koond_kulud!P798</f>
        <v>Põhitegevuse kulu</v>
      </c>
      <c r="Q762">
        <f>Koond_kulud!Q798</f>
        <v>0</v>
      </c>
    </row>
    <row r="763" spans="1:17" hidden="1" x14ac:dyDescent="0.25">
      <c r="A763" t="str">
        <f>Koond_kulud!A799</f>
        <v>09</v>
      </c>
      <c r="B763" t="str">
        <f>Koond_kulud!B799</f>
        <v>0921208</v>
      </c>
      <c r="C763" t="str">
        <f>Koond_kulud!C799</f>
        <v>Muuga-Laekvere Kool</v>
      </c>
      <c r="D763" t="str">
        <f>Koond_kulud!D799</f>
        <v>Põhihariduse otsekulud</v>
      </c>
      <c r="E763" t="str">
        <f>Koond_kulud!E799</f>
        <v>Haridus</v>
      </c>
      <c r="F763" t="str">
        <f>Koond_kulud!F799</f>
        <v>Laekvere õppehoone</v>
      </c>
      <c r="G763" t="str">
        <f>Koond_kulud!G799</f>
        <v>Pedagoogilised õppevahendid</v>
      </c>
      <c r="H763">
        <f>Koond_kulud!H799</f>
        <v>4311.42</v>
      </c>
      <c r="I763" t="str">
        <f>Koond_kulud!I799</f>
        <v>Ped.</v>
      </c>
      <c r="J763">
        <f>Koond_kulud!J799</f>
        <v>5524</v>
      </c>
      <c r="K763" t="str">
        <f>Koond_kulud!K799</f>
        <v>Õppevahendid</v>
      </c>
      <c r="L763">
        <f>Koond_kulud!L799</f>
        <v>55</v>
      </c>
      <c r="M763" t="str">
        <f>Koond_kulud!M799</f>
        <v>55</v>
      </c>
      <c r="N763" t="str">
        <f>Koond_kulud!N799</f>
        <v>Muud tegevuskulud</v>
      </c>
      <c r="O763" t="str">
        <f>Koond_kulud!O799</f>
        <v>Majandamiskulud</v>
      </c>
      <c r="P763" t="str">
        <f>Koond_kulud!P799</f>
        <v>Põhitegevuse kulu</v>
      </c>
      <c r="Q763">
        <f>Koond_kulud!Q799</f>
        <v>0</v>
      </c>
    </row>
    <row r="764" spans="1:17" hidden="1" x14ac:dyDescent="0.25">
      <c r="A764" t="str">
        <f>Koond_kulud!A800</f>
        <v>09</v>
      </c>
      <c r="B764" t="str">
        <f>Koond_kulud!B800</f>
        <v>0921208</v>
      </c>
      <c r="C764" t="str">
        <f>Koond_kulud!C800</f>
        <v>Muuga-Laekvere Kool</v>
      </c>
      <c r="D764" t="str">
        <f>Koond_kulud!D800</f>
        <v>Põhihariduse otsekulud</v>
      </c>
      <c r="E764" t="str">
        <f>Koond_kulud!E800</f>
        <v>Haridus</v>
      </c>
      <c r="F764" t="str">
        <f>Koond_kulud!F800</f>
        <v>Muuga õppehoone</v>
      </c>
      <c r="G764" t="str">
        <f>Koond_kulud!G800</f>
        <v>küte</v>
      </c>
      <c r="H764">
        <f>Koond_kulud!H800</f>
        <v>27000</v>
      </c>
      <c r="I764">
        <f>Koond_kulud!I800</f>
        <v>0</v>
      </c>
      <c r="J764">
        <f>Koond_kulud!J800</f>
        <v>5511</v>
      </c>
      <c r="K764" t="str">
        <f>Koond_kulud!K800</f>
        <v>Kinnistute, hoonete ja ruumide majandamiskulud</v>
      </c>
      <c r="L764">
        <f>Koond_kulud!L800</f>
        <v>55</v>
      </c>
      <c r="M764" t="str">
        <f>Koond_kulud!M800</f>
        <v>55</v>
      </c>
      <c r="N764" t="str">
        <f>Koond_kulud!N800</f>
        <v>Muud tegevuskulud</v>
      </c>
      <c r="O764" t="str">
        <f>Koond_kulud!O800</f>
        <v>Majandamiskulud</v>
      </c>
      <c r="P764" t="str">
        <f>Koond_kulud!P800</f>
        <v>Põhitegevuse kulu</v>
      </c>
      <c r="Q764">
        <f>Koond_kulud!Q800</f>
        <v>0</v>
      </c>
    </row>
    <row r="765" spans="1:17" hidden="1" x14ac:dyDescent="0.25">
      <c r="A765" t="str">
        <f>Koond_kulud!A801</f>
        <v>09</v>
      </c>
      <c r="B765" t="str">
        <f>Koond_kulud!B801</f>
        <v>0921208</v>
      </c>
      <c r="C765" t="str">
        <f>Koond_kulud!C801</f>
        <v>Muuga-Laekvere Kool</v>
      </c>
      <c r="D765" t="str">
        <f>Koond_kulud!D801</f>
        <v>Põhihariduse otsekulud</v>
      </c>
      <c r="E765" t="str">
        <f>Koond_kulud!E801</f>
        <v>Haridus</v>
      </c>
      <c r="F765" t="str">
        <f>Koond_kulud!F801</f>
        <v>Muuga õppehoone</v>
      </c>
      <c r="G765" t="str">
        <f>Koond_kulud!G801</f>
        <v>elekter</v>
      </c>
      <c r="H765">
        <f>Koond_kulud!H801</f>
        <v>5300</v>
      </c>
      <c r="I765">
        <f>Koond_kulud!I801</f>
        <v>0</v>
      </c>
      <c r="J765">
        <f>Koond_kulud!J801</f>
        <v>5511</v>
      </c>
      <c r="K765" t="str">
        <f>Koond_kulud!K801</f>
        <v>Kinnistute, hoonete ja ruumide majandamiskulud</v>
      </c>
      <c r="L765">
        <f>Koond_kulud!L801</f>
        <v>55</v>
      </c>
      <c r="M765" t="str">
        <f>Koond_kulud!M801</f>
        <v>55</v>
      </c>
      <c r="N765" t="str">
        <f>Koond_kulud!N801</f>
        <v>Muud tegevuskulud</v>
      </c>
      <c r="O765" t="str">
        <f>Koond_kulud!O801</f>
        <v>Majandamiskulud</v>
      </c>
      <c r="P765" t="str">
        <f>Koond_kulud!P801</f>
        <v>Põhitegevuse kulu</v>
      </c>
      <c r="Q765">
        <f>Koond_kulud!Q801</f>
        <v>0</v>
      </c>
    </row>
    <row r="766" spans="1:17" hidden="1" x14ac:dyDescent="0.25">
      <c r="A766" t="str">
        <f>Koond_kulud!A802</f>
        <v>09</v>
      </c>
      <c r="B766" t="str">
        <f>Koond_kulud!B802</f>
        <v>0921208</v>
      </c>
      <c r="C766" t="str">
        <f>Koond_kulud!C802</f>
        <v>Muuga-Laekvere Kool</v>
      </c>
      <c r="D766" t="str">
        <f>Koond_kulud!D802</f>
        <v>Põhihariduse otsekulud</v>
      </c>
      <c r="E766" t="str">
        <f>Koond_kulud!E802</f>
        <v>Haridus</v>
      </c>
      <c r="F766" t="str">
        <f>Koond_kulud!F802</f>
        <v>Muuga õppehoone</v>
      </c>
      <c r="G766" t="str">
        <f>Koond_kulud!G802</f>
        <v>el.käitlus</v>
      </c>
      <c r="H766">
        <f>Koond_kulud!H802</f>
        <v>400</v>
      </c>
      <c r="I766">
        <f>Koond_kulud!I802</f>
        <v>0</v>
      </c>
      <c r="J766">
        <f>Koond_kulud!J802</f>
        <v>5511</v>
      </c>
      <c r="K766" t="str">
        <f>Koond_kulud!K802</f>
        <v>Kinnistute, hoonete ja ruumide majandamiskulud</v>
      </c>
      <c r="L766">
        <f>Koond_kulud!L802</f>
        <v>55</v>
      </c>
      <c r="M766" t="str">
        <f>Koond_kulud!M802</f>
        <v>55</v>
      </c>
      <c r="N766" t="str">
        <f>Koond_kulud!N802</f>
        <v>Muud tegevuskulud</v>
      </c>
      <c r="O766" t="str">
        <f>Koond_kulud!O802</f>
        <v>Majandamiskulud</v>
      </c>
      <c r="P766" t="str">
        <f>Koond_kulud!P802</f>
        <v>Põhitegevuse kulu</v>
      </c>
      <c r="Q766">
        <f>Koond_kulud!Q802</f>
        <v>0</v>
      </c>
    </row>
    <row r="767" spans="1:17" hidden="1" x14ac:dyDescent="0.25">
      <c r="A767" t="str">
        <f>Koond_kulud!A803</f>
        <v>09</v>
      </c>
      <c r="B767" t="str">
        <f>Koond_kulud!B803</f>
        <v>0921208</v>
      </c>
      <c r="C767" t="str">
        <f>Koond_kulud!C803</f>
        <v>Muuga-Laekvere Kool</v>
      </c>
      <c r="D767" t="str">
        <f>Koond_kulud!D803</f>
        <v>Põhihariduse otsekulud</v>
      </c>
      <c r="E767" t="str">
        <f>Koond_kulud!E803</f>
        <v>Haridus</v>
      </c>
      <c r="F767" t="str">
        <f>Koond_kulud!F803</f>
        <v>Muuga õppehoone</v>
      </c>
      <c r="G767" t="str">
        <f>Koond_kulud!G803</f>
        <v>korrashoid</v>
      </c>
      <c r="H767">
        <f>Koond_kulud!H803</f>
        <v>2000</v>
      </c>
      <c r="I767">
        <f>Koond_kulud!I803</f>
        <v>0</v>
      </c>
      <c r="J767">
        <f>Koond_kulud!J803</f>
        <v>5511</v>
      </c>
      <c r="K767" t="str">
        <f>Koond_kulud!K803</f>
        <v>Kinnistute, hoonete ja ruumide majandamiskulud</v>
      </c>
      <c r="L767">
        <f>Koond_kulud!L803</f>
        <v>55</v>
      </c>
      <c r="M767" t="str">
        <f>Koond_kulud!M803</f>
        <v>55</v>
      </c>
      <c r="N767" t="str">
        <f>Koond_kulud!N803</f>
        <v>Muud tegevuskulud</v>
      </c>
      <c r="O767" t="str">
        <f>Koond_kulud!O803</f>
        <v>Majandamiskulud</v>
      </c>
      <c r="P767" t="str">
        <f>Koond_kulud!P803</f>
        <v>Põhitegevuse kulu</v>
      </c>
      <c r="Q767">
        <f>Koond_kulud!Q803</f>
        <v>0</v>
      </c>
    </row>
    <row r="768" spans="1:17" hidden="1" x14ac:dyDescent="0.25">
      <c r="A768" t="str">
        <f>Koond_kulud!A804</f>
        <v>09</v>
      </c>
      <c r="B768" t="str">
        <f>Koond_kulud!B804</f>
        <v>0921208</v>
      </c>
      <c r="C768" t="str">
        <f>Koond_kulud!C804</f>
        <v>Muuga-Laekvere Kool</v>
      </c>
      <c r="D768" t="str">
        <f>Koond_kulud!D804</f>
        <v>Põhihariduse otsekulud</v>
      </c>
      <c r="E768" t="str">
        <f>Koond_kulud!E804</f>
        <v>Haridus</v>
      </c>
      <c r="F768" t="str">
        <f>Koond_kulud!F804</f>
        <v>Muuga õppehoone</v>
      </c>
      <c r="G768" t="str">
        <f>Koond_kulud!G804</f>
        <v>prügi</v>
      </c>
      <c r="H768">
        <f>Koond_kulud!H804</f>
        <v>500</v>
      </c>
      <c r="I768">
        <f>Koond_kulud!I804</f>
        <v>0</v>
      </c>
      <c r="J768">
        <f>Koond_kulud!J804</f>
        <v>5511</v>
      </c>
      <c r="K768" t="str">
        <f>Koond_kulud!K804</f>
        <v>Kinnistute, hoonete ja ruumide majandamiskulud</v>
      </c>
      <c r="L768">
        <f>Koond_kulud!L804</f>
        <v>55</v>
      </c>
      <c r="M768" t="str">
        <f>Koond_kulud!M804</f>
        <v>55</v>
      </c>
      <c r="N768" t="str">
        <f>Koond_kulud!N804</f>
        <v>Muud tegevuskulud</v>
      </c>
      <c r="O768" t="str">
        <f>Koond_kulud!O804</f>
        <v>Majandamiskulud</v>
      </c>
      <c r="P768" t="str">
        <f>Koond_kulud!P804</f>
        <v>Põhitegevuse kulu</v>
      </c>
      <c r="Q768">
        <f>Koond_kulud!Q804</f>
        <v>0</v>
      </c>
    </row>
    <row r="769" spans="1:17" hidden="1" x14ac:dyDescent="0.25">
      <c r="A769" t="str">
        <f>Koond_kulud!A805</f>
        <v>09</v>
      </c>
      <c r="B769" t="str">
        <f>Koond_kulud!B805</f>
        <v>0921208</v>
      </c>
      <c r="C769" t="str">
        <f>Koond_kulud!C805</f>
        <v>Muuga-Laekvere Kool</v>
      </c>
      <c r="D769" t="str">
        <f>Koond_kulud!D805</f>
        <v>Põhihariduse otsekulud</v>
      </c>
      <c r="E769" t="str">
        <f>Koond_kulud!E805</f>
        <v>Haridus</v>
      </c>
      <c r="F769" t="str">
        <f>Koond_kulud!F805</f>
        <v>Muuga õppehoone</v>
      </c>
      <c r="G769" t="str">
        <f>Koond_kulud!G805</f>
        <v>korstnapühkija</v>
      </c>
      <c r="H769">
        <f>Koond_kulud!H805</f>
        <v>0</v>
      </c>
      <c r="I769">
        <f>Koond_kulud!I805</f>
        <v>0</v>
      </c>
      <c r="J769">
        <f>Koond_kulud!J805</f>
        <v>5511</v>
      </c>
      <c r="K769" t="str">
        <f>Koond_kulud!K805</f>
        <v>Kinnistute, hoonete ja ruumide majandamiskulud</v>
      </c>
      <c r="L769">
        <f>Koond_kulud!L805</f>
        <v>55</v>
      </c>
      <c r="M769" t="str">
        <f>Koond_kulud!M805</f>
        <v>55</v>
      </c>
      <c r="N769" t="str">
        <f>Koond_kulud!N805</f>
        <v>Muud tegevuskulud</v>
      </c>
      <c r="O769" t="str">
        <f>Koond_kulud!O805</f>
        <v>Majandamiskulud</v>
      </c>
      <c r="P769" t="str">
        <f>Koond_kulud!P805</f>
        <v>Põhitegevuse kulu</v>
      </c>
      <c r="Q769">
        <f>Koond_kulud!Q805</f>
        <v>0</v>
      </c>
    </row>
    <row r="770" spans="1:17" hidden="1" x14ac:dyDescent="0.25">
      <c r="A770" t="str">
        <f>Koond_kulud!A806</f>
        <v>09</v>
      </c>
      <c r="B770" t="str">
        <f>Koond_kulud!B806</f>
        <v>0921208</v>
      </c>
      <c r="C770" t="str">
        <f>Koond_kulud!C806</f>
        <v>Muuga-Laekvere Kool</v>
      </c>
      <c r="D770" t="str">
        <f>Koond_kulud!D806</f>
        <v>Põhihariduse otsekulud</v>
      </c>
      <c r="E770" t="str">
        <f>Koond_kulud!E806</f>
        <v>Haridus</v>
      </c>
      <c r="F770" t="str">
        <f>Koond_kulud!F806</f>
        <v>Muuga õppehoone</v>
      </c>
      <c r="G770" t="str">
        <f>Koond_kulud!G806</f>
        <v>vesi kanalisatsioon</v>
      </c>
      <c r="H770">
        <f>Koond_kulud!H806</f>
        <v>1500</v>
      </c>
      <c r="I770">
        <f>Koond_kulud!I806</f>
        <v>0</v>
      </c>
      <c r="J770">
        <f>Koond_kulud!J806</f>
        <v>5511</v>
      </c>
      <c r="K770" t="str">
        <f>Koond_kulud!K806</f>
        <v>Kinnistute, hoonete ja ruumide majandamiskulud</v>
      </c>
      <c r="L770">
        <f>Koond_kulud!L806</f>
        <v>55</v>
      </c>
      <c r="M770" t="str">
        <f>Koond_kulud!M806</f>
        <v>55</v>
      </c>
      <c r="N770" t="str">
        <f>Koond_kulud!N806</f>
        <v>Muud tegevuskulud</v>
      </c>
      <c r="O770" t="str">
        <f>Koond_kulud!O806</f>
        <v>Majandamiskulud</v>
      </c>
      <c r="P770" t="str">
        <f>Koond_kulud!P806</f>
        <v>Põhitegevuse kulu</v>
      </c>
      <c r="Q770">
        <f>Koond_kulud!Q806</f>
        <v>0</v>
      </c>
    </row>
    <row r="771" spans="1:17" hidden="1" x14ac:dyDescent="0.25">
      <c r="A771" t="str">
        <f>Koond_kulud!A807</f>
        <v>09</v>
      </c>
      <c r="B771" t="str">
        <f>Koond_kulud!B807</f>
        <v>0921208</v>
      </c>
      <c r="C771" t="str">
        <f>Koond_kulud!C807</f>
        <v>Muuga-Laekvere Kool</v>
      </c>
      <c r="D771" t="str">
        <f>Koond_kulud!D807</f>
        <v>Põhihariduse otsekulud</v>
      </c>
      <c r="E771" t="str">
        <f>Koond_kulud!E807</f>
        <v>Haridus</v>
      </c>
      <c r="F771" t="str">
        <f>Koond_kulud!F807</f>
        <v>Muuga õppehoone</v>
      </c>
      <c r="G771" t="str">
        <f>Koond_kulud!G807</f>
        <v>rem tööd</v>
      </c>
      <c r="H771">
        <f>Koond_kulud!H807</f>
        <v>500</v>
      </c>
      <c r="I771">
        <f>Koond_kulud!I807</f>
        <v>0</v>
      </c>
      <c r="J771">
        <f>Koond_kulud!J807</f>
        <v>5511</v>
      </c>
      <c r="K771" t="str">
        <f>Koond_kulud!K807</f>
        <v>Kinnistute, hoonete ja ruumide majandamiskulud</v>
      </c>
      <c r="L771">
        <f>Koond_kulud!L807</f>
        <v>55</v>
      </c>
      <c r="M771" t="str">
        <f>Koond_kulud!M807</f>
        <v>55</v>
      </c>
      <c r="N771" t="str">
        <f>Koond_kulud!N807</f>
        <v>Muud tegevuskulud</v>
      </c>
      <c r="O771" t="str">
        <f>Koond_kulud!O807</f>
        <v>Majandamiskulud</v>
      </c>
      <c r="P771" t="str">
        <f>Koond_kulud!P807</f>
        <v>Põhitegevuse kulu</v>
      </c>
      <c r="Q771">
        <f>Koond_kulud!Q807</f>
        <v>0</v>
      </c>
    </row>
    <row r="772" spans="1:17" hidden="1" x14ac:dyDescent="0.25">
      <c r="A772" t="str">
        <f>Koond_kulud!A808</f>
        <v>09</v>
      </c>
      <c r="B772" t="str">
        <f>Koond_kulud!B808</f>
        <v>0921208</v>
      </c>
      <c r="C772" t="str">
        <f>Koond_kulud!C808</f>
        <v>Muuga-Laekvere Kool</v>
      </c>
      <c r="D772" t="str">
        <f>Koond_kulud!D808</f>
        <v>Põhihariduse otsekulud</v>
      </c>
      <c r="E772" t="str">
        <f>Koond_kulud!E808</f>
        <v>Haridus</v>
      </c>
      <c r="F772" t="str">
        <f>Koond_kulud!F808</f>
        <v>Muuga õppehoone</v>
      </c>
      <c r="G772" t="str">
        <f>Koond_kulud!G808</f>
        <v>kindlustus</v>
      </c>
      <c r="H772">
        <f>Koond_kulud!H808</f>
        <v>900</v>
      </c>
      <c r="I772">
        <f>Koond_kulud!I808</f>
        <v>0</v>
      </c>
      <c r="J772">
        <f>Koond_kulud!J808</f>
        <v>5511</v>
      </c>
      <c r="K772" t="str">
        <f>Koond_kulud!K808</f>
        <v>Kinnistute, hoonete ja ruumide majandamiskulud</v>
      </c>
      <c r="L772">
        <f>Koond_kulud!L808</f>
        <v>55</v>
      </c>
      <c r="M772" t="str">
        <f>Koond_kulud!M808</f>
        <v>55</v>
      </c>
      <c r="N772" t="str">
        <f>Koond_kulud!N808</f>
        <v>Muud tegevuskulud</v>
      </c>
      <c r="O772" t="str">
        <f>Koond_kulud!O808</f>
        <v>Majandamiskulud</v>
      </c>
      <c r="P772" t="str">
        <f>Koond_kulud!P808</f>
        <v>Põhitegevuse kulu</v>
      </c>
      <c r="Q772">
        <f>Koond_kulud!Q808</f>
        <v>0</v>
      </c>
    </row>
    <row r="773" spans="1:17" hidden="1" x14ac:dyDescent="0.25">
      <c r="A773" t="str">
        <f>Koond_kulud!A809</f>
        <v>09</v>
      </c>
      <c r="B773" t="str">
        <f>Koond_kulud!B809</f>
        <v>0921208</v>
      </c>
      <c r="C773" t="str">
        <f>Koond_kulud!C809</f>
        <v>Muuga-Laekvere Kool</v>
      </c>
      <c r="D773" t="str">
        <f>Koond_kulud!D809</f>
        <v>Põhihariduse otsekulud</v>
      </c>
      <c r="E773" t="str">
        <f>Koond_kulud!E809</f>
        <v>Haridus</v>
      </c>
      <c r="F773" t="str">
        <f>Koond_kulud!F809</f>
        <v>Muuga õppehoone</v>
      </c>
      <c r="G773" t="str">
        <f>Koond_kulud!G809</f>
        <v>Muud kinnistukulud</v>
      </c>
      <c r="H773">
        <f>Koond_kulud!H809</f>
        <v>700</v>
      </c>
      <c r="I773">
        <f>Koond_kulud!I809</f>
        <v>0</v>
      </c>
      <c r="J773">
        <f>Koond_kulud!J809</f>
        <v>5511</v>
      </c>
      <c r="K773" t="str">
        <f>Koond_kulud!K809</f>
        <v>Kinnistute, hoonete ja ruumide majandamiskulud</v>
      </c>
      <c r="L773">
        <f>Koond_kulud!L809</f>
        <v>55</v>
      </c>
      <c r="M773" t="str">
        <f>Koond_kulud!M809</f>
        <v>55</v>
      </c>
      <c r="N773" t="str">
        <f>Koond_kulud!N809</f>
        <v>Muud tegevuskulud</v>
      </c>
      <c r="O773" t="str">
        <f>Koond_kulud!O809</f>
        <v>Majandamiskulud</v>
      </c>
      <c r="P773" t="str">
        <f>Koond_kulud!P809</f>
        <v>Põhitegevuse kulu</v>
      </c>
      <c r="Q773">
        <f>Koond_kulud!Q809</f>
        <v>0</v>
      </c>
    </row>
    <row r="774" spans="1:17" hidden="1" x14ac:dyDescent="0.25">
      <c r="A774" t="str">
        <f>Koond_kulud!A810</f>
        <v>09</v>
      </c>
      <c r="B774" t="str">
        <f>Koond_kulud!B810</f>
        <v>0921208</v>
      </c>
      <c r="C774" t="str">
        <f>Koond_kulud!C810</f>
        <v>Muuga-Laekvere Kool</v>
      </c>
      <c r="D774" t="str">
        <f>Koond_kulud!D810</f>
        <v>Põhihariduse otsekulud</v>
      </c>
      <c r="E774" t="str">
        <f>Koond_kulud!E810</f>
        <v>Haridus</v>
      </c>
      <c r="F774" t="str">
        <f>Koond_kulud!F810</f>
        <v>Muuga õppehoone</v>
      </c>
      <c r="G774" t="str">
        <f>Koond_kulud!G810</f>
        <v>ohutusvahendite kontroll</v>
      </c>
      <c r="H774">
        <f>Koond_kulud!H810</f>
        <v>150</v>
      </c>
      <c r="I774">
        <f>Koond_kulud!I810</f>
        <v>0</v>
      </c>
      <c r="J774">
        <f>Koond_kulud!J810</f>
        <v>5511</v>
      </c>
      <c r="K774" t="str">
        <f>Koond_kulud!K810</f>
        <v>Kinnistute, hoonete ja ruumide majandamiskulud</v>
      </c>
      <c r="L774">
        <f>Koond_kulud!L810</f>
        <v>55</v>
      </c>
      <c r="M774" t="str">
        <f>Koond_kulud!M810</f>
        <v>55</v>
      </c>
      <c r="N774" t="str">
        <f>Koond_kulud!N810</f>
        <v>Muud tegevuskulud</v>
      </c>
      <c r="O774" t="str">
        <f>Koond_kulud!O810</f>
        <v>Majandamiskulud</v>
      </c>
      <c r="P774" t="str">
        <f>Koond_kulud!P810</f>
        <v>Põhitegevuse kulu</v>
      </c>
      <c r="Q774">
        <f>Koond_kulud!Q810</f>
        <v>0</v>
      </c>
    </row>
    <row r="775" spans="1:17" hidden="1" x14ac:dyDescent="0.25">
      <c r="A775" t="str">
        <f>Koond_kulud!A811</f>
        <v>09</v>
      </c>
      <c r="B775" t="str">
        <f>Koond_kulud!B811</f>
        <v>0921208</v>
      </c>
      <c r="C775" t="str">
        <f>Koond_kulud!C811</f>
        <v>Muuga-Laekvere Kool</v>
      </c>
      <c r="D775" t="str">
        <f>Koond_kulud!D811</f>
        <v>Põhihariduse otsekulud</v>
      </c>
      <c r="E775" t="str">
        <f>Koond_kulud!E811</f>
        <v>Haridus</v>
      </c>
      <c r="F775" t="str">
        <f>Koond_kulud!F811</f>
        <v>Muuga õppehoone</v>
      </c>
      <c r="G775" t="str">
        <f>Koond_kulud!G811</f>
        <v>büroo</v>
      </c>
      <c r="H775">
        <f>Koond_kulud!H811</f>
        <v>400</v>
      </c>
      <c r="I775">
        <f>Koond_kulud!I811</f>
        <v>0</v>
      </c>
      <c r="J775">
        <f>Koond_kulud!J811</f>
        <v>5500</v>
      </c>
      <c r="K775" t="str">
        <f>Koond_kulud!K811</f>
        <v>Administreerimiskulud</v>
      </c>
      <c r="L775">
        <f>Koond_kulud!L811</f>
        <v>55</v>
      </c>
      <c r="M775" t="str">
        <f>Koond_kulud!M811</f>
        <v>55</v>
      </c>
      <c r="N775" t="str">
        <f>Koond_kulud!N811</f>
        <v>Muud tegevuskulud</v>
      </c>
      <c r="O775" t="str">
        <f>Koond_kulud!O811</f>
        <v>Majandamiskulud</v>
      </c>
      <c r="P775" t="str">
        <f>Koond_kulud!P811</f>
        <v>Põhitegevuse kulu</v>
      </c>
      <c r="Q775">
        <f>Koond_kulud!Q811</f>
        <v>0</v>
      </c>
    </row>
    <row r="776" spans="1:17" hidden="1" x14ac:dyDescent="0.25">
      <c r="A776" t="str">
        <f>Koond_kulud!A812</f>
        <v>09</v>
      </c>
      <c r="B776" t="str">
        <f>Koond_kulud!B812</f>
        <v>0921208</v>
      </c>
      <c r="C776" t="str">
        <f>Koond_kulud!C812</f>
        <v>Muuga-Laekvere Kool</v>
      </c>
      <c r="D776" t="str">
        <f>Koond_kulud!D812</f>
        <v>Põhihariduse otsekulud</v>
      </c>
      <c r="E776" t="str">
        <f>Koond_kulud!E812</f>
        <v>Haridus</v>
      </c>
      <c r="F776" t="str">
        <f>Koond_kulud!F812</f>
        <v>Muuga õppehoone</v>
      </c>
      <c r="G776" t="str">
        <f>Koond_kulud!G812</f>
        <v>tahm</v>
      </c>
      <c r="H776">
        <f>Koond_kulud!H812</f>
        <v>250</v>
      </c>
      <c r="I776">
        <f>Koond_kulud!I812</f>
        <v>0</v>
      </c>
      <c r="J776">
        <f>Koond_kulud!J812</f>
        <v>5500</v>
      </c>
      <c r="K776" t="str">
        <f>Koond_kulud!K812</f>
        <v>Administreerimiskulud</v>
      </c>
      <c r="L776">
        <f>Koond_kulud!L812</f>
        <v>55</v>
      </c>
      <c r="M776" t="str">
        <f>Koond_kulud!M812</f>
        <v>55</v>
      </c>
      <c r="N776" t="str">
        <f>Koond_kulud!N812</f>
        <v>Muud tegevuskulud</v>
      </c>
      <c r="O776" t="str">
        <f>Koond_kulud!O812</f>
        <v>Majandamiskulud</v>
      </c>
      <c r="P776" t="str">
        <f>Koond_kulud!P812</f>
        <v>Põhitegevuse kulu</v>
      </c>
      <c r="Q776">
        <f>Koond_kulud!Q812</f>
        <v>0</v>
      </c>
    </row>
    <row r="777" spans="1:17" hidden="1" x14ac:dyDescent="0.25">
      <c r="A777" t="str">
        <f>Koond_kulud!A813</f>
        <v>09</v>
      </c>
      <c r="B777" t="str">
        <f>Koond_kulud!B813</f>
        <v>0921208</v>
      </c>
      <c r="C777" t="str">
        <f>Koond_kulud!C813</f>
        <v>Muuga-Laekvere Kool</v>
      </c>
      <c r="D777" t="str">
        <f>Koond_kulud!D813</f>
        <v>Põhihariduse otsekulud</v>
      </c>
      <c r="E777" t="str">
        <f>Koond_kulud!E813</f>
        <v>Haridus</v>
      </c>
      <c r="F777" t="str">
        <f>Koond_kulud!F813</f>
        <v>Muuga õppehoone</v>
      </c>
      <c r="G777" t="str">
        <f>Koond_kulud!G813</f>
        <v>trükised</v>
      </c>
      <c r="H777">
        <f>Koond_kulud!H813</f>
        <v>170</v>
      </c>
      <c r="I777">
        <f>Koond_kulud!I813</f>
        <v>0</v>
      </c>
      <c r="J777">
        <f>Koond_kulud!J813</f>
        <v>5500</v>
      </c>
      <c r="K777" t="str">
        <f>Koond_kulud!K813</f>
        <v>Administreerimiskulud</v>
      </c>
      <c r="L777">
        <f>Koond_kulud!L813</f>
        <v>55</v>
      </c>
      <c r="M777" t="str">
        <f>Koond_kulud!M813</f>
        <v>55</v>
      </c>
      <c r="N777" t="str">
        <f>Koond_kulud!N813</f>
        <v>Muud tegevuskulud</v>
      </c>
      <c r="O777" t="str">
        <f>Koond_kulud!O813</f>
        <v>Majandamiskulud</v>
      </c>
      <c r="P777" t="str">
        <f>Koond_kulud!P813</f>
        <v>Põhitegevuse kulu</v>
      </c>
      <c r="Q777">
        <f>Koond_kulud!Q813</f>
        <v>0</v>
      </c>
    </row>
    <row r="778" spans="1:17" hidden="1" x14ac:dyDescent="0.25">
      <c r="A778" t="str">
        <f>Koond_kulud!A814</f>
        <v>09</v>
      </c>
      <c r="B778" t="str">
        <f>Koond_kulud!B814</f>
        <v>0921208</v>
      </c>
      <c r="C778" t="str">
        <f>Koond_kulud!C814</f>
        <v>Muuga-Laekvere Kool</v>
      </c>
      <c r="D778" t="str">
        <f>Koond_kulud!D814</f>
        <v>Põhihariduse otsekulud</v>
      </c>
      <c r="E778" t="str">
        <f>Koond_kulud!E814</f>
        <v>Haridus</v>
      </c>
      <c r="F778" t="str">
        <f>Koond_kulud!F814</f>
        <v>Muuga õppehoone</v>
      </c>
      <c r="G778" t="str">
        <f>Koond_kulud!G814</f>
        <v>post</v>
      </c>
      <c r="H778">
        <f>Koond_kulud!H814</f>
        <v>50</v>
      </c>
      <c r="I778">
        <f>Koond_kulud!I814</f>
        <v>0</v>
      </c>
      <c r="J778">
        <f>Koond_kulud!J814</f>
        <v>5500</v>
      </c>
      <c r="K778" t="str">
        <f>Koond_kulud!K814</f>
        <v>Administreerimiskulud</v>
      </c>
      <c r="L778">
        <f>Koond_kulud!L814</f>
        <v>55</v>
      </c>
      <c r="M778" t="str">
        <f>Koond_kulud!M814</f>
        <v>55</v>
      </c>
      <c r="N778" t="str">
        <f>Koond_kulud!N814</f>
        <v>Muud tegevuskulud</v>
      </c>
      <c r="O778" t="str">
        <f>Koond_kulud!O814</f>
        <v>Majandamiskulud</v>
      </c>
      <c r="P778" t="str">
        <f>Koond_kulud!P814</f>
        <v>Põhitegevuse kulu</v>
      </c>
      <c r="Q778">
        <f>Koond_kulud!Q814</f>
        <v>0</v>
      </c>
    </row>
    <row r="779" spans="1:17" hidden="1" x14ac:dyDescent="0.25">
      <c r="A779" t="str">
        <f>Koond_kulud!A815</f>
        <v>09</v>
      </c>
      <c r="B779" t="str">
        <f>Koond_kulud!B815</f>
        <v>0921208</v>
      </c>
      <c r="C779" t="str">
        <f>Koond_kulud!C815</f>
        <v>Muuga-Laekvere Kool</v>
      </c>
      <c r="D779" t="str">
        <f>Koond_kulud!D815</f>
        <v>Põhihariduse otsekulud</v>
      </c>
      <c r="E779" t="str">
        <f>Koond_kulud!E815</f>
        <v>Haridus</v>
      </c>
      <c r="F779" t="str">
        <f>Koond_kulud!F815</f>
        <v>Muuga õppehoone</v>
      </c>
      <c r="G779" t="str">
        <f>Koond_kulud!G815</f>
        <v>telefon</v>
      </c>
      <c r="H779">
        <f>Koond_kulud!H815</f>
        <v>300</v>
      </c>
      <c r="I779">
        <f>Koond_kulud!I815</f>
        <v>0</v>
      </c>
      <c r="J779">
        <f>Koond_kulud!J815</f>
        <v>5500</v>
      </c>
      <c r="K779" t="str">
        <f>Koond_kulud!K815</f>
        <v>Administreerimiskulud</v>
      </c>
      <c r="L779">
        <f>Koond_kulud!L815</f>
        <v>55</v>
      </c>
      <c r="M779" t="str">
        <f>Koond_kulud!M815</f>
        <v>55</v>
      </c>
      <c r="N779" t="str">
        <f>Koond_kulud!N815</f>
        <v>Muud tegevuskulud</v>
      </c>
      <c r="O779" t="str">
        <f>Koond_kulud!O815</f>
        <v>Majandamiskulud</v>
      </c>
      <c r="P779" t="str">
        <f>Koond_kulud!P815</f>
        <v>Põhitegevuse kulu</v>
      </c>
      <c r="Q779">
        <f>Koond_kulud!Q815</f>
        <v>0</v>
      </c>
    </row>
    <row r="780" spans="1:17" hidden="1" x14ac:dyDescent="0.25">
      <c r="A780" t="str">
        <f>Koond_kulud!A816</f>
        <v>09</v>
      </c>
      <c r="B780" t="str">
        <f>Koond_kulud!B816</f>
        <v>0921208</v>
      </c>
      <c r="C780" t="str">
        <f>Koond_kulud!C816</f>
        <v>Muuga-Laekvere Kool</v>
      </c>
      <c r="D780" t="str">
        <f>Koond_kulud!D816</f>
        <v>Põhihariduse otsekulud</v>
      </c>
      <c r="E780" t="str">
        <f>Koond_kulud!E816</f>
        <v>Haridus</v>
      </c>
      <c r="F780" t="str">
        <f>Koond_kulud!F816</f>
        <v>Muuga õppehoone</v>
      </c>
      <c r="G780" t="str">
        <f>Koond_kulud!G816</f>
        <v>mobiiltel</v>
      </c>
      <c r="H780">
        <f>Koond_kulud!H816</f>
        <v>0</v>
      </c>
      <c r="I780">
        <f>Koond_kulud!I816</f>
        <v>0</v>
      </c>
      <c r="J780">
        <f>Koond_kulud!J816</f>
        <v>5500</v>
      </c>
      <c r="K780" t="str">
        <f>Koond_kulud!K816</f>
        <v>Administreerimiskulud</v>
      </c>
      <c r="L780">
        <f>Koond_kulud!L816</f>
        <v>55</v>
      </c>
      <c r="M780" t="str">
        <f>Koond_kulud!M816</f>
        <v>55</v>
      </c>
      <c r="N780" t="str">
        <f>Koond_kulud!N816</f>
        <v>Muud tegevuskulud</v>
      </c>
      <c r="O780" t="str">
        <f>Koond_kulud!O816</f>
        <v>Majandamiskulud</v>
      </c>
      <c r="P780" t="str">
        <f>Koond_kulud!P816</f>
        <v>Põhitegevuse kulu</v>
      </c>
      <c r="Q780">
        <f>Koond_kulud!Q816</f>
        <v>0</v>
      </c>
    </row>
    <row r="781" spans="1:17" hidden="1" x14ac:dyDescent="0.25">
      <c r="A781" t="str">
        <f>Koond_kulud!A817</f>
        <v>09</v>
      </c>
      <c r="B781" t="str">
        <f>Koond_kulud!B817</f>
        <v>0921208</v>
      </c>
      <c r="C781" t="str">
        <f>Koond_kulud!C817</f>
        <v>Muuga-Laekvere Kool</v>
      </c>
      <c r="D781" t="str">
        <f>Koond_kulud!D817</f>
        <v>Põhihariduse otsekulud</v>
      </c>
      <c r="E781" t="str">
        <f>Koond_kulud!E817</f>
        <v>Haridus</v>
      </c>
      <c r="F781" t="str">
        <f>Koond_kulud!F817</f>
        <v>Muuga õppehoone</v>
      </c>
      <c r="G781" t="str">
        <f>Koond_kulud!G817</f>
        <v>kingitused</v>
      </c>
      <c r="H781">
        <f>Koond_kulud!H817</f>
        <v>150</v>
      </c>
      <c r="I781">
        <f>Koond_kulud!I817</f>
        <v>0</v>
      </c>
      <c r="J781">
        <f>Koond_kulud!J817</f>
        <v>5500</v>
      </c>
      <c r="K781" t="str">
        <f>Koond_kulud!K817</f>
        <v>Administreerimiskulud</v>
      </c>
      <c r="L781">
        <f>Koond_kulud!L817</f>
        <v>55</v>
      </c>
      <c r="M781" t="str">
        <f>Koond_kulud!M817</f>
        <v>55</v>
      </c>
      <c r="N781" t="str">
        <f>Koond_kulud!N817</f>
        <v>Muud tegevuskulud</v>
      </c>
      <c r="O781" t="str">
        <f>Koond_kulud!O817</f>
        <v>Majandamiskulud</v>
      </c>
      <c r="P781" t="str">
        <f>Koond_kulud!P817</f>
        <v>Põhitegevuse kulu</v>
      </c>
      <c r="Q781">
        <f>Koond_kulud!Q817</f>
        <v>0</v>
      </c>
    </row>
    <row r="782" spans="1:17" hidden="1" x14ac:dyDescent="0.25">
      <c r="A782" t="str">
        <f>Koond_kulud!A818</f>
        <v>09</v>
      </c>
      <c r="B782" t="str">
        <f>Koond_kulud!B818</f>
        <v>0921208</v>
      </c>
      <c r="C782" t="str">
        <f>Koond_kulud!C818</f>
        <v>Muuga-Laekvere Kool</v>
      </c>
      <c r="D782" t="str">
        <f>Koond_kulud!D818</f>
        <v>Põhihariduse otsekulud</v>
      </c>
      <c r="E782" t="str">
        <f>Koond_kulud!E818</f>
        <v>Haridus</v>
      </c>
      <c r="F782" t="str">
        <f>Koond_kulud!F818</f>
        <v>Muuga õppehoone</v>
      </c>
      <c r="G782" t="str">
        <f>Koond_kulud!G818</f>
        <v>esindamine</v>
      </c>
      <c r="H782">
        <f>Koond_kulud!H818</f>
        <v>150</v>
      </c>
      <c r="I782">
        <f>Koond_kulud!I818</f>
        <v>0</v>
      </c>
      <c r="J782">
        <f>Koond_kulud!J818</f>
        <v>5500</v>
      </c>
      <c r="K782" t="str">
        <f>Koond_kulud!K818</f>
        <v>Administreerimiskulud</v>
      </c>
      <c r="L782">
        <f>Koond_kulud!L818</f>
        <v>55</v>
      </c>
      <c r="M782" t="str">
        <f>Koond_kulud!M818</f>
        <v>55</v>
      </c>
      <c r="N782" t="str">
        <f>Koond_kulud!N818</f>
        <v>Muud tegevuskulud</v>
      </c>
      <c r="O782" t="str">
        <f>Koond_kulud!O818</f>
        <v>Majandamiskulud</v>
      </c>
      <c r="P782" t="str">
        <f>Koond_kulud!P818</f>
        <v>Põhitegevuse kulu</v>
      </c>
      <c r="Q782">
        <f>Koond_kulud!Q818</f>
        <v>0</v>
      </c>
    </row>
    <row r="783" spans="1:17" hidden="1" x14ac:dyDescent="0.25">
      <c r="A783" t="str">
        <f>Koond_kulud!A819</f>
        <v>09</v>
      </c>
      <c r="B783" t="str">
        <f>Koond_kulud!B819</f>
        <v>0921208</v>
      </c>
      <c r="C783" t="str">
        <f>Koond_kulud!C819</f>
        <v>Muuga-Laekvere Kool</v>
      </c>
      <c r="D783" t="str">
        <f>Koond_kulud!D819</f>
        <v>Põhihariduse otsekulud</v>
      </c>
      <c r="E783" t="str">
        <f>Koond_kulud!E819</f>
        <v>Haridus</v>
      </c>
      <c r="F783" t="str">
        <f>Koond_kulud!F819</f>
        <v>Muuga õppehoone</v>
      </c>
      <c r="G783" t="str">
        <f>Koond_kulud!G819</f>
        <v>kuulutused</v>
      </c>
      <c r="H783">
        <f>Koond_kulud!H819</f>
        <v>50</v>
      </c>
      <c r="I783">
        <f>Koond_kulud!I819</f>
        <v>0</v>
      </c>
      <c r="J783">
        <f>Koond_kulud!J819</f>
        <v>5500</v>
      </c>
      <c r="K783" t="str">
        <f>Koond_kulud!K819</f>
        <v>Administreerimiskulud</v>
      </c>
      <c r="L783">
        <f>Koond_kulud!L819</f>
        <v>55</v>
      </c>
      <c r="M783" t="str">
        <f>Koond_kulud!M819</f>
        <v>55</v>
      </c>
      <c r="N783" t="str">
        <f>Koond_kulud!N819</f>
        <v>Muud tegevuskulud</v>
      </c>
      <c r="O783" t="str">
        <f>Koond_kulud!O819</f>
        <v>Majandamiskulud</v>
      </c>
      <c r="P783" t="str">
        <f>Koond_kulud!P819</f>
        <v>Põhitegevuse kulu</v>
      </c>
      <c r="Q783">
        <f>Koond_kulud!Q819</f>
        <v>0</v>
      </c>
    </row>
    <row r="784" spans="1:17" hidden="1" x14ac:dyDescent="0.25">
      <c r="A784" t="str">
        <f>Koond_kulud!A820</f>
        <v>09</v>
      </c>
      <c r="B784" t="str">
        <f>Koond_kulud!B820</f>
        <v>0921208</v>
      </c>
      <c r="C784" t="str">
        <f>Koond_kulud!C820</f>
        <v>Muuga-Laekvere Kool</v>
      </c>
      <c r="D784" t="str">
        <f>Koond_kulud!D820</f>
        <v>Põhihariduse otsekulud</v>
      </c>
      <c r="E784" t="str">
        <f>Koond_kulud!E820</f>
        <v>Haridus</v>
      </c>
      <c r="F784" t="str">
        <f>Koond_kulud!F820</f>
        <v>Muuga õppehoone</v>
      </c>
      <c r="G784" t="str">
        <f>Koond_kulud!G820</f>
        <v>Muud admin.kulud</v>
      </c>
      <c r="H784">
        <f>Koond_kulud!H820</f>
        <v>150</v>
      </c>
      <c r="I784">
        <f>Koond_kulud!I820</f>
        <v>0</v>
      </c>
      <c r="J784">
        <f>Koond_kulud!J820</f>
        <v>5500</v>
      </c>
      <c r="K784" t="str">
        <f>Koond_kulud!K820</f>
        <v>Administreerimiskulud</v>
      </c>
      <c r="L784">
        <f>Koond_kulud!L820</f>
        <v>55</v>
      </c>
      <c r="M784" t="str">
        <f>Koond_kulud!M820</f>
        <v>55</v>
      </c>
      <c r="N784" t="str">
        <f>Koond_kulud!N820</f>
        <v>Muud tegevuskulud</v>
      </c>
      <c r="O784" t="str">
        <f>Koond_kulud!O820</f>
        <v>Majandamiskulud</v>
      </c>
      <c r="P784" t="str">
        <f>Koond_kulud!P820</f>
        <v>Põhitegevuse kulu</v>
      </c>
      <c r="Q784">
        <f>Koond_kulud!Q820</f>
        <v>0</v>
      </c>
    </row>
    <row r="785" spans="1:17" hidden="1" x14ac:dyDescent="0.25">
      <c r="A785" t="str">
        <f>Koond_kulud!A821</f>
        <v>09</v>
      </c>
      <c r="B785" t="str">
        <f>Koond_kulud!B821</f>
        <v>0921208</v>
      </c>
      <c r="C785" t="str">
        <f>Koond_kulud!C821</f>
        <v>Muuga-Laekvere Kool</v>
      </c>
      <c r="D785" t="str">
        <f>Koond_kulud!D821</f>
        <v>Põhihariduse otsekulud</v>
      </c>
      <c r="E785" t="str">
        <f>Koond_kulud!E821</f>
        <v>Haridus</v>
      </c>
      <c r="F785" t="str">
        <f>Koond_kulud!F821</f>
        <v>Muuga õppehoone</v>
      </c>
      <c r="G785" t="str">
        <f>Koond_kulud!G821</f>
        <v>koolitused</v>
      </c>
      <c r="H785">
        <f>Koond_kulud!H821</f>
        <v>184.64</v>
      </c>
      <c r="I785">
        <f>Koond_kulud!I821</f>
        <v>0</v>
      </c>
      <c r="J785">
        <f>Koond_kulud!J821</f>
        <v>5504</v>
      </c>
      <c r="K785" t="str">
        <f>Koond_kulud!K821</f>
        <v>Koolituskulud</v>
      </c>
      <c r="L785">
        <f>Koond_kulud!L821</f>
        <v>55</v>
      </c>
      <c r="M785" t="str">
        <f>Koond_kulud!M821</f>
        <v>55</v>
      </c>
      <c r="N785" t="str">
        <f>Koond_kulud!N821</f>
        <v>Muud tegevuskulud</v>
      </c>
      <c r="O785" t="str">
        <f>Koond_kulud!O821</f>
        <v>Majandamiskulud</v>
      </c>
      <c r="P785" t="str">
        <f>Koond_kulud!P821</f>
        <v>Põhitegevuse kulu</v>
      </c>
      <c r="Q785">
        <f>Koond_kulud!Q821</f>
        <v>0</v>
      </c>
    </row>
    <row r="786" spans="1:17" hidden="1" x14ac:dyDescent="0.25">
      <c r="A786" t="str">
        <f>Koond_kulud!A822</f>
        <v>09</v>
      </c>
      <c r="B786" t="str">
        <f>Koond_kulud!B822</f>
        <v>0921208</v>
      </c>
      <c r="C786" t="str">
        <f>Koond_kulud!C822</f>
        <v>Muuga-Laekvere Kool</v>
      </c>
      <c r="D786" t="str">
        <f>Koond_kulud!D822</f>
        <v>Põhihariduse otsekulud</v>
      </c>
      <c r="E786" t="str">
        <f>Koond_kulud!E822</f>
        <v>Haridus</v>
      </c>
      <c r="F786" t="str">
        <f>Koond_kulud!F822</f>
        <v>Muuga õppehoone</v>
      </c>
      <c r="G786" t="str">
        <f>Koond_kulud!G822</f>
        <v>isikliku sõiduki kasutamine</v>
      </c>
      <c r="H786">
        <f>Koond_kulud!H822</f>
        <v>600</v>
      </c>
      <c r="I786">
        <f>Koond_kulud!I822</f>
        <v>0</v>
      </c>
      <c r="J786">
        <f>Koond_kulud!J822</f>
        <v>5513</v>
      </c>
      <c r="K786" t="str">
        <f>Koond_kulud!K822</f>
        <v>Sõidukite ülalpidamise kulud</v>
      </c>
      <c r="L786">
        <f>Koond_kulud!L822</f>
        <v>55</v>
      </c>
      <c r="M786" t="str">
        <f>Koond_kulud!M822</f>
        <v>55</v>
      </c>
      <c r="N786" t="str">
        <f>Koond_kulud!N822</f>
        <v>Muud tegevuskulud</v>
      </c>
      <c r="O786" t="str">
        <f>Koond_kulud!O822</f>
        <v>Majandamiskulud</v>
      </c>
      <c r="P786" t="str">
        <f>Koond_kulud!P822</f>
        <v>Põhitegevuse kulu</v>
      </c>
      <c r="Q786">
        <f>Koond_kulud!Q822</f>
        <v>0</v>
      </c>
    </row>
    <row r="787" spans="1:17" hidden="1" x14ac:dyDescent="0.25">
      <c r="A787" t="str">
        <f>Koond_kulud!A823</f>
        <v>09</v>
      </c>
      <c r="B787" t="str">
        <f>Koond_kulud!B823</f>
        <v>0921208</v>
      </c>
      <c r="C787" t="str">
        <f>Koond_kulud!C823</f>
        <v>Muuga-Laekvere Kool</v>
      </c>
      <c r="D787" t="str">
        <f>Koond_kulud!D823</f>
        <v>Põhihariduse otsekulud</v>
      </c>
      <c r="E787" t="str">
        <f>Koond_kulud!E823</f>
        <v>Haridus</v>
      </c>
      <c r="F787" t="str">
        <f>Koond_kulud!F823</f>
        <v>Muuga õppehoone</v>
      </c>
      <c r="G787" t="str">
        <f>Koond_kulud!G823</f>
        <v>Kooli bussi haldamine</v>
      </c>
      <c r="H787">
        <f>Koond_kulud!H823</f>
        <v>3500</v>
      </c>
      <c r="I787">
        <f>Koond_kulud!I823</f>
        <v>0</v>
      </c>
      <c r="J787">
        <f>Koond_kulud!J823</f>
        <v>5513</v>
      </c>
      <c r="K787" t="str">
        <f>Koond_kulud!K823</f>
        <v>Sõidukite ülalpidamise kulud</v>
      </c>
      <c r="L787">
        <f>Koond_kulud!L823</f>
        <v>55</v>
      </c>
      <c r="M787" t="str">
        <f>Koond_kulud!M823</f>
        <v>55</v>
      </c>
      <c r="N787" t="str">
        <f>Koond_kulud!N823</f>
        <v>Muud tegevuskulud</v>
      </c>
      <c r="O787" t="str">
        <f>Koond_kulud!O823</f>
        <v>Majandamiskulud</v>
      </c>
      <c r="P787" t="str">
        <f>Koond_kulud!P823</f>
        <v>Põhitegevuse kulu</v>
      </c>
      <c r="Q787">
        <f>Koond_kulud!Q823</f>
        <v>0</v>
      </c>
    </row>
    <row r="788" spans="1:17" hidden="1" x14ac:dyDescent="0.25">
      <c r="A788" t="str">
        <f>Koond_kulud!A824</f>
        <v>09</v>
      </c>
      <c r="B788" t="str">
        <f>Koond_kulud!B824</f>
        <v>0921208</v>
      </c>
      <c r="C788" t="str">
        <f>Koond_kulud!C824</f>
        <v>Muuga-Laekvere Kool</v>
      </c>
      <c r="D788" t="str">
        <f>Koond_kulud!D824</f>
        <v>Põhihariduse otsekulud</v>
      </c>
      <c r="E788" t="str">
        <f>Koond_kulud!E824</f>
        <v>Haridus</v>
      </c>
      <c r="F788" t="str">
        <f>Koond_kulud!F824</f>
        <v>Muuga õppehoone</v>
      </c>
      <c r="G788" t="str">
        <f>Koond_kulud!G824</f>
        <v>hooldus ja remont</v>
      </c>
      <c r="H788">
        <f>Koond_kulud!H824</f>
        <v>500</v>
      </c>
      <c r="I788">
        <f>Koond_kulud!I824</f>
        <v>0</v>
      </c>
      <c r="J788">
        <f>Koond_kulud!J824</f>
        <v>5515</v>
      </c>
      <c r="K788" t="str">
        <f>Koond_kulud!K824</f>
        <v>Inventari kulud, v.a infotehnoloogia ja kaitseotstarbelised kulud</v>
      </c>
      <c r="L788">
        <f>Koond_kulud!L824</f>
        <v>55</v>
      </c>
      <c r="M788" t="str">
        <f>Koond_kulud!M824</f>
        <v>55</v>
      </c>
      <c r="N788" t="str">
        <f>Koond_kulud!N824</f>
        <v>Muud tegevuskulud</v>
      </c>
      <c r="O788" t="str">
        <f>Koond_kulud!O824</f>
        <v>Majandamiskulud</v>
      </c>
      <c r="P788" t="str">
        <f>Koond_kulud!P824</f>
        <v>Põhitegevuse kulu</v>
      </c>
      <c r="Q788">
        <f>Koond_kulud!Q824</f>
        <v>0</v>
      </c>
    </row>
    <row r="789" spans="1:17" hidden="1" x14ac:dyDescent="0.25">
      <c r="A789" t="str">
        <f>Koond_kulud!A825</f>
        <v>09</v>
      </c>
      <c r="B789" t="str">
        <f>Koond_kulud!B825</f>
        <v>0921208</v>
      </c>
      <c r="C789" t="str">
        <f>Koond_kulud!C825</f>
        <v>Muuga-Laekvere Kool</v>
      </c>
      <c r="D789" t="str">
        <f>Koond_kulud!D825</f>
        <v>Põhihariduse otsekulud</v>
      </c>
      <c r="E789" t="str">
        <f>Koond_kulud!E825</f>
        <v>Haridus</v>
      </c>
      <c r="F789" t="str">
        <f>Koond_kulud!F825</f>
        <v>Muuga õppehoone</v>
      </c>
      <c r="G789" t="str">
        <f>Koond_kulud!G825</f>
        <v>muud inventari kulud</v>
      </c>
      <c r="H789">
        <f>Koond_kulud!H825</f>
        <v>700</v>
      </c>
      <c r="I789">
        <f>Koond_kulud!I825</f>
        <v>0</v>
      </c>
      <c r="J789">
        <f>Koond_kulud!J825</f>
        <v>5515</v>
      </c>
      <c r="K789" t="str">
        <f>Koond_kulud!K825</f>
        <v>Inventari kulud, v.a infotehnoloogia ja kaitseotstarbelised kulud</v>
      </c>
      <c r="L789">
        <f>Koond_kulud!L825</f>
        <v>55</v>
      </c>
      <c r="M789" t="str">
        <f>Koond_kulud!M825</f>
        <v>55</v>
      </c>
      <c r="N789" t="str">
        <f>Koond_kulud!N825</f>
        <v>Muud tegevuskulud</v>
      </c>
      <c r="O789" t="str">
        <f>Koond_kulud!O825</f>
        <v>Majandamiskulud</v>
      </c>
      <c r="P789" t="str">
        <f>Koond_kulud!P825</f>
        <v>Põhitegevuse kulu</v>
      </c>
      <c r="Q789">
        <f>Koond_kulud!Q825</f>
        <v>0</v>
      </c>
    </row>
    <row r="790" spans="1:17" hidden="1" x14ac:dyDescent="0.25">
      <c r="A790" t="str">
        <f>Koond_kulud!A826</f>
        <v>09</v>
      </c>
      <c r="B790" t="str">
        <f>Koond_kulud!B826</f>
        <v>0921208</v>
      </c>
      <c r="C790" t="str">
        <f>Koond_kulud!C826</f>
        <v>Muuga-Laekvere Kool</v>
      </c>
      <c r="D790" t="str">
        <f>Koond_kulud!D826</f>
        <v>Põhihariduse otsekulud</v>
      </c>
      <c r="E790" t="str">
        <f>Koond_kulud!E826</f>
        <v>Haridus</v>
      </c>
      <c r="F790" t="str">
        <f>Koond_kulud!F826</f>
        <v>Muuga õppehoone</v>
      </c>
      <c r="G790" t="str">
        <f>Koond_kulud!G826</f>
        <v>rent</v>
      </c>
      <c r="H790">
        <f>Koond_kulud!H826</f>
        <v>300</v>
      </c>
      <c r="I790">
        <f>Koond_kulud!I826</f>
        <v>0</v>
      </c>
      <c r="J790">
        <f>Koond_kulud!J826</f>
        <v>5515</v>
      </c>
      <c r="K790" t="str">
        <f>Koond_kulud!K826</f>
        <v>Inventari kulud, v.a infotehnoloogia ja kaitseotstarbelised kulud</v>
      </c>
      <c r="L790">
        <f>Koond_kulud!L826</f>
        <v>55</v>
      </c>
      <c r="M790" t="str">
        <f>Koond_kulud!M826</f>
        <v>55</v>
      </c>
      <c r="N790" t="str">
        <f>Koond_kulud!N826</f>
        <v>Muud tegevuskulud</v>
      </c>
      <c r="O790" t="str">
        <f>Koond_kulud!O826</f>
        <v>Majandamiskulud</v>
      </c>
      <c r="P790" t="str">
        <f>Koond_kulud!P826</f>
        <v>Põhitegevuse kulu</v>
      </c>
      <c r="Q790">
        <f>Koond_kulud!Q826</f>
        <v>0</v>
      </c>
    </row>
    <row r="791" spans="1:17" hidden="1" x14ac:dyDescent="0.25">
      <c r="A791" t="str">
        <f>Koond_kulud!A827</f>
        <v>09</v>
      </c>
      <c r="B791" t="str">
        <f>Koond_kulud!B827</f>
        <v>0921208</v>
      </c>
      <c r="C791" t="str">
        <f>Koond_kulud!C827</f>
        <v>Muuga-Laekvere Kool</v>
      </c>
      <c r="D791" t="str">
        <f>Koond_kulud!D827</f>
        <v>Põhihariduse otsekulud</v>
      </c>
      <c r="E791" t="str">
        <f>Koond_kulud!E827</f>
        <v>Haridus</v>
      </c>
      <c r="F791" t="str">
        <f>Koond_kulud!F827</f>
        <v>Muuga õppehoone</v>
      </c>
      <c r="G791" t="str">
        <f>Koond_kulud!G827</f>
        <v>Toiduained</v>
      </c>
      <c r="H791">
        <f>Koond_kulud!H827</f>
        <v>5985</v>
      </c>
      <c r="I791" t="str">
        <f>Koond_kulud!I827</f>
        <v>Ped.</v>
      </c>
      <c r="J791">
        <f>Koond_kulud!J827</f>
        <v>5521</v>
      </c>
      <c r="K791" t="str">
        <f>Koond_kulud!K827</f>
        <v>Toiduained ja toitlustusteenused</v>
      </c>
      <c r="L791">
        <f>Koond_kulud!L827</f>
        <v>55</v>
      </c>
      <c r="M791" t="str">
        <f>Koond_kulud!M827</f>
        <v>55</v>
      </c>
      <c r="N791" t="str">
        <f>Koond_kulud!N827</f>
        <v>Muud tegevuskulud</v>
      </c>
      <c r="O791" t="str">
        <f>Koond_kulud!O827</f>
        <v>Majandamiskulud</v>
      </c>
      <c r="P791" t="str">
        <f>Koond_kulud!P827</f>
        <v>Põhitegevuse kulu</v>
      </c>
      <c r="Q791">
        <f>Koond_kulud!Q827</f>
        <v>0</v>
      </c>
    </row>
    <row r="792" spans="1:17" hidden="1" x14ac:dyDescent="0.25">
      <c r="A792" t="str">
        <f>Koond_kulud!A828</f>
        <v>09</v>
      </c>
      <c r="B792" t="str">
        <f>Koond_kulud!B828</f>
        <v>0921208</v>
      </c>
      <c r="C792" t="str">
        <f>Koond_kulud!C828</f>
        <v>Muuga-Laekvere Kool</v>
      </c>
      <c r="D792" t="str">
        <f>Koond_kulud!D828</f>
        <v>Põhihariduse otsekulud</v>
      </c>
      <c r="E792" t="str">
        <f>Koond_kulud!E828</f>
        <v>Haridus</v>
      </c>
      <c r="F792" t="str">
        <f>Koond_kulud!F828</f>
        <v>Muuga õppehoone</v>
      </c>
      <c r="G792" t="str">
        <f>Koond_kulud!G828</f>
        <v>esmaabi</v>
      </c>
      <c r="H792">
        <f>Koond_kulud!H828</f>
        <v>100</v>
      </c>
      <c r="I792">
        <f>Koond_kulud!I828</f>
        <v>0</v>
      </c>
      <c r="J792">
        <f>Koond_kulud!J828</f>
        <v>5522</v>
      </c>
      <c r="K792" t="str">
        <f>Koond_kulud!K828</f>
        <v>Meditsiinikulud ja hügieenitarbed</v>
      </c>
      <c r="L792">
        <f>Koond_kulud!L828</f>
        <v>55</v>
      </c>
      <c r="M792" t="str">
        <f>Koond_kulud!M828</f>
        <v>55</v>
      </c>
      <c r="N792" t="str">
        <f>Koond_kulud!N828</f>
        <v>Muud tegevuskulud</v>
      </c>
      <c r="O792" t="str">
        <f>Koond_kulud!O828</f>
        <v>Majandamiskulud</v>
      </c>
      <c r="P792" t="str">
        <f>Koond_kulud!P828</f>
        <v>Põhitegevuse kulu</v>
      </c>
      <c r="Q792">
        <f>Koond_kulud!Q828</f>
        <v>0</v>
      </c>
    </row>
    <row r="793" spans="1:17" hidden="1" x14ac:dyDescent="0.25">
      <c r="A793" t="str">
        <f>Koond_kulud!A829</f>
        <v>09</v>
      </c>
      <c r="B793" t="str">
        <f>Koond_kulud!B829</f>
        <v>0921208</v>
      </c>
      <c r="C793" t="str">
        <f>Koond_kulud!C829</f>
        <v>Muuga-Laekvere Kool</v>
      </c>
      <c r="D793" t="str">
        <f>Koond_kulud!D829</f>
        <v>Põhihariduse otsekulud</v>
      </c>
      <c r="E793" t="str">
        <f>Koond_kulud!E829</f>
        <v>Haridus</v>
      </c>
      <c r="F793" t="str">
        <f>Koond_kulud!F829</f>
        <v>Muuga õppehoone</v>
      </c>
      <c r="G793" t="str">
        <f>Koond_kulud!G829</f>
        <v>hügieenivahendid</v>
      </c>
      <c r="H793">
        <f>Koond_kulud!H829</f>
        <v>600</v>
      </c>
      <c r="I793">
        <f>Koond_kulud!I829</f>
        <v>0</v>
      </c>
      <c r="J793">
        <f>Koond_kulud!J829</f>
        <v>5522</v>
      </c>
      <c r="K793" t="str">
        <f>Koond_kulud!K829</f>
        <v>Meditsiinikulud ja hügieenitarbed</v>
      </c>
      <c r="L793">
        <f>Koond_kulud!L829</f>
        <v>55</v>
      </c>
      <c r="M793" t="str">
        <f>Koond_kulud!M829</f>
        <v>55</v>
      </c>
      <c r="N793" t="str">
        <f>Koond_kulud!N829</f>
        <v>Muud tegevuskulud</v>
      </c>
      <c r="O793" t="str">
        <f>Koond_kulud!O829</f>
        <v>Majandamiskulud</v>
      </c>
      <c r="P793" t="str">
        <f>Koond_kulud!P829</f>
        <v>Põhitegevuse kulu</v>
      </c>
      <c r="Q793">
        <f>Koond_kulud!Q829</f>
        <v>0</v>
      </c>
    </row>
    <row r="794" spans="1:17" hidden="1" x14ac:dyDescent="0.25">
      <c r="A794" t="str">
        <f>Koond_kulud!A830</f>
        <v>09</v>
      </c>
      <c r="B794" t="str">
        <f>Koond_kulud!B830</f>
        <v>0921208</v>
      </c>
      <c r="C794" t="str">
        <f>Koond_kulud!C830</f>
        <v>Muuga-Laekvere Kool</v>
      </c>
      <c r="D794" t="str">
        <f>Koond_kulud!D830</f>
        <v>Põhihariduse otsekulud</v>
      </c>
      <c r="E794" t="str">
        <f>Koond_kulud!E830</f>
        <v>Haridus</v>
      </c>
      <c r="F794" t="str">
        <f>Koond_kulud!F830</f>
        <v>Muuga õppehoone</v>
      </c>
      <c r="G794" t="str">
        <f>Koond_kulud!G830</f>
        <v>tervisekontroll</v>
      </c>
      <c r="H794">
        <f>Koond_kulud!H830</f>
        <v>50</v>
      </c>
      <c r="I794">
        <f>Koond_kulud!I830</f>
        <v>0</v>
      </c>
      <c r="J794">
        <f>Koond_kulud!J830</f>
        <v>5522</v>
      </c>
      <c r="K794" t="str">
        <f>Koond_kulud!K830</f>
        <v>Meditsiinikulud ja hügieenitarbed</v>
      </c>
      <c r="L794">
        <f>Koond_kulud!L830</f>
        <v>55</v>
      </c>
      <c r="M794" t="str">
        <f>Koond_kulud!M830</f>
        <v>55</v>
      </c>
      <c r="N794" t="str">
        <f>Koond_kulud!N830</f>
        <v>Muud tegevuskulud</v>
      </c>
      <c r="O794" t="str">
        <f>Koond_kulud!O830</f>
        <v>Majandamiskulud</v>
      </c>
      <c r="P794" t="str">
        <f>Koond_kulud!P830</f>
        <v>Põhitegevuse kulu</v>
      </c>
      <c r="Q794">
        <f>Koond_kulud!Q830</f>
        <v>0</v>
      </c>
    </row>
    <row r="795" spans="1:17" hidden="1" x14ac:dyDescent="0.25">
      <c r="A795" t="str">
        <f>Koond_kulud!A831</f>
        <v>09</v>
      </c>
      <c r="B795" t="str">
        <f>Koond_kulud!B831</f>
        <v>0921208</v>
      </c>
      <c r="C795" t="str">
        <f>Koond_kulud!C831</f>
        <v>Muuga-Laekvere Kool</v>
      </c>
      <c r="D795" t="str">
        <f>Koond_kulud!D831</f>
        <v>Põhihariduse otsekulud</v>
      </c>
      <c r="E795" t="str">
        <f>Koond_kulud!E831</f>
        <v>Haridus</v>
      </c>
      <c r="F795" t="str">
        <f>Koond_kulud!F831</f>
        <v>Muuga õppehoone</v>
      </c>
      <c r="G795" t="str">
        <f>Koond_kulud!G831</f>
        <v>prillid</v>
      </c>
      <c r="H795">
        <f>Koond_kulud!H831</f>
        <v>300</v>
      </c>
      <c r="I795">
        <f>Koond_kulud!I831</f>
        <v>0</v>
      </c>
      <c r="J795">
        <f>Koond_kulud!J831</f>
        <v>5522</v>
      </c>
      <c r="K795" t="str">
        <f>Koond_kulud!K831</f>
        <v>Meditsiinikulud ja hügieenitarbed</v>
      </c>
      <c r="L795">
        <f>Koond_kulud!L831</f>
        <v>55</v>
      </c>
      <c r="M795" t="str">
        <f>Koond_kulud!M831</f>
        <v>55</v>
      </c>
      <c r="N795" t="str">
        <f>Koond_kulud!N831</f>
        <v>Muud tegevuskulud</v>
      </c>
      <c r="O795" t="str">
        <f>Koond_kulud!O831</f>
        <v>Majandamiskulud</v>
      </c>
      <c r="P795" t="str">
        <f>Koond_kulud!P831</f>
        <v>Põhitegevuse kulu</v>
      </c>
      <c r="Q795">
        <f>Koond_kulud!Q831</f>
        <v>0</v>
      </c>
    </row>
    <row r="796" spans="1:17" hidden="1" x14ac:dyDescent="0.25">
      <c r="A796" t="str">
        <f>Koond_kulud!A832</f>
        <v>09</v>
      </c>
      <c r="B796" t="str">
        <f>Koond_kulud!B832</f>
        <v>0921208</v>
      </c>
      <c r="C796" t="str">
        <f>Koond_kulud!C832</f>
        <v>Muuga-Laekvere Kool</v>
      </c>
      <c r="D796" t="str">
        <f>Koond_kulud!D832</f>
        <v>Põhihariduse otsekulud</v>
      </c>
      <c r="E796" t="str">
        <f>Koond_kulud!E832</f>
        <v>Haridus</v>
      </c>
      <c r="F796" t="str">
        <f>Koond_kulud!F832</f>
        <v>Muuga õppehoone</v>
      </c>
      <c r="G796" t="str">
        <f>Koond_kulud!G832</f>
        <v>õpikud, töövihikud</v>
      </c>
      <c r="H796">
        <f>Koond_kulud!H832</f>
        <v>313.42000000000007</v>
      </c>
      <c r="I796">
        <f>Koond_kulud!I832</f>
        <v>0</v>
      </c>
      <c r="J796">
        <f>Koond_kulud!J832</f>
        <v>5524</v>
      </c>
      <c r="K796" t="str">
        <f>Koond_kulud!K832</f>
        <v>Õppevahendid</v>
      </c>
      <c r="L796">
        <f>Koond_kulud!L832</f>
        <v>55</v>
      </c>
      <c r="M796" t="str">
        <f>Koond_kulud!M832</f>
        <v>55</v>
      </c>
      <c r="N796" t="str">
        <f>Koond_kulud!N832</f>
        <v>Muud tegevuskulud</v>
      </c>
      <c r="O796" t="str">
        <f>Koond_kulud!O832</f>
        <v>Majandamiskulud</v>
      </c>
      <c r="P796" t="str">
        <f>Koond_kulud!P832</f>
        <v>Põhitegevuse kulu</v>
      </c>
      <c r="Q796">
        <f>Koond_kulud!Q832</f>
        <v>0</v>
      </c>
    </row>
    <row r="797" spans="1:17" hidden="1" x14ac:dyDescent="0.25">
      <c r="A797" t="str">
        <f>Koond_kulud!A833</f>
        <v>09</v>
      </c>
      <c r="B797" t="str">
        <f>Koond_kulud!B833</f>
        <v>0921208</v>
      </c>
      <c r="C797" t="str">
        <f>Koond_kulud!C833</f>
        <v>Muuga-Laekvere Kool</v>
      </c>
      <c r="D797" t="str">
        <f>Koond_kulud!D833</f>
        <v>Põhihariduse otsekulud</v>
      </c>
      <c r="E797" t="str">
        <f>Koond_kulud!E833</f>
        <v>Haridus</v>
      </c>
      <c r="F797" t="str">
        <f>Koond_kulud!F833</f>
        <v>Muuga õppehoone</v>
      </c>
      <c r="G797" t="str">
        <f>Koond_kulud!G833</f>
        <v>õppematerjalid</v>
      </c>
      <c r="H797">
        <f>Koond_kulud!H833</f>
        <v>500</v>
      </c>
      <c r="I797">
        <f>Koond_kulud!I833</f>
        <v>0</v>
      </c>
      <c r="J797">
        <f>Koond_kulud!J833</f>
        <v>5524</v>
      </c>
      <c r="K797" t="str">
        <f>Koond_kulud!K833</f>
        <v>Õppevahendid</v>
      </c>
      <c r="L797">
        <f>Koond_kulud!L833</f>
        <v>55</v>
      </c>
      <c r="M797" t="str">
        <f>Koond_kulud!M833</f>
        <v>55</v>
      </c>
      <c r="N797" t="str">
        <f>Koond_kulud!N833</f>
        <v>Muud tegevuskulud</v>
      </c>
      <c r="O797" t="str">
        <f>Koond_kulud!O833</f>
        <v>Majandamiskulud</v>
      </c>
      <c r="P797" t="str">
        <f>Koond_kulud!P833</f>
        <v>Põhitegevuse kulu</v>
      </c>
      <c r="Q797">
        <f>Koond_kulud!Q833</f>
        <v>0</v>
      </c>
    </row>
    <row r="798" spans="1:17" hidden="1" x14ac:dyDescent="0.25">
      <c r="A798" t="str">
        <f>Koond_kulud!A834</f>
        <v>09</v>
      </c>
      <c r="B798" t="str">
        <f>Koond_kulud!B834</f>
        <v>0921208</v>
      </c>
      <c r="C798" t="str">
        <f>Koond_kulud!C834</f>
        <v>Muuga-Laekvere Kool</v>
      </c>
      <c r="D798" t="str">
        <f>Koond_kulud!D834</f>
        <v>Põhihariduse otsekulud</v>
      </c>
      <c r="E798" t="str">
        <f>Koond_kulud!E834</f>
        <v>Haridus</v>
      </c>
      <c r="F798" t="str">
        <f>Koond_kulud!F834</f>
        <v>Muuga õppehoone</v>
      </c>
      <c r="G798" t="str">
        <f>Koond_kulud!G834</f>
        <v>ühisüritused</v>
      </c>
      <c r="H798">
        <f>Koond_kulud!H834</f>
        <v>500</v>
      </c>
      <c r="I798">
        <f>Koond_kulud!I834</f>
        <v>0</v>
      </c>
      <c r="J798">
        <f>Koond_kulud!J834</f>
        <v>5525</v>
      </c>
      <c r="K798" t="str">
        <f>Koond_kulud!K834</f>
        <v>Kommunikatsiooni-, kultuuri- ja vaba aja sisustamise kulud</v>
      </c>
      <c r="L798">
        <f>Koond_kulud!L834</f>
        <v>55</v>
      </c>
      <c r="M798" t="str">
        <f>Koond_kulud!M834</f>
        <v>55</v>
      </c>
      <c r="N798" t="str">
        <f>Koond_kulud!N834</f>
        <v>Muud tegevuskulud</v>
      </c>
      <c r="O798" t="str">
        <f>Koond_kulud!O834</f>
        <v>Majandamiskulud</v>
      </c>
      <c r="P798" t="str">
        <f>Koond_kulud!P834</f>
        <v>Põhitegevuse kulu</v>
      </c>
      <c r="Q798">
        <f>Koond_kulud!Q834</f>
        <v>0</v>
      </c>
    </row>
    <row r="799" spans="1:17" hidden="1" x14ac:dyDescent="0.25">
      <c r="A799" t="str">
        <f>Koond_kulud!A835</f>
        <v>09</v>
      </c>
      <c r="B799" t="str">
        <f>Koond_kulud!B835</f>
        <v>0921208</v>
      </c>
      <c r="C799" t="str">
        <f>Koond_kulud!C835</f>
        <v>Muuga-Laekvere Kool</v>
      </c>
      <c r="D799" t="str">
        <f>Koond_kulud!D835</f>
        <v>Põhihariduse otsekulud</v>
      </c>
      <c r="E799" t="str">
        <f>Koond_kulud!E835</f>
        <v>Haridus</v>
      </c>
      <c r="F799" t="str">
        <f>Koond_kulud!F835</f>
        <v>Muuga õppehoone</v>
      </c>
      <c r="G799" t="str">
        <f>Koond_kulud!G835</f>
        <v>transport</v>
      </c>
      <c r="H799">
        <f>Koond_kulud!H835</f>
        <v>2800</v>
      </c>
      <c r="I799">
        <f>Koond_kulud!I835</f>
        <v>0</v>
      </c>
      <c r="J799">
        <f>Koond_kulud!J835</f>
        <v>5524</v>
      </c>
      <c r="K799" t="str">
        <f>Koond_kulud!K835</f>
        <v>Õppevahendid</v>
      </c>
      <c r="L799">
        <f>Koond_kulud!L835</f>
        <v>55</v>
      </c>
      <c r="M799" t="str">
        <f>Koond_kulud!M835</f>
        <v>55</v>
      </c>
      <c r="N799" t="str">
        <f>Koond_kulud!N835</f>
        <v>Muud tegevuskulud</v>
      </c>
      <c r="O799" t="str">
        <f>Koond_kulud!O835</f>
        <v>Majandamiskulud</v>
      </c>
      <c r="P799" t="str">
        <f>Koond_kulud!P835</f>
        <v>Põhitegevuse kulu</v>
      </c>
      <c r="Q799">
        <f>Koond_kulud!Q835</f>
        <v>0</v>
      </c>
    </row>
    <row r="800" spans="1:17" hidden="1" x14ac:dyDescent="0.25">
      <c r="A800" t="str">
        <f>Koond_kulud!A836</f>
        <v>09</v>
      </c>
      <c r="B800" t="str">
        <f>Koond_kulud!B836</f>
        <v>0921208</v>
      </c>
      <c r="C800" t="str">
        <f>Koond_kulud!C836</f>
        <v>Muuga-Laekvere Kool</v>
      </c>
      <c r="D800" t="str">
        <f>Koond_kulud!D836</f>
        <v>Põhihariduse otsekulud</v>
      </c>
      <c r="E800" t="str">
        <f>Koond_kulud!E836</f>
        <v>Haridus</v>
      </c>
      <c r="F800" t="str">
        <f>Koond_kulud!F836</f>
        <v>Muuga õppehoone</v>
      </c>
      <c r="G800" t="str">
        <f>Koond_kulud!G836</f>
        <v>ujumine</v>
      </c>
      <c r="H800">
        <f>Koond_kulud!H836</f>
        <v>800</v>
      </c>
      <c r="I800">
        <f>Koond_kulud!I836</f>
        <v>0</v>
      </c>
      <c r="J800">
        <f>Koond_kulud!J836</f>
        <v>5524</v>
      </c>
      <c r="K800" t="str">
        <f>Koond_kulud!K836</f>
        <v>Õppevahendid</v>
      </c>
      <c r="L800">
        <f>Koond_kulud!L836</f>
        <v>55</v>
      </c>
      <c r="M800" t="str">
        <f>Koond_kulud!M836</f>
        <v>55</v>
      </c>
      <c r="N800" t="str">
        <f>Koond_kulud!N836</f>
        <v>Muud tegevuskulud</v>
      </c>
      <c r="O800" t="str">
        <f>Koond_kulud!O836</f>
        <v>Majandamiskulud</v>
      </c>
      <c r="P800" t="str">
        <f>Koond_kulud!P836</f>
        <v>Põhitegevuse kulu</v>
      </c>
      <c r="Q800">
        <f>Koond_kulud!Q836</f>
        <v>0</v>
      </c>
    </row>
    <row r="801" spans="1:17" hidden="1" x14ac:dyDescent="0.25">
      <c r="A801" t="str">
        <f>Koond_kulud!A837</f>
        <v>09</v>
      </c>
      <c r="B801" t="str">
        <f>Koond_kulud!B837</f>
        <v>0921208</v>
      </c>
      <c r="C801" t="str">
        <f>Koond_kulud!C837</f>
        <v>Muuga-Laekvere Kool</v>
      </c>
      <c r="D801" t="str">
        <f>Koond_kulud!D837</f>
        <v>Põhihariduse otsekulud</v>
      </c>
      <c r="E801" t="str">
        <f>Koond_kulud!E837</f>
        <v>Haridus</v>
      </c>
      <c r="F801" t="str">
        <f>Koond_kulud!F837</f>
        <v>Muuga õppehoone</v>
      </c>
      <c r="G801" t="str">
        <f>Koond_kulud!G837</f>
        <v>etendused, kontserdid</v>
      </c>
      <c r="H801">
        <f>Koond_kulud!H837</f>
        <v>450</v>
      </c>
      <c r="I801">
        <f>Koond_kulud!I837</f>
        <v>0</v>
      </c>
      <c r="J801">
        <f>Koond_kulud!J837</f>
        <v>5525</v>
      </c>
      <c r="K801" t="str">
        <f>Koond_kulud!K837</f>
        <v>Kommunikatsiooni-, kultuuri- ja vaba aja sisustamise kulud</v>
      </c>
      <c r="L801">
        <f>Koond_kulud!L837</f>
        <v>55</v>
      </c>
      <c r="M801" t="str">
        <f>Koond_kulud!M837</f>
        <v>55</v>
      </c>
      <c r="N801" t="str">
        <f>Koond_kulud!N837</f>
        <v>Muud tegevuskulud</v>
      </c>
      <c r="O801" t="str">
        <f>Koond_kulud!O837</f>
        <v>Majandamiskulud</v>
      </c>
      <c r="P801" t="str">
        <f>Koond_kulud!P837</f>
        <v>Põhitegevuse kulu</v>
      </c>
      <c r="Q801">
        <f>Koond_kulud!Q837</f>
        <v>0</v>
      </c>
    </row>
    <row r="802" spans="1:17" hidden="1" x14ac:dyDescent="0.25">
      <c r="A802" t="str">
        <f>Koond_kulud!A838</f>
        <v>09</v>
      </c>
      <c r="B802" t="str">
        <f>Koond_kulud!B838</f>
        <v>0921208</v>
      </c>
      <c r="C802" t="str">
        <f>Koond_kulud!C838</f>
        <v>Muuga-Laekvere Kool</v>
      </c>
      <c r="D802" t="str">
        <f>Koond_kulud!D838</f>
        <v>Põhihariduse otsekulud</v>
      </c>
      <c r="E802" t="str">
        <f>Koond_kulud!E838</f>
        <v>Haridus</v>
      </c>
      <c r="F802" t="str">
        <f>Koond_kulud!F838</f>
        <v>Muuga õppehoone</v>
      </c>
      <c r="G802" t="str">
        <f>Koond_kulud!G838</f>
        <v>osalustasud</v>
      </c>
      <c r="H802">
        <f>Koond_kulud!H838</f>
        <v>300</v>
      </c>
      <c r="I802">
        <f>Koond_kulud!I838</f>
        <v>0</v>
      </c>
      <c r="J802">
        <f>Koond_kulud!J838</f>
        <v>5525</v>
      </c>
      <c r="K802" t="str">
        <f>Koond_kulud!K838</f>
        <v>Kommunikatsiooni-, kultuuri- ja vaba aja sisustamise kulud</v>
      </c>
      <c r="L802">
        <f>Koond_kulud!L838</f>
        <v>55</v>
      </c>
      <c r="M802" t="str">
        <f>Koond_kulud!M838</f>
        <v>55</v>
      </c>
      <c r="N802" t="str">
        <f>Koond_kulud!N838</f>
        <v>Muud tegevuskulud</v>
      </c>
      <c r="O802" t="str">
        <f>Koond_kulud!O838</f>
        <v>Majandamiskulud</v>
      </c>
      <c r="P802" t="str">
        <f>Koond_kulud!P838</f>
        <v>Põhitegevuse kulu</v>
      </c>
      <c r="Q802">
        <f>Koond_kulud!Q838</f>
        <v>0</v>
      </c>
    </row>
    <row r="803" spans="1:17" hidden="1" x14ac:dyDescent="0.25">
      <c r="A803" t="str">
        <f>Koond_kulud!A839</f>
        <v>09</v>
      </c>
      <c r="B803" t="str">
        <f>Koond_kulud!B839</f>
        <v>0921208</v>
      </c>
      <c r="C803" t="str">
        <f>Koond_kulud!C839</f>
        <v>Muuga-Laekvere Kool</v>
      </c>
      <c r="D803" t="str">
        <f>Koond_kulud!D839</f>
        <v>Põhihariduse otsekulud</v>
      </c>
      <c r="E803" t="str">
        <f>Koond_kulud!E839</f>
        <v>Haridus</v>
      </c>
      <c r="F803" t="str">
        <f>Koond_kulud!F839</f>
        <v>Muuga õppehoone</v>
      </c>
      <c r="G803" t="str">
        <f>Koond_kulud!G839</f>
        <v>õpilaste üritused, autasud</v>
      </c>
      <c r="H803">
        <f>Koond_kulud!H839</f>
        <v>750</v>
      </c>
      <c r="I803">
        <f>Koond_kulud!I839</f>
        <v>0</v>
      </c>
      <c r="J803">
        <f>Koond_kulud!J839</f>
        <v>5525</v>
      </c>
      <c r="K803" t="str">
        <f>Koond_kulud!K839</f>
        <v>Kommunikatsiooni-, kultuuri- ja vaba aja sisustamise kulud</v>
      </c>
      <c r="L803">
        <f>Koond_kulud!L839</f>
        <v>55</v>
      </c>
      <c r="M803" t="str">
        <f>Koond_kulud!M839</f>
        <v>55</v>
      </c>
      <c r="N803" t="str">
        <f>Koond_kulud!N839</f>
        <v>Muud tegevuskulud</v>
      </c>
      <c r="O803" t="str">
        <f>Koond_kulud!O839</f>
        <v>Majandamiskulud</v>
      </c>
      <c r="P803" t="str">
        <f>Koond_kulud!P839</f>
        <v>Põhitegevuse kulu</v>
      </c>
      <c r="Q803">
        <f>Koond_kulud!Q839</f>
        <v>0</v>
      </c>
    </row>
    <row r="804" spans="1:17" hidden="1" x14ac:dyDescent="0.25">
      <c r="A804" t="str">
        <f>Koond_kulud!A840</f>
        <v>09</v>
      </c>
      <c r="B804" t="str">
        <f>Koond_kulud!B840</f>
        <v>0921208</v>
      </c>
      <c r="C804" t="str">
        <f>Koond_kulud!C840</f>
        <v>Muuga-Laekvere Kool</v>
      </c>
      <c r="D804" t="str">
        <f>Koond_kulud!D840</f>
        <v>Põhihariduse otsekulud</v>
      </c>
      <c r="E804" t="str">
        <f>Koond_kulud!E840</f>
        <v>Haridus</v>
      </c>
      <c r="F804" t="str">
        <f>Koond_kulud!F840</f>
        <v>Muuga õppehoone</v>
      </c>
      <c r="G804" t="str">
        <f>Koond_kulud!G840</f>
        <v>programmid</v>
      </c>
      <c r="H804">
        <f>Koond_kulud!H840</f>
        <v>1000</v>
      </c>
      <c r="I804">
        <f>Koond_kulud!I840</f>
        <v>0</v>
      </c>
      <c r="J804">
        <f>Koond_kulud!J840</f>
        <v>5514</v>
      </c>
      <c r="K804" t="str">
        <f>Koond_kulud!K840</f>
        <v>Info- ja kommunikatsioonitehnoliigised kulud</v>
      </c>
      <c r="L804">
        <f>Koond_kulud!L840</f>
        <v>55</v>
      </c>
      <c r="M804" t="str">
        <f>Koond_kulud!M840</f>
        <v>55</v>
      </c>
      <c r="N804" t="str">
        <f>Koond_kulud!N840</f>
        <v>Muud tegevuskulud</v>
      </c>
      <c r="O804" t="str">
        <f>Koond_kulud!O840</f>
        <v>Majandamiskulud</v>
      </c>
      <c r="P804" t="str">
        <f>Koond_kulud!P840</f>
        <v>Põhitegevuse kulu</v>
      </c>
      <c r="Q804">
        <f>Koond_kulud!Q840</f>
        <v>0</v>
      </c>
    </row>
    <row r="805" spans="1:17" hidden="1" x14ac:dyDescent="0.25">
      <c r="A805" t="str">
        <f>Koond_kulud!A841</f>
        <v>09</v>
      </c>
      <c r="B805" t="str">
        <f>Koond_kulud!B841</f>
        <v>0921208</v>
      </c>
      <c r="C805" t="str">
        <f>Koond_kulud!C841</f>
        <v>Muuga-Laekvere Kool</v>
      </c>
      <c r="D805" t="str">
        <f>Koond_kulud!D841</f>
        <v>Põhihariduse otsekulud</v>
      </c>
      <c r="E805" t="str">
        <f>Koond_kulud!E841</f>
        <v>Haridus</v>
      </c>
      <c r="F805" t="str">
        <f>Koond_kulud!F841</f>
        <v>Muuga õppehoone</v>
      </c>
      <c r="G805" t="str">
        <f>Koond_kulud!G841</f>
        <v>soetamine</v>
      </c>
      <c r="H805">
        <f>Koond_kulud!H841</f>
        <v>500</v>
      </c>
      <c r="I805">
        <f>Koond_kulud!I841</f>
        <v>0</v>
      </c>
      <c r="J805">
        <f>Koond_kulud!J841</f>
        <v>5514</v>
      </c>
      <c r="K805" t="str">
        <f>Koond_kulud!K841</f>
        <v>Info- ja kommunikatsioonitehnoliigised kulud</v>
      </c>
      <c r="L805">
        <f>Koond_kulud!L841</f>
        <v>55</v>
      </c>
      <c r="M805" t="str">
        <f>Koond_kulud!M841</f>
        <v>55</v>
      </c>
      <c r="N805" t="str">
        <f>Koond_kulud!N841</f>
        <v>Muud tegevuskulud</v>
      </c>
      <c r="O805" t="str">
        <f>Koond_kulud!O841</f>
        <v>Majandamiskulud</v>
      </c>
      <c r="P805" t="str">
        <f>Koond_kulud!P841</f>
        <v>Põhitegevuse kulu</v>
      </c>
      <c r="Q805">
        <f>Koond_kulud!Q841</f>
        <v>0</v>
      </c>
    </row>
    <row r="806" spans="1:17" hidden="1" x14ac:dyDescent="0.25">
      <c r="A806" t="str">
        <f>Koond_kulud!A842</f>
        <v>09</v>
      </c>
      <c r="B806" t="str">
        <f>Koond_kulud!B842</f>
        <v>0921208</v>
      </c>
      <c r="C806" t="str">
        <f>Koond_kulud!C842</f>
        <v>Muuga-Laekvere Kool</v>
      </c>
      <c r="D806" t="str">
        <f>Koond_kulud!D842</f>
        <v>Põhihariduse otsekulud</v>
      </c>
      <c r="E806" t="str">
        <f>Koond_kulud!E842</f>
        <v>Haridus</v>
      </c>
      <c r="F806" t="str">
        <f>Koond_kulud!F842</f>
        <v>Muuga õppehoone</v>
      </c>
      <c r="G806" t="str">
        <f>Koond_kulud!G842</f>
        <v>andmeside</v>
      </c>
      <c r="H806">
        <f>Koond_kulud!H842</f>
        <v>700</v>
      </c>
      <c r="I806">
        <f>Koond_kulud!I842</f>
        <v>0</v>
      </c>
      <c r="J806">
        <f>Koond_kulud!J842</f>
        <v>5514</v>
      </c>
      <c r="K806" t="str">
        <f>Koond_kulud!K842</f>
        <v>Info- ja kommunikatsioonitehnoliigised kulud</v>
      </c>
      <c r="L806">
        <f>Koond_kulud!L842</f>
        <v>55</v>
      </c>
      <c r="M806" t="str">
        <f>Koond_kulud!M842</f>
        <v>55</v>
      </c>
      <c r="N806" t="str">
        <f>Koond_kulud!N842</f>
        <v>Muud tegevuskulud</v>
      </c>
      <c r="O806" t="str">
        <f>Koond_kulud!O842</f>
        <v>Majandamiskulud</v>
      </c>
      <c r="P806" t="str">
        <f>Koond_kulud!P842</f>
        <v>Põhitegevuse kulu</v>
      </c>
      <c r="Q806">
        <f>Koond_kulud!Q842</f>
        <v>0</v>
      </c>
    </row>
    <row r="807" spans="1:17" hidden="1" x14ac:dyDescent="0.25">
      <c r="A807" t="str">
        <f>Koond_kulud!A843</f>
        <v>09</v>
      </c>
      <c r="B807" t="str">
        <f>Koond_kulud!B843</f>
        <v>0921208</v>
      </c>
      <c r="C807" t="str">
        <f>Koond_kulud!C843</f>
        <v>Muuga-Laekvere Kool</v>
      </c>
      <c r="D807" t="str">
        <f>Koond_kulud!D843</f>
        <v>Põhihariduse otsekulud</v>
      </c>
      <c r="E807" t="str">
        <f>Koond_kulud!E843</f>
        <v>Haridus</v>
      </c>
      <c r="F807" t="str">
        <f>Koond_kulud!F843</f>
        <v>Muuga õppehoone</v>
      </c>
      <c r="G807" t="str">
        <f>Koond_kulud!G843</f>
        <v>remont ja hooldus</v>
      </c>
      <c r="H807">
        <f>Koond_kulud!H843</f>
        <v>300</v>
      </c>
      <c r="I807">
        <f>Koond_kulud!I843</f>
        <v>0</v>
      </c>
      <c r="J807">
        <f>Koond_kulud!J843</f>
        <v>5514</v>
      </c>
      <c r="K807" t="str">
        <f>Koond_kulud!K843</f>
        <v>Info- ja kommunikatsioonitehnoliigised kulud</v>
      </c>
      <c r="L807">
        <f>Koond_kulud!L843</f>
        <v>55</v>
      </c>
      <c r="M807" t="str">
        <f>Koond_kulud!M843</f>
        <v>55</v>
      </c>
      <c r="N807" t="str">
        <f>Koond_kulud!N843</f>
        <v>Muud tegevuskulud</v>
      </c>
      <c r="O807" t="str">
        <f>Koond_kulud!O843</f>
        <v>Majandamiskulud</v>
      </c>
      <c r="P807" t="str">
        <f>Koond_kulud!P843</f>
        <v>Põhitegevuse kulu</v>
      </c>
      <c r="Q807">
        <f>Koond_kulud!Q843</f>
        <v>0</v>
      </c>
    </row>
    <row r="808" spans="1:17" hidden="1" x14ac:dyDescent="0.25">
      <c r="A808" t="str">
        <f>Koond_kulud!A844</f>
        <v>09</v>
      </c>
      <c r="B808" t="str">
        <f>Koond_kulud!B844</f>
        <v>0921208</v>
      </c>
      <c r="C808" t="str">
        <f>Koond_kulud!C844</f>
        <v>Muuga-Laekvere Kool</v>
      </c>
      <c r="D808" t="str">
        <f>Koond_kulud!D844</f>
        <v>Põhihariduse otsekulud</v>
      </c>
      <c r="E808" t="str">
        <f>Koond_kulud!E844</f>
        <v>Haridus</v>
      </c>
      <c r="F808" t="str">
        <f>Koond_kulud!F844</f>
        <v>Muuga õppehoone</v>
      </c>
      <c r="G808" t="str">
        <f>Koond_kulud!G844</f>
        <v>rent</v>
      </c>
      <c r="H808">
        <f>Koond_kulud!H844</f>
        <v>500</v>
      </c>
      <c r="I808">
        <f>Koond_kulud!I844</f>
        <v>0</v>
      </c>
      <c r="J808">
        <f>Koond_kulud!J844</f>
        <v>5514</v>
      </c>
      <c r="K808" t="str">
        <f>Koond_kulud!K844</f>
        <v>Info- ja kommunikatsioonitehnoliigised kulud</v>
      </c>
      <c r="L808">
        <f>Koond_kulud!L844</f>
        <v>55</v>
      </c>
      <c r="M808" t="str">
        <f>Koond_kulud!M844</f>
        <v>55</v>
      </c>
      <c r="N808" t="str">
        <f>Koond_kulud!N844</f>
        <v>Muud tegevuskulud</v>
      </c>
      <c r="O808" t="str">
        <f>Koond_kulud!O844</f>
        <v>Majandamiskulud</v>
      </c>
      <c r="P808" t="str">
        <f>Koond_kulud!P844</f>
        <v>Põhitegevuse kulu</v>
      </c>
      <c r="Q808">
        <f>Koond_kulud!Q844</f>
        <v>0</v>
      </c>
    </row>
    <row r="809" spans="1:17" hidden="1" x14ac:dyDescent="0.25">
      <c r="A809" t="str">
        <f>Koond_kulud!A845</f>
        <v>09</v>
      </c>
      <c r="B809" t="str">
        <f>Koond_kulud!B845</f>
        <v>0921208</v>
      </c>
      <c r="C809" t="str">
        <f>Koond_kulud!C845</f>
        <v>Muuga-Laekvere Kool</v>
      </c>
      <c r="D809" t="str">
        <f>Koond_kulud!D845</f>
        <v>Põhihariduse otsekulud</v>
      </c>
      <c r="E809" t="str">
        <f>Koond_kulud!E845</f>
        <v>Haridus</v>
      </c>
      <c r="F809" t="str">
        <f>Koond_kulud!F845</f>
        <v>Muuga õppehoone</v>
      </c>
      <c r="G809" t="str">
        <f>Koond_kulud!G845</f>
        <v>Pedagoogilised koolitused</v>
      </c>
      <c r="H809">
        <f>Koond_kulud!H845</f>
        <v>615.36</v>
      </c>
      <c r="I809" t="str">
        <f>Koond_kulud!I845</f>
        <v>Ped.</v>
      </c>
      <c r="J809">
        <f>Koond_kulud!J845</f>
        <v>5504</v>
      </c>
      <c r="K809" t="str">
        <f>Koond_kulud!K845</f>
        <v>Koolituskulud</v>
      </c>
      <c r="L809">
        <f>Koond_kulud!L845</f>
        <v>55</v>
      </c>
      <c r="M809" t="str">
        <f>Koond_kulud!M845</f>
        <v>55</v>
      </c>
      <c r="N809" t="str">
        <f>Koond_kulud!N845</f>
        <v>Muud tegevuskulud</v>
      </c>
      <c r="O809" t="str">
        <f>Koond_kulud!O845</f>
        <v>Majandamiskulud</v>
      </c>
      <c r="P809" t="str">
        <f>Koond_kulud!P845</f>
        <v>Põhitegevuse kulu</v>
      </c>
      <c r="Q809">
        <f>Koond_kulud!Q845</f>
        <v>0</v>
      </c>
    </row>
    <row r="810" spans="1:17" hidden="1" x14ac:dyDescent="0.25">
      <c r="A810" t="str">
        <f>Koond_kulud!A846</f>
        <v>09</v>
      </c>
      <c r="B810" t="str">
        <f>Koond_kulud!B846</f>
        <v>0921208</v>
      </c>
      <c r="C810" t="str">
        <f>Koond_kulud!C846</f>
        <v>Muuga-Laekvere Kool</v>
      </c>
      <c r="D810" t="str">
        <f>Koond_kulud!D846</f>
        <v>Põhihariduse otsekulud</v>
      </c>
      <c r="E810" t="str">
        <f>Koond_kulud!E846</f>
        <v>Haridus</v>
      </c>
      <c r="F810" t="str">
        <f>Koond_kulud!F846</f>
        <v>Muuga õppehoone</v>
      </c>
      <c r="G810" t="str">
        <f>Koond_kulud!G846</f>
        <v>Pedagoogilised õppevahendid</v>
      </c>
      <c r="H810">
        <f>Koond_kulud!H846</f>
        <v>2186.58</v>
      </c>
      <c r="I810" t="str">
        <f>Koond_kulud!I846</f>
        <v>Ped.</v>
      </c>
      <c r="J810">
        <f>Koond_kulud!J846</f>
        <v>5524</v>
      </c>
      <c r="K810" t="str">
        <f>Koond_kulud!K846</f>
        <v>Õppevahendid</v>
      </c>
      <c r="L810">
        <f>Koond_kulud!L846</f>
        <v>55</v>
      </c>
      <c r="M810" t="str">
        <f>Koond_kulud!M846</f>
        <v>55</v>
      </c>
      <c r="N810" t="str">
        <f>Koond_kulud!N846</f>
        <v>Muud tegevuskulud</v>
      </c>
      <c r="O810" t="str">
        <f>Koond_kulud!O846</f>
        <v>Majandamiskulud</v>
      </c>
      <c r="P810" t="str">
        <f>Koond_kulud!P846</f>
        <v>Põhitegevuse kulu</v>
      </c>
      <c r="Q810">
        <f>Koond_kulud!Q846</f>
        <v>0</v>
      </c>
    </row>
    <row r="811" spans="1:17" hidden="1" x14ac:dyDescent="0.25">
      <c r="A811" t="str">
        <f>Koond_kulud!A847</f>
        <v>09</v>
      </c>
      <c r="B811" t="str">
        <f>Koond_kulud!B847</f>
        <v xml:space="preserve">0921203         </v>
      </c>
      <c r="C811" t="str">
        <f>Koond_kulud!C847</f>
        <v xml:space="preserve"> Roela kool</v>
      </c>
      <c r="D811" t="str">
        <f>Koond_kulud!D847</f>
        <v>Põhihariduse otsekulud</v>
      </c>
      <c r="E811" t="str">
        <f>Koond_kulud!E847</f>
        <v>Haridus</v>
      </c>
      <c r="F811" t="str">
        <f>Koond_kulud!F847</f>
        <v>Ferdinand von Wrangelli nim Roela Lasteaed-Põhikool</v>
      </c>
      <c r="G811" t="str">
        <f>Koond_kulud!G847</f>
        <v>telefonid ja internet</v>
      </c>
      <c r="H811">
        <f>Koond_kulud!H847</f>
        <v>1140</v>
      </c>
      <c r="I811" t="str">
        <f>Koond_kulud!I847</f>
        <v>95 x 12</v>
      </c>
      <c r="J811">
        <f>Koond_kulud!J847</f>
        <v>5500</v>
      </c>
      <c r="K811" t="str">
        <f>Koond_kulud!K847</f>
        <v>Administreerimiskulud</v>
      </c>
      <c r="L811">
        <f>Koond_kulud!L847</f>
        <v>55</v>
      </c>
      <c r="M811" t="str">
        <f>Koond_kulud!M847</f>
        <v>55</v>
      </c>
      <c r="N811" t="str">
        <f>Koond_kulud!N847</f>
        <v>Muud tegevuskulud</v>
      </c>
      <c r="O811" t="str">
        <f>Koond_kulud!O847</f>
        <v>Majandamiskulud</v>
      </c>
      <c r="P811" t="str">
        <f>Koond_kulud!P847</f>
        <v>Põhitegevuse kulu</v>
      </c>
      <c r="Q811">
        <f>Koond_kulud!Q847</f>
        <v>0</v>
      </c>
    </row>
    <row r="812" spans="1:17" hidden="1" x14ac:dyDescent="0.25">
      <c r="A812" t="str">
        <f>Koond_kulud!A848</f>
        <v>09</v>
      </c>
      <c r="B812" t="str">
        <f>Koond_kulud!B848</f>
        <v xml:space="preserve">0921203         </v>
      </c>
      <c r="C812" t="str">
        <f>Koond_kulud!C848</f>
        <v xml:space="preserve"> Roela kool</v>
      </c>
      <c r="D812" t="str">
        <f>Koond_kulud!D848</f>
        <v>Põhihariduse otsekulud</v>
      </c>
      <c r="E812" t="str">
        <f>Koond_kulud!E848</f>
        <v>Haridus</v>
      </c>
      <c r="F812" t="str">
        <f>Koond_kulud!F848</f>
        <v>Ferdinand von Wrangelli nim Roela Lasteaed-Põhikool</v>
      </c>
      <c r="G812" t="str">
        <f>Koond_kulud!G848</f>
        <v>postikulu, kuulutused</v>
      </c>
      <c r="H812">
        <f>Koond_kulud!H848</f>
        <v>50</v>
      </c>
      <c r="I812">
        <f>Koond_kulud!I848</f>
        <v>0</v>
      </c>
      <c r="J812">
        <f>Koond_kulud!J848</f>
        <v>5500</v>
      </c>
      <c r="K812" t="str">
        <f>Koond_kulud!K848</f>
        <v>Administreerimiskulud</v>
      </c>
      <c r="L812">
        <f>Koond_kulud!L848</f>
        <v>55</v>
      </c>
      <c r="M812" t="str">
        <f>Koond_kulud!M848</f>
        <v>55</v>
      </c>
      <c r="N812" t="str">
        <f>Koond_kulud!N848</f>
        <v>Muud tegevuskulud</v>
      </c>
      <c r="O812" t="str">
        <f>Koond_kulud!O848</f>
        <v>Majandamiskulud</v>
      </c>
      <c r="P812" t="str">
        <f>Koond_kulud!P848</f>
        <v>Põhitegevuse kulu</v>
      </c>
      <c r="Q812">
        <f>Koond_kulud!Q848</f>
        <v>0</v>
      </c>
    </row>
    <row r="813" spans="1:17" hidden="1" x14ac:dyDescent="0.25">
      <c r="A813" t="str">
        <f>Koond_kulud!A849</f>
        <v>09</v>
      </c>
      <c r="B813" t="str">
        <f>Koond_kulud!B849</f>
        <v xml:space="preserve">0921203         </v>
      </c>
      <c r="C813" t="str">
        <f>Koond_kulud!C849</f>
        <v xml:space="preserve"> Roela kool</v>
      </c>
      <c r="D813" t="str">
        <f>Koond_kulud!D849</f>
        <v>Põhihariduse otsekulud</v>
      </c>
      <c r="E813" t="str">
        <f>Koond_kulud!E849</f>
        <v>Haridus</v>
      </c>
      <c r="F813" t="str">
        <f>Koond_kulud!F849</f>
        <v>Ferdinand von Wrangelli nim Roela Lasteaed-Põhikool</v>
      </c>
      <c r="G813" t="str">
        <f>Koond_kulud!G849</f>
        <v>tahmakassetid (värviline, õp.tuba, kantselei, direktor, LA)</v>
      </c>
      <c r="H813">
        <f>Koond_kulud!H849</f>
        <v>1200</v>
      </c>
      <c r="I813">
        <f>Koond_kulud!I849</f>
        <v>0</v>
      </c>
      <c r="J813">
        <f>Koond_kulud!J849</f>
        <v>5500</v>
      </c>
      <c r="K813" t="str">
        <f>Koond_kulud!K849</f>
        <v>Administreerimiskulud</v>
      </c>
      <c r="L813">
        <f>Koond_kulud!L849</f>
        <v>55</v>
      </c>
      <c r="M813" t="str">
        <f>Koond_kulud!M849</f>
        <v>55</v>
      </c>
      <c r="N813" t="str">
        <f>Koond_kulud!N849</f>
        <v>Muud tegevuskulud</v>
      </c>
      <c r="O813" t="str">
        <f>Koond_kulud!O849</f>
        <v>Majandamiskulud</v>
      </c>
      <c r="P813" t="str">
        <f>Koond_kulud!P849</f>
        <v>Põhitegevuse kulu</v>
      </c>
      <c r="Q813">
        <f>Koond_kulud!Q849</f>
        <v>0</v>
      </c>
    </row>
    <row r="814" spans="1:17" hidden="1" x14ac:dyDescent="0.25">
      <c r="A814" t="str">
        <f>Koond_kulud!A850</f>
        <v>09</v>
      </c>
      <c r="B814" t="str">
        <f>Koond_kulud!B850</f>
        <v xml:space="preserve">0921203         </v>
      </c>
      <c r="C814" t="str">
        <f>Koond_kulud!C850</f>
        <v xml:space="preserve"> Roela kool</v>
      </c>
      <c r="D814" t="str">
        <f>Koond_kulud!D850</f>
        <v>Põhihariduse otsekulud</v>
      </c>
      <c r="E814" t="str">
        <f>Koond_kulud!E850</f>
        <v>Haridus</v>
      </c>
      <c r="F814" t="str">
        <f>Koond_kulud!F850</f>
        <v>Ferdinand von Wrangelli nim Roela Lasteaed-Põhikool</v>
      </c>
      <c r="G814" t="str">
        <f>Koond_kulud!G850</f>
        <v>veebimajutus</v>
      </c>
      <c r="H814">
        <f>Koond_kulud!H850</f>
        <v>24</v>
      </c>
      <c r="I814">
        <f>Koond_kulud!I850</f>
        <v>0</v>
      </c>
      <c r="J814">
        <f>Koond_kulud!J850</f>
        <v>5500</v>
      </c>
      <c r="K814" t="str">
        <f>Koond_kulud!K850</f>
        <v>Administreerimiskulud</v>
      </c>
      <c r="L814">
        <f>Koond_kulud!L850</f>
        <v>55</v>
      </c>
      <c r="M814" t="str">
        <f>Koond_kulud!M850</f>
        <v>55</v>
      </c>
      <c r="N814" t="str">
        <f>Koond_kulud!N850</f>
        <v>Muud tegevuskulud</v>
      </c>
      <c r="O814" t="str">
        <f>Koond_kulud!O850</f>
        <v>Majandamiskulud</v>
      </c>
      <c r="P814" t="str">
        <f>Koond_kulud!P850</f>
        <v>Põhitegevuse kulu</v>
      </c>
      <c r="Q814">
        <f>Koond_kulud!Q850</f>
        <v>0</v>
      </c>
    </row>
    <row r="815" spans="1:17" hidden="1" x14ac:dyDescent="0.25">
      <c r="A815" t="str">
        <f>Koond_kulud!A851</f>
        <v>09</v>
      </c>
      <c r="B815" t="str">
        <f>Koond_kulud!B851</f>
        <v xml:space="preserve">0921203         </v>
      </c>
      <c r="C815" t="str">
        <f>Koond_kulud!C851</f>
        <v xml:space="preserve"> Roela kool</v>
      </c>
      <c r="D815" t="str">
        <f>Koond_kulud!D851</f>
        <v>Põhihariduse otsekulud</v>
      </c>
      <c r="E815" t="str">
        <f>Koond_kulud!E851</f>
        <v>Haridus</v>
      </c>
      <c r="F815" t="str">
        <f>Koond_kulud!F851</f>
        <v>Ferdinand von Wrangelli nim Roela Lasteaed-Põhikool</v>
      </c>
      <c r="G815" t="str">
        <f>Koond_kulud!G851</f>
        <v>kantseleitarbed (kalendrid, pastapl., liim jne)</v>
      </c>
      <c r="H815">
        <f>Koond_kulud!H851</f>
        <v>200</v>
      </c>
      <c r="I815">
        <f>Koond_kulud!I851</f>
        <v>0</v>
      </c>
      <c r="J815">
        <f>Koond_kulud!J851</f>
        <v>5500</v>
      </c>
      <c r="K815" t="str">
        <f>Koond_kulud!K851</f>
        <v>Administreerimiskulud</v>
      </c>
      <c r="L815">
        <f>Koond_kulud!L851</f>
        <v>55</v>
      </c>
      <c r="M815" t="str">
        <f>Koond_kulud!M851</f>
        <v>55</v>
      </c>
      <c r="N815" t="str">
        <f>Koond_kulud!N851</f>
        <v>Muud tegevuskulud</v>
      </c>
      <c r="O815" t="str">
        <f>Koond_kulud!O851</f>
        <v>Majandamiskulud</v>
      </c>
      <c r="P815" t="str">
        <f>Koond_kulud!P851</f>
        <v>Põhitegevuse kulu</v>
      </c>
      <c r="Q815">
        <f>Koond_kulud!Q851</f>
        <v>0</v>
      </c>
    </row>
    <row r="816" spans="1:17" hidden="1" x14ac:dyDescent="0.25">
      <c r="A816" t="str">
        <f>Koond_kulud!A852</f>
        <v>09</v>
      </c>
      <c r="B816" t="str">
        <f>Koond_kulud!B852</f>
        <v xml:space="preserve">0921203         </v>
      </c>
      <c r="C816" t="str">
        <f>Koond_kulud!C852</f>
        <v xml:space="preserve"> Roela kool</v>
      </c>
      <c r="D816" t="str">
        <f>Koond_kulud!D852</f>
        <v>Põhihariduse otsekulud</v>
      </c>
      <c r="E816" t="str">
        <f>Koond_kulud!E852</f>
        <v>Haridus</v>
      </c>
      <c r="F816" t="str">
        <f>Koond_kulud!F852</f>
        <v>Ferdinand von Wrangelli nim Roela Lasteaed-Põhikool</v>
      </c>
      <c r="G816" t="str">
        <f>Koond_kulud!G852</f>
        <v>printeripaber</v>
      </c>
      <c r="H816">
        <f>Koond_kulud!H852</f>
        <v>276</v>
      </c>
      <c r="I816" t="str">
        <f>Koond_kulud!I852</f>
        <v>20 karpi</v>
      </c>
      <c r="J816">
        <f>Koond_kulud!J852</f>
        <v>5500</v>
      </c>
      <c r="K816" t="str">
        <f>Koond_kulud!K852</f>
        <v>Administreerimiskulud</v>
      </c>
      <c r="L816">
        <f>Koond_kulud!L852</f>
        <v>55</v>
      </c>
      <c r="M816" t="str">
        <f>Koond_kulud!M852</f>
        <v>55</v>
      </c>
      <c r="N816" t="str">
        <f>Koond_kulud!N852</f>
        <v>Muud tegevuskulud</v>
      </c>
      <c r="O816" t="str">
        <f>Koond_kulud!O852</f>
        <v>Majandamiskulud</v>
      </c>
      <c r="P816" t="str">
        <f>Koond_kulud!P852</f>
        <v>Põhitegevuse kulu</v>
      </c>
      <c r="Q816">
        <f>Koond_kulud!Q852</f>
        <v>0</v>
      </c>
    </row>
    <row r="817" spans="1:17" hidden="1" x14ac:dyDescent="0.25">
      <c r="A817" t="str">
        <f>Koond_kulud!A853</f>
        <v>09</v>
      </c>
      <c r="B817" t="str">
        <f>Koond_kulud!B853</f>
        <v xml:space="preserve">0921203         </v>
      </c>
      <c r="C817" t="str">
        <f>Koond_kulud!C853</f>
        <v xml:space="preserve"> Roela kool</v>
      </c>
      <c r="D817" t="str">
        <f>Koond_kulud!D853</f>
        <v>Põhihariduse otsekulud</v>
      </c>
      <c r="E817" t="str">
        <f>Koond_kulud!E853</f>
        <v>Haridus</v>
      </c>
      <c r="F817" t="str">
        <f>Koond_kulud!F853</f>
        <v>Ferdinand von Wrangelli nim Roela Lasteaed-Põhikool</v>
      </c>
      <c r="G817" t="str">
        <f>Koond_kulud!G853</f>
        <v>külalised</v>
      </c>
      <c r="H817">
        <f>Koond_kulud!H853</f>
        <v>100</v>
      </c>
      <c r="I817">
        <f>Koond_kulud!I853</f>
        <v>0</v>
      </c>
      <c r="J817">
        <f>Koond_kulud!J853</f>
        <v>5500</v>
      </c>
      <c r="K817" t="str">
        <f>Koond_kulud!K853</f>
        <v>Administreerimiskulud</v>
      </c>
      <c r="L817">
        <f>Koond_kulud!L853</f>
        <v>55</v>
      </c>
      <c r="M817" t="str">
        <f>Koond_kulud!M853</f>
        <v>55</v>
      </c>
      <c r="N817" t="str">
        <f>Koond_kulud!N853</f>
        <v>Muud tegevuskulud</v>
      </c>
      <c r="O817" t="str">
        <f>Koond_kulud!O853</f>
        <v>Majandamiskulud</v>
      </c>
      <c r="P817" t="str">
        <f>Koond_kulud!P853</f>
        <v>Põhitegevuse kulu</v>
      </c>
      <c r="Q817">
        <f>Koond_kulud!Q853</f>
        <v>0</v>
      </c>
    </row>
    <row r="818" spans="1:17" hidden="1" x14ac:dyDescent="0.25">
      <c r="A818" t="str">
        <f>Koond_kulud!A854</f>
        <v>09</v>
      </c>
      <c r="B818" t="str">
        <f>Koond_kulud!B854</f>
        <v xml:space="preserve">0921203         </v>
      </c>
      <c r="C818" t="str">
        <f>Koond_kulud!C854</f>
        <v xml:space="preserve"> Roela kool</v>
      </c>
      <c r="D818" t="str">
        <f>Koond_kulud!D854</f>
        <v>Põhihariduse otsekulud</v>
      </c>
      <c r="E818" t="str">
        <f>Koond_kulud!E854</f>
        <v>Haridus</v>
      </c>
      <c r="F818" t="str">
        <f>Koond_kulud!F854</f>
        <v>Ferdinand von Wrangelli nim Roela Lasteaed-Põhikool</v>
      </c>
      <c r="G818" t="str">
        <f>Koond_kulud!G854</f>
        <v>koolituste plaan</v>
      </c>
      <c r="H818">
        <f>Koond_kulud!H854</f>
        <v>1650</v>
      </c>
      <c r="I818">
        <f>Koond_kulud!I854</f>
        <v>0</v>
      </c>
      <c r="J818">
        <f>Koond_kulud!J854</f>
        <v>5504</v>
      </c>
      <c r="K818" t="str">
        <f>Koond_kulud!K854</f>
        <v>Koolituskulud</v>
      </c>
      <c r="L818">
        <f>Koond_kulud!L854</f>
        <v>55</v>
      </c>
      <c r="M818" t="str">
        <f>Koond_kulud!M854</f>
        <v>55</v>
      </c>
      <c r="N818" t="str">
        <f>Koond_kulud!N854</f>
        <v>Muud tegevuskulud</v>
      </c>
      <c r="O818" t="str">
        <f>Koond_kulud!O854</f>
        <v>Majandamiskulud</v>
      </c>
      <c r="P818" t="str">
        <f>Koond_kulud!P854</f>
        <v>Põhitegevuse kulu</v>
      </c>
      <c r="Q818">
        <f>Koond_kulud!Q854</f>
        <v>0</v>
      </c>
    </row>
    <row r="819" spans="1:17" hidden="1" x14ac:dyDescent="0.25">
      <c r="A819" t="str">
        <f>Koond_kulud!A855</f>
        <v>09</v>
      </c>
      <c r="B819" t="str">
        <f>Koond_kulud!B855</f>
        <v xml:space="preserve">0921203         </v>
      </c>
      <c r="C819" t="str">
        <f>Koond_kulud!C855</f>
        <v xml:space="preserve"> Roela kool</v>
      </c>
      <c r="D819" t="str">
        <f>Koond_kulud!D855</f>
        <v>Põhihariduse otsekulud</v>
      </c>
      <c r="E819" t="str">
        <f>Koond_kulud!E855</f>
        <v>Haridus</v>
      </c>
      <c r="F819" t="str">
        <f>Koond_kulud!F855</f>
        <v>Ferdinand von Wrangelli nim Roela Lasteaed-Põhikool</v>
      </c>
      <c r="G819" t="str">
        <f>Koond_kulud!G855</f>
        <v>bussi liikluskindlustus</v>
      </c>
      <c r="H819">
        <f>Koond_kulud!H855</f>
        <v>620</v>
      </c>
      <c r="I819">
        <f>Koond_kulud!I855</f>
        <v>0</v>
      </c>
      <c r="J819">
        <f>Koond_kulud!J855</f>
        <v>5513</v>
      </c>
      <c r="K819" t="str">
        <f>Koond_kulud!K855</f>
        <v>Sõidukite ülalpidamise kulud</v>
      </c>
      <c r="L819">
        <f>Koond_kulud!L855</f>
        <v>55</v>
      </c>
      <c r="M819" t="str">
        <f>Koond_kulud!M855</f>
        <v>55</v>
      </c>
      <c r="N819" t="str">
        <f>Koond_kulud!N855</f>
        <v>Muud tegevuskulud</v>
      </c>
      <c r="O819" t="str">
        <f>Koond_kulud!O855</f>
        <v>Majandamiskulud</v>
      </c>
      <c r="P819" t="str">
        <f>Koond_kulud!P855</f>
        <v>Põhitegevuse kulu</v>
      </c>
      <c r="Q819">
        <f>Koond_kulud!Q855</f>
        <v>0</v>
      </c>
    </row>
    <row r="820" spans="1:17" hidden="1" x14ac:dyDescent="0.25">
      <c r="A820" t="str">
        <f>Koond_kulud!A856</f>
        <v>09</v>
      </c>
      <c r="B820" t="str">
        <f>Koond_kulud!B856</f>
        <v xml:space="preserve">0921203         </v>
      </c>
      <c r="C820" t="str">
        <f>Koond_kulud!C856</f>
        <v xml:space="preserve"> Roela kool</v>
      </c>
      <c r="D820" t="str">
        <f>Koond_kulud!D856</f>
        <v>Põhihariduse otsekulud</v>
      </c>
      <c r="E820" t="str">
        <f>Koond_kulud!E856</f>
        <v>Haridus</v>
      </c>
      <c r="F820" t="str">
        <f>Koond_kulud!F856</f>
        <v>Ferdinand von Wrangelli nim Roela Lasteaed-Põhikool</v>
      </c>
      <c r="G820" t="str">
        <f>Koond_kulud!G856</f>
        <v>kütus</v>
      </c>
      <c r="H820">
        <f>Koond_kulud!H856</f>
        <v>2700</v>
      </c>
      <c r="I820">
        <f>Koond_kulud!I856</f>
        <v>0</v>
      </c>
      <c r="J820">
        <f>Koond_kulud!J856</f>
        <v>5513</v>
      </c>
      <c r="K820" t="str">
        <f>Koond_kulud!K856</f>
        <v>Sõidukite ülalpidamise kulud</v>
      </c>
      <c r="L820">
        <f>Koond_kulud!L856</f>
        <v>55</v>
      </c>
      <c r="M820" t="str">
        <f>Koond_kulud!M856</f>
        <v>55</v>
      </c>
      <c r="N820" t="str">
        <f>Koond_kulud!N856</f>
        <v>Muud tegevuskulud</v>
      </c>
      <c r="O820" t="str">
        <f>Koond_kulud!O856</f>
        <v>Majandamiskulud</v>
      </c>
      <c r="P820" t="str">
        <f>Koond_kulud!P856</f>
        <v>Põhitegevuse kulu</v>
      </c>
      <c r="Q820">
        <f>Koond_kulud!Q856</f>
        <v>0</v>
      </c>
    </row>
    <row r="821" spans="1:17" hidden="1" x14ac:dyDescent="0.25">
      <c r="A821" t="str">
        <f>Koond_kulud!A857</f>
        <v>09</v>
      </c>
      <c r="B821" t="str">
        <f>Koond_kulud!B857</f>
        <v xml:space="preserve">0921203         </v>
      </c>
      <c r="C821" t="str">
        <f>Koond_kulud!C857</f>
        <v xml:space="preserve"> Roela kool</v>
      </c>
      <c r="D821" t="str">
        <f>Koond_kulud!D857</f>
        <v>Põhihariduse otsekulud</v>
      </c>
      <c r="E821" t="str">
        <f>Koond_kulud!E857</f>
        <v>Haridus</v>
      </c>
      <c r="F821" t="str">
        <f>Koond_kulud!F857</f>
        <v>Ferdinand von Wrangelli nim Roela Lasteaed-Põhikool</v>
      </c>
      <c r="G821" t="str">
        <f>Koond_kulud!G857</f>
        <v>remont ja hooldus</v>
      </c>
      <c r="H821">
        <f>Koond_kulud!H857</f>
        <v>1000</v>
      </c>
      <c r="I821">
        <f>Koond_kulud!I857</f>
        <v>0</v>
      </c>
      <c r="J821">
        <f>Koond_kulud!J857</f>
        <v>5513</v>
      </c>
      <c r="K821" t="str">
        <f>Koond_kulud!K857</f>
        <v>Sõidukite ülalpidamise kulud</v>
      </c>
      <c r="L821">
        <f>Koond_kulud!L857</f>
        <v>55</v>
      </c>
      <c r="M821" t="str">
        <f>Koond_kulud!M857</f>
        <v>55</v>
      </c>
      <c r="N821" t="str">
        <f>Koond_kulud!N857</f>
        <v>Muud tegevuskulud</v>
      </c>
      <c r="O821" t="str">
        <f>Koond_kulud!O857</f>
        <v>Majandamiskulud</v>
      </c>
      <c r="P821" t="str">
        <f>Koond_kulud!P857</f>
        <v>Põhitegevuse kulu</v>
      </c>
      <c r="Q821">
        <f>Koond_kulud!Q857</f>
        <v>0</v>
      </c>
    </row>
    <row r="822" spans="1:17" hidden="1" x14ac:dyDescent="0.25">
      <c r="A822" t="str">
        <f>Koond_kulud!A858</f>
        <v>09</v>
      </c>
      <c r="B822" t="str">
        <f>Koond_kulud!B858</f>
        <v xml:space="preserve">0921203         </v>
      </c>
      <c r="C822" t="str">
        <f>Koond_kulud!C858</f>
        <v xml:space="preserve"> Roela kool</v>
      </c>
      <c r="D822" t="str">
        <f>Koond_kulud!D858</f>
        <v>Põhihariduse otsekulud</v>
      </c>
      <c r="E822" t="str">
        <f>Koond_kulud!E858</f>
        <v>Haridus</v>
      </c>
      <c r="F822" t="str">
        <f>Koond_kulud!F858</f>
        <v>Ferdinand von Wrangelli nim Roela Lasteaed-Põhikool</v>
      </c>
      <c r="G822" t="str">
        <f>Koond_kulud!G858</f>
        <v>isikliku sõduauto kasutus</v>
      </c>
      <c r="H822">
        <f>Koond_kulud!H858</f>
        <v>640</v>
      </c>
      <c r="I822" t="str">
        <f>Koond_kulud!I858</f>
        <v>V. Klemmer (10 x 64)</v>
      </c>
      <c r="J822">
        <f>Koond_kulud!J858</f>
        <v>5513</v>
      </c>
      <c r="K822" t="str">
        <f>Koond_kulud!K858</f>
        <v>Sõidukite ülalpidamise kulud</v>
      </c>
      <c r="L822">
        <f>Koond_kulud!L858</f>
        <v>55</v>
      </c>
      <c r="M822" t="str">
        <f>Koond_kulud!M858</f>
        <v>55</v>
      </c>
      <c r="N822" t="str">
        <f>Koond_kulud!N858</f>
        <v>Muud tegevuskulud</v>
      </c>
      <c r="O822" t="str">
        <f>Koond_kulud!O858</f>
        <v>Majandamiskulud</v>
      </c>
      <c r="P822" t="str">
        <f>Koond_kulud!P858</f>
        <v>Põhitegevuse kulu</v>
      </c>
      <c r="Q822">
        <f>Koond_kulud!Q858</f>
        <v>0</v>
      </c>
    </row>
    <row r="823" spans="1:17" hidden="1" x14ac:dyDescent="0.25">
      <c r="A823" t="str">
        <f>Koond_kulud!A859</f>
        <v>09</v>
      </c>
      <c r="B823" t="str">
        <f>Koond_kulud!B859</f>
        <v xml:space="preserve">0921203         </v>
      </c>
      <c r="C823" t="str">
        <f>Koond_kulud!C859</f>
        <v xml:space="preserve"> Roela kool</v>
      </c>
      <c r="D823" t="str">
        <f>Koond_kulud!D859</f>
        <v>Põhihariduse otsekulud</v>
      </c>
      <c r="E823" t="str">
        <f>Koond_kulud!E859</f>
        <v>Haridus</v>
      </c>
      <c r="F823" t="str">
        <f>Koond_kulud!F859</f>
        <v>Ferdinand von Wrangelli nim Roela Lasteaed-Põhikool</v>
      </c>
      <c r="G823" t="str">
        <f>Koond_kulud!G859</f>
        <v>isikliku sõduauto kasutus</v>
      </c>
      <c r="H823">
        <f>Koond_kulud!H859</f>
        <v>640</v>
      </c>
      <c r="I823" t="str">
        <f>Koond_kulud!I859</f>
        <v>M. Mirt (10 x 64)</v>
      </c>
      <c r="J823">
        <f>Koond_kulud!J859</f>
        <v>5513</v>
      </c>
      <c r="K823" t="str">
        <f>Koond_kulud!K859</f>
        <v>Sõidukite ülalpidamise kulud</v>
      </c>
      <c r="L823">
        <f>Koond_kulud!L859</f>
        <v>55</v>
      </c>
      <c r="M823" t="str">
        <f>Koond_kulud!M859</f>
        <v>55</v>
      </c>
      <c r="N823" t="str">
        <f>Koond_kulud!N859</f>
        <v>Muud tegevuskulud</v>
      </c>
      <c r="O823" t="str">
        <f>Koond_kulud!O859</f>
        <v>Majandamiskulud</v>
      </c>
      <c r="P823" t="str">
        <f>Koond_kulud!P859</f>
        <v>Põhitegevuse kulu</v>
      </c>
      <c r="Q823">
        <f>Koond_kulud!Q859</f>
        <v>0</v>
      </c>
    </row>
    <row r="824" spans="1:17" hidden="1" x14ac:dyDescent="0.25">
      <c r="A824" t="str">
        <f>Koond_kulud!A860</f>
        <v>09</v>
      </c>
      <c r="B824" t="str">
        <f>Koond_kulud!B860</f>
        <v xml:space="preserve">0921203         </v>
      </c>
      <c r="C824" t="str">
        <f>Koond_kulud!C860</f>
        <v xml:space="preserve"> Roela kool</v>
      </c>
      <c r="D824" t="str">
        <f>Koond_kulud!D860</f>
        <v>Põhihariduse otsekulud</v>
      </c>
      <c r="E824" t="str">
        <f>Koond_kulud!E860</f>
        <v>Haridus</v>
      </c>
      <c r="F824" t="str">
        <f>Koond_kulud!F860</f>
        <v>Ferdinand von Wrangelli nim Roela Lasteaed-Põhikool</v>
      </c>
      <c r="G824" t="str">
        <f>Koond_kulud!G860</f>
        <v>isikliku sõduauto kasutus</v>
      </c>
      <c r="H824">
        <f>Koond_kulud!H860</f>
        <v>640</v>
      </c>
      <c r="I824" t="str">
        <f>Koond_kulud!I860</f>
        <v>H. Supper (10 x 64)</v>
      </c>
      <c r="J824">
        <f>Koond_kulud!J860</f>
        <v>5513</v>
      </c>
      <c r="K824" t="str">
        <f>Koond_kulud!K860</f>
        <v>Sõidukite ülalpidamise kulud</v>
      </c>
      <c r="L824">
        <f>Koond_kulud!L860</f>
        <v>55</v>
      </c>
      <c r="M824" t="str">
        <f>Koond_kulud!M860</f>
        <v>55</v>
      </c>
      <c r="N824" t="str">
        <f>Koond_kulud!N860</f>
        <v>Muud tegevuskulud</v>
      </c>
      <c r="O824" t="str">
        <f>Koond_kulud!O860</f>
        <v>Majandamiskulud</v>
      </c>
      <c r="P824" t="str">
        <f>Koond_kulud!P860</f>
        <v>Põhitegevuse kulu</v>
      </c>
      <c r="Q824">
        <f>Koond_kulud!Q860</f>
        <v>0</v>
      </c>
    </row>
    <row r="825" spans="1:17" hidden="1" x14ac:dyDescent="0.25">
      <c r="A825" t="str">
        <f>Koond_kulud!A861</f>
        <v>09</v>
      </c>
      <c r="B825" t="str">
        <f>Koond_kulud!B861</f>
        <v xml:space="preserve">0921203         </v>
      </c>
      <c r="C825" t="str">
        <f>Koond_kulud!C861</f>
        <v xml:space="preserve"> Roela kool</v>
      </c>
      <c r="D825" t="str">
        <f>Koond_kulud!D861</f>
        <v>Põhihariduse otsekulud</v>
      </c>
      <c r="E825" t="str">
        <f>Koond_kulud!E861</f>
        <v>Haridus</v>
      </c>
      <c r="F825" t="str">
        <f>Koond_kulud!F861</f>
        <v>Ferdinand von Wrangelli nim Roela Lasteaed-Põhikool</v>
      </c>
      <c r="G825" t="str">
        <f>Koond_kulud!G861</f>
        <v>isikliku sõduauto kasutus</v>
      </c>
      <c r="H825">
        <f>Koond_kulud!H861</f>
        <v>640</v>
      </c>
      <c r="I825" t="str">
        <f>Koond_kulud!I861</f>
        <v>U. Kruusimägi (10 x 64)</v>
      </c>
      <c r="J825">
        <f>Koond_kulud!J861</f>
        <v>5513</v>
      </c>
      <c r="K825" t="str">
        <f>Koond_kulud!K861</f>
        <v>Sõidukite ülalpidamise kulud</v>
      </c>
      <c r="L825">
        <f>Koond_kulud!L861</f>
        <v>55</v>
      </c>
      <c r="M825" t="str">
        <f>Koond_kulud!M861</f>
        <v>55</v>
      </c>
      <c r="N825" t="str">
        <f>Koond_kulud!N861</f>
        <v>Muud tegevuskulud</v>
      </c>
      <c r="O825" t="str">
        <f>Koond_kulud!O861</f>
        <v>Majandamiskulud</v>
      </c>
      <c r="P825" t="str">
        <f>Koond_kulud!P861</f>
        <v>Põhitegevuse kulu</v>
      </c>
      <c r="Q825">
        <f>Koond_kulud!Q861</f>
        <v>0</v>
      </c>
    </row>
    <row r="826" spans="1:17" hidden="1" x14ac:dyDescent="0.25">
      <c r="A826" t="str">
        <f>Koond_kulud!A862</f>
        <v>09</v>
      </c>
      <c r="B826" t="str">
        <f>Koond_kulud!B862</f>
        <v xml:space="preserve">0921203         </v>
      </c>
      <c r="C826" t="str">
        <f>Koond_kulud!C862</f>
        <v xml:space="preserve"> Roela kool</v>
      </c>
      <c r="D826" t="str">
        <f>Koond_kulud!D862</f>
        <v>Põhihariduse otsekulud</v>
      </c>
      <c r="E826" t="str">
        <f>Koond_kulud!E862</f>
        <v>Haridus</v>
      </c>
      <c r="F826" t="str">
        <f>Koond_kulud!F862</f>
        <v>Ferdinand von Wrangelli nim Roela Lasteaed-Põhikool</v>
      </c>
      <c r="G826" t="str">
        <f>Koond_kulud!G862</f>
        <v>isikliku sõduauto kasutus</v>
      </c>
      <c r="H826">
        <f>Koond_kulud!H862</f>
        <v>704</v>
      </c>
      <c r="I826" t="str">
        <f>Koond_kulud!I862</f>
        <v>S. Kalme (11 x 64)</v>
      </c>
      <c r="J826">
        <f>Koond_kulud!J862</f>
        <v>5513</v>
      </c>
      <c r="K826" t="str">
        <f>Koond_kulud!K862</f>
        <v>Sõidukite ülalpidamise kulud</v>
      </c>
      <c r="L826">
        <f>Koond_kulud!L862</f>
        <v>55</v>
      </c>
      <c r="M826" t="str">
        <f>Koond_kulud!M862</f>
        <v>55</v>
      </c>
      <c r="N826" t="str">
        <f>Koond_kulud!N862</f>
        <v>Muud tegevuskulud</v>
      </c>
      <c r="O826" t="str">
        <f>Koond_kulud!O862</f>
        <v>Majandamiskulud</v>
      </c>
      <c r="P826" t="str">
        <f>Koond_kulud!P862</f>
        <v>Põhitegevuse kulu</v>
      </c>
      <c r="Q826">
        <f>Koond_kulud!Q862</f>
        <v>0</v>
      </c>
    </row>
    <row r="827" spans="1:17" hidden="1" x14ac:dyDescent="0.25">
      <c r="A827" t="str">
        <f>Koond_kulud!A863</f>
        <v>09</v>
      </c>
      <c r="B827" t="str">
        <f>Koond_kulud!B863</f>
        <v xml:space="preserve">0921203         </v>
      </c>
      <c r="C827" t="str">
        <f>Koond_kulud!C863</f>
        <v xml:space="preserve"> Roela kool</v>
      </c>
      <c r="D827" t="str">
        <f>Koond_kulud!D863</f>
        <v>Põhihariduse otsekulud</v>
      </c>
      <c r="E827" t="str">
        <f>Koond_kulud!E863</f>
        <v>Haridus</v>
      </c>
      <c r="F827" t="str">
        <f>Koond_kulud!F863</f>
        <v>Ferdinand von Wrangelli nim Roela Lasteaed-Põhikool</v>
      </c>
      <c r="G827" t="str">
        <f>Koond_kulud!G863</f>
        <v>klaverihäälestamine</v>
      </c>
      <c r="H827">
        <f>Koond_kulud!H863</f>
        <v>200</v>
      </c>
      <c r="I827" t="str">
        <f>Koond_kulud!I863</f>
        <v xml:space="preserve"> klaverit</v>
      </c>
      <c r="J827">
        <f>Koond_kulud!J863</f>
        <v>5515</v>
      </c>
      <c r="K827" t="str">
        <f>Koond_kulud!K863</f>
        <v>Inventari kulud, v.a infotehnoloogia ja kaitseotstarbelised kulud</v>
      </c>
      <c r="L827">
        <f>Koond_kulud!L863</f>
        <v>55</v>
      </c>
      <c r="M827" t="str">
        <f>Koond_kulud!M863</f>
        <v>55</v>
      </c>
      <c r="N827" t="str">
        <f>Koond_kulud!N863</f>
        <v>Muud tegevuskulud</v>
      </c>
      <c r="O827" t="str">
        <f>Koond_kulud!O863</f>
        <v>Majandamiskulud</v>
      </c>
      <c r="P827" t="str">
        <f>Koond_kulud!P863</f>
        <v>Põhitegevuse kulu</v>
      </c>
      <c r="Q827">
        <f>Koond_kulud!Q863</f>
        <v>0</v>
      </c>
    </row>
    <row r="828" spans="1:17" hidden="1" x14ac:dyDescent="0.25">
      <c r="A828" t="str">
        <f>Koond_kulud!A864</f>
        <v>09</v>
      </c>
      <c r="B828" t="str">
        <f>Koond_kulud!B864</f>
        <v xml:space="preserve">0921203         </v>
      </c>
      <c r="C828" t="str">
        <f>Koond_kulud!C864</f>
        <v xml:space="preserve"> Roela kool</v>
      </c>
      <c r="D828" t="str">
        <f>Koond_kulud!D864</f>
        <v>Põhihariduse otsekulud</v>
      </c>
      <c r="E828" t="str">
        <f>Koond_kulud!E864</f>
        <v>Haridus</v>
      </c>
      <c r="F828" t="str">
        <f>Koond_kulud!F864</f>
        <v>Ferdinand von Wrangelli nim Roela Lasteaed-Põhikool</v>
      </c>
      <c r="G828" t="str">
        <f>Koond_kulud!G864</f>
        <v>seadmete remondid</v>
      </c>
      <c r="H828">
        <f>Koond_kulud!H864</f>
        <v>200</v>
      </c>
      <c r="I828">
        <f>Koond_kulud!I864</f>
        <v>0</v>
      </c>
      <c r="J828">
        <f>Koond_kulud!J864</f>
        <v>5515</v>
      </c>
      <c r="K828" t="str">
        <f>Koond_kulud!K864</f>
        <v>Inventari kulud, v.a infotehnoloogia ja kaitseotstarbelised kulud</v>
      </c>
      <c r="L828">
        <f>Koond_kulud!L864</f>
        <v>55</v>
      </c>
      <c r="M828" t="str">
        <f>Koond_kulud!M864</f>
        <v>55</v>
      </c>
      <c r="N828" t="str">
        <f>Koond_kulud!N864</f>
        <v>Muud tegevuskulud</v>
      </c>
      <c r="O828" t="str">
        <f>Koond_kulud!O864</f>
        <v>Majandamiskulud</v>
      </c>
      <c r="P828" t="str">
        <f>Koond_kulud!P864</f>
        <v>Põhitegevuse kulu</v>
      </c>
      <c r="Q828">
        <f>Koond_kulud!Q864</f>
        <v>0</v>
      </c>
    </row>
    <row r="829" spans="1:17" hidden="1" x14ac:dyDescent="0.25">
      <c r="A829" t="str">
        <f>Koond_kulud!A865</f>
        <v>09</v>
      </c>
      <c r="B829" t="str">
        <f>Koond_kulud!B865</f>
        <v xml:space="preserve">0921203         </v>
      </c>
      <c r="C829" t="str">
        <f>Koond_kulud!C865</f>
        <v xml:space="preserve"> Roela kool</v>
      </c>
      <c r="D829" t="str">
        <f>Koond_kulud!D865</f>
        <v>Põhihariduse otsekulud</v>
      </c>
      <c r="E829" t="str">
        <f>Koond_kulud!E865</f>
        <v>Haridus</v>
      </c>
      <c r="F829" t="str">
        <f>Koond_kulud!F865</f>
        <v>Ferdinand von Wrangelli nim Roela Lasteaed-Põhikool</v>
      </c>
      <c r="G829" t="str">
        <f>Koond_kulud!G865</f>
        <v>ekraan + projektor(1 tk)</v>
      </c>
      <c r="H829">
        <f>Koond_kulud!H865</f>
        <v>1000</v>
      </c>
      <c r="I829" t="str">
        <f>Koond_kulud!I865</f>
        <v>aula</v>
      </c>
      <c r="J829">
        <f>Koond_kulud!J865</f>
        <v>5515</v>
      </c>
      <c r="K829" t="str">
        <f>Koond_kulud!K865</f>
        <v>Inventari kulud, v.a infotehnoloogia ja kaitseotstarbelised kulud</v>
      </c>
      <c r="L829">
        <f>Koond_kulud!L865</f>
        <v>55</v>
      </c>
      <c r="M829" t="str">
        <f>Koond_kulud!M865</f>
        <v>55</v>
      </c>
      <c r="N829" t="str">
        <f>Koond_kulud!N865</f>
        <v>Muud tegevuskulud</v>
      </c>
      <c r="O829" t="str">
        <f>Koond_kulud!O865</f>
        <v>Majandamiskulud</v>
      </c>
      <c r="P829" t="str">
        <f>Koond_kulud!P865</f>
        <v>Põhitegevuse kulu</v>
      </c>
      <c r="Q829">
        <f>Koond_kulud!Q865</f>
        <v>0</v>
      </c>
    </row>
    <row r="830" spans="1:17" hidden="1" x14ac:dyDescent="0.25">
      <c r="A830" t="str">
        <f>Koond_kulud!A866</f>
        <v>09</v>
      </c>
      <c r="B830" t="str">
        <f>Koond_kulud!B866</f>
        <v xml:space="preserve">0921203         </v>
      </c>
      <c r="C830" t="str">
        <f>Koond_kulud!C866</f>
        <v xml:space="preserve"> Roela kool</v>
      </c>
      <c r="D830" t="str">
        <f>Koond_kulud!D866</f>
        <v>Põhihariduse otsekulud</v>
      </c>
      <c r="E830" t="str">
        <f>Koond_kulud!E866</f>
        <v>Haridus</v>
      </c>
      <c r="F830" t="str">
        <f>Koond_kulud!F866</f>
        <v>Ferdinand von Wrangelli nim Roela Lasteaed-Põhikool</v>
      </c>
      <c r="G830" t="str">
        <f>Koond_kulud!G866</f>
        <v xml:space="preserve">toiduained  </v>
      </c>
      <c r="H830">
        <f>Koond_kulud!H866</f>
        <v>10675</v>
      </c>
      <c r="I830">
        <f>Koond_kulud!I866</f>
        <v>0</v>
      </c>
      <c r="J830">
        <f>Koond_kulud!J866</f>
        <v>5521</v>
      </c>
      <c r="K830" t="str">
        <f>Koond_kulud!K866</f>
        <v>Toiduained ja toitlustusteenused</v>
      </c>
      <c r="L830">
        <f>Koond_kulud!L866</f>
        <v>55</v>
      </c>
      <c r="M830" t="str">
        <f>Koond_kulud!M866</f>
        <v>55</v>
      </c>
      <c r="N830" t="str">
        <f>Koond_kulud!N866</f>
        <v>Muud tegevuskulud</v>
      </c>
      <c r="O830" t="str">
        <f>Koond_kulud!O866</f>
        <v>Majandamiskulud</v>
      </c>
      <c r="P830" t="str">
        <f>Koond_kulud!P866</f>
        <v>Põhitegevuse kulu</v>
      </c>
      <c r="Q830">
        <f>Koond_kulud!Q866</f>
        <v>0</v>
      </c>
    </row>
    <row r="831" spans="1:17" hidden="1" x14ac:dyDescent="0.25">
      <c r="A831" t="str">
        <f>Koond_kulud!A867</f>
        <v>09</v>
      </c>
      <c r="B831" t="str">
        <f>Koond_kulud!B867</f>
        <v xml:space="preserve">0921203         </v>
      </c>
      <c r="C831" t="str">
        <f>Koond_kulud!C867</f>
        <v xml:space="preserve"> Roela kool</v>
      </c>
      <c r="D831" t="str">
        <f>Koond_kulud!D867</f>
        <v>Põhihariduse otsekulud</v>
      </c>
      <c r="E831" t="str">
        <f>Koond_kulud!E867</f>
        <v>Haridus</v>
      </c>
      <c r="F831" t="str">
        <f>Koond_kulud!F867</f>
        <v>Ferdinand von Wrangelli nim Roela Lasteaed-Põhikool</v>
      </c>
      <c r="G831" t="str">
        <f>Koond_kulud!G867</f>
        <v>töötervishoiuarst</v>
      </c>
      <c r="H831">
        <f>Koond_kulud!H867</f>
        <v>150</v>
      </c>
      <c r="I831" t="str">
        <f>Koond_kulud!I867</f>
        <v>3 töötajat</v>
      </c>
      <c r="J831">
        <f>Koond_kulud!J867</f>
        <v>5522</v>
      </c>
      <c r="K831" t="str">
        <f>Koond_kulud!K867</f>
        <v>Meditsiinikulud ja hügieenitarbed</v>
      </c>
      <c r="L831">
        <f>Koond_kulud!L867</f>
        <v>55</v>
      </c>
      <c r="M831" t="str">
        <f>Koond_kulud!M867</f>
        <v>55</v>
      </c>
      <c r="N831" t="str">
        <f>Koond_kulud!N867</f>
        <v>Muud tegevuskulud</v>
      </c>
      <c r="O831" t="str">
        <f>Koond_kulud!O867</f>
        <v>Majandamiskulud</v>
      </c>
      <c r="P831" t="str">
        <f>Koond_kulud!P867</f>
        <v>Põhitegevuse kulu</v>
      </c>
      <c r="Q831">
        <f>Koond_kulud!Q867</f>
        <v>0</v>
      </c>
    </row>
    <row r="832" spans="1:17" hidden="1" x14ac:dyDescent="0.25">
      <c r="A832" t="str">
        <f>Koond_kulud!A868</f>
        <v>09</v>
      </c>
      <c r="B832" t="str">
        <f>Koond_kulud!B868</f>
        <v xml:space="preserve">0921203         </v>
      </c>
      <c r="C832" t="str">
        <f>Koond_kulud!C868</f>
        <v xml:space="preserve"> Roela kool</v>
      </c>
      <c r="D832" t="str">
        <f>Koond_kulud!D868</f>
        <v>Põhihariduse otsekulud</v>
      </c>
      <c r="E832" t="str">
        <f>Koond_kulud!E868</f>
        <v>Haridus</v>
      </c>
      <c r="F832" t="str">
        <f>Koond_kulud!F868</f>
        <v>Ferdinand von Wrangelli nim Roela Lasteaed-Põhikool</v>
      </c>
      <c r="G832" t="str">
        <f>Koond_kulud!G868</f>
        <v>plaastrid, sidemed jne</v>
      </c>
      <c r="H832">
        <f>Koond_kulud!H868</f>
        <v>100</v>
      </c>
      <c r="I832">
        <f>Koond_kulud!I868</f>
        <v>0</v>
      </c>
      <c r="J832">
        <f>Koond_kulud!J868</f>
        <v>5522</v>
      </c>
      <c r="K832" t="str">
        <f>Koond_kulud!K868</f>
        <v>Meditsiinikulud ja hügieenitarbed</v>
      </c>
      <c r="L832">
        <f>Koond_kulud!L868</f>
        <v>55</v>
      </c>
      <c r="M832" t="str">
        <f>Koond_kulud!M868</f>
        <v>55</v>
      </c>
      <c r="N832" t="str">
        <f>Koond_kulud!N868</f>
        <v>Muud tegevuskulud</v>
      </c>
      <c r="O832" t="str">
        <f>Koond_kulud!O868</f>
        <v>Majandamiskulud</v>
      </c>
      <c r="P832" t="str">
        <f>Koond_kulud!P868</f>
        <v>Põhitegevuse kulu</v>
      </c>
      <c r="Q832">
        <f>Koond_kulud!Q868</f>
        <v>0</v>
      </c>
    </row>
    <row r="833" spans="1:17" hidden="1" x14ac:dyDescent="0.25">
      <c r="A833" t="str">
        <f>Koond_kulud!A869</f>
        <v>09</v>
      </c>
      <c r="B833" t="str">
        <f>Koond_kulud!B869</f>
        <v xml:space="preserve">0921203         </v>
      </c>
      <c r="C833" t="str">
        <f>Koond_kulud!C869</f>
        <v xml:space="preserve"> Roela kool</v>
      </c>
      <c r="D833" t="str">
        <f>Koond_kulud!D869</f>
        <v>Põhihariduse otsekulud</v>
      </c>
      <c r="E833" t="str">
        <f>Koond_kulud!E869</f>
        <v>Haridus</v>
      </c>
      <c r="F833" t="str">
        <f>Koond_kulud!F869</f>
        <v>Ferdinand von Wrangelli nim Roela Lasteaed-Põhikool</v>
      </c>
      <c r="G833" t="str">
        <f>Koond_kulud!G869</f>
        <v>õpikud</v>
      </c>
      <c r="H833">
        <f>Koond_kulud!H869</f>
        <v>200</v>
      </c>
      <c r="I833">
        <f>Koond_kulud!I869</f>
        <v>0</v>
      </c>
      <c r="J833">
        <f>Koond_kulud!J869</f>
        <v>5524</v>
      </c>
      <c r="K833" t="str">
        <f>Koond_kulud!K869</f>
        <v>Õppevahendid</v>
      </c>
      <c r="L833">
        <f>Koond_kulud!L869</f>
        <v>55</v>
      </c>
      <c r="M833" t="str">
        <f>Koond_kulud!M869</f>
        <v>55</v>
      </c>
      <c r="N833" t="str">
        <f>Koond_kulud!N869</f>
        <v>Muud tegevuskulud</v>
      </c>
      <c r="O833" t="str">
        <f>Koond_kulud!O869</f>
        <v>Majandamiskulud</v>
      </c>
      <c r="P833" t="str">
        <f>Koond_kulud!P869</f>
        <v>Põhitegevuse kulu</v>
      </c>
      <c r="Q833">
        <f>Koond_kulud!Q869</f>
        <v>0</v>
      </c>
    </row>
    <row r="834" spans="1:17" hidden="1" x14ac:dyDescent="0.25">
      <c r="A834" t="str">
        <f>Koond_kulud!A870</f>
        <v>09</v>
      </c>
      <c r="B834" t="str">
        <f>Koond_kulud!B870</f>
        <v xml:space="preserve">0921203         </v>
      </c>
      <c r="C834" t="str">
        <f>Koond_kulud!C870</f>
        <v xml:space="preserve"> Roela kool</v>
      </c>
      <c r="D834" t="str">
        <f>Koond_kulud!D870</f>
        <v>Põhihariduse otsekulud</v>
      </c>
      <c r="E834" t="str">
        <f>Koond_kulud!E870</f>
        <v>Haridus</v>
      </c>
      <c r="F834" t="str">
        <f>Koond_kulud!F870</f>
        <v>Ferdinand von Wrangelli nim Roela Lasteaed-Põhikool</v>
      </c>
      <c r="G834" t="str">
        <f>Koond_kulud!G870</f>
        <v>töövihikud</v>
      </c>
      <c r="H834">
        <f>Koond_kulud!H870</f>
        <v>3023</v>
      </c>
      <c r="I834" t="str">
        <f>Koond_kulud!I870</f>
        <v>tellimislehti pole veel</v>
      </c>
      <c r="J834">
        <f>Koond_kulud!J870</f>
        <v>5524</v>
      </c>
      <c r="K834" t="str">
        <f>Koond_kulud!K870</f>
        <v>Õppevahendid</v>
      </c>
      <c r="L834">
        <f>Koond_kulud!L870</f>
        <v>55</v>
      </c>
      <c r="M834" t="str">
        <f>Koond_kulud!M870</f>
        <v>55</v>
      </c>
      <c r="N834" t="str">
        <f>Koond_kulud!N870</f>
        <v>Muud tegevuskulud</v>
      </c>
      <c r="O834" t="str">
        <f>Koond_kulud!O870</f>
        <v>Majandamiskulud</v>
      </c>
      <c r="P834" t="str">
        <f>Koond_kulud!P870</f>
        <v>Põhitegevuse kulu</v>
      </c>
      <c r="Q834">
        <f>Koond_kulud!Q870</f>
        <v>0</v>
      </c>
    </row>
    <row r="835" spans="1:17" hidden="1" x14ac:dyDescent="0.25">
      <c r="A835" t="str">
        <f>Koond_kulud!A871</f>
        <v>09</v>
      </c>
      <c r="B835" t="str">
        <f>Koond_kulud!B871</f>
        <v xml:space="preserve">0921203         </v>
      </c>
      <c r="C835" t="str">
        <f>Koond_kulud!C871</f>
        <v xml:space="preserve"> Roela kool</v>
      </c>
      <c r="D835" t="str">
        <f>Koond_kulud!D871</f>
        <v>Põhihariduse otsekulud</v>
      </c>
      <c r="E835" t="str">
        <f>Koond_kulud!E871</f>
        <v>Haridus</v>
      </c>
      <c r="F835" t="str">
        <f>Koond_kulud!F871</f>
        <v>Ferdinand von Wrangelli nim Roela Lasteaed-Põhikool</v>
      </c>
      <c r="G835" t="str">
        <f>Koond_kulud!G871</f>
        <v>õpetajate tööraamatud, CD</v>
      </c>
      <c r="H835">
        <f>Koond_kulud!H871</f>
        <v>100</v>
      </c>
      <c r="I835">
        <f>Koond_kulud!I871</f>
        <v>0</v>
      </c>
      <c r="J835">
        <f>Koond_kulud!J871</f>
        <v>5524</v>
      </c>
      <c r="K835" t="str">
        <f>Koond_kulud!K871</f>
        <v>Õppevahendid</v>
      </c>
      <c r="L835">
        <f>Koond_kulud!L871</f>
        <v>55</v>
      </c>
      <c r="M835" t="str">
        <f>Koond_kulud!M871</f>
        <v>55</v>
      </c>
      <c r="N835" t="str">
        <f>Koond_kulud!N871</f>
        <v>Muud tegevuskulud</v>
      </c>
      <c r="O835" t="str">
        <f>Koond_kulud!O871</f>
        <v>Majandamiskulud</v>
      </c>
      <c r="P835" t="str">
        <f>Koond_kulud!P871</f>
        <v>Põhitegevuse kulu</v>
      </c>
      <c r="Q835">
        <f>Koond_kulud!Q871</f>
        <v>0</v>
      </c>
    </row>
    <row r="836" spans="1:17" hidden="1" x14ac:dyDescent="0.25">
      <c r="A836" t="str">
        <f>Koond_kulud!A872</f>
        <v>09</v>
      </c>
      <c r="B836" t="str">
        <f>Koond_kulud!B872</f>
        <v xml:space="preserve">0921203         </v>
      </c>
      <c r="C836" t="str">
        <f>Koond_kulud!C872</f>
        <v xml:space="preserve"> Roela kool</v>
      </c>
      <c r="D836" t="str">
        <f>Koond_kulud!D872</f>
        <v>Põhihariduse otsekulud</v>
      </c>
      <c r="E836" t="str">
        <f>Koond_kulud!E872</f>
        <v>Haridus</v>
      </c>
      <c r="F836" t="str">
        <f>Koond_kulud!F872</f>
        <v>Ferdinand von Wrangelli nim Roela Lasteaed-Põhikool</v>
      </c>
      <c r="G836" t="str">
        <f>Koond_kulud!G872</f>
        <v>Õppevahendid</v>
      </c>
      <c r="H836">
        <f>Koond_kulud!H872</f>
        <v>500</v>
      </c>
      <c r="I836" t="str">
        <f>Koond_kulud!I872</f>
        <v>värvil.paber,joonistuspaber,värvid,mänguasjad</v>
      </c>
      <c r="J836">
        <f>Koond_kulud!J872</f>
        <v>5524</v>
      </c>
      <c r="K836" t="str">
        <f>Koond_kulud!K872</f>
        <v>Õppevahendid</v>
      </c>
      <c r="L836">
        <f>Koond_kulud!L872</f>
        <v>55</v>
      </c>
      <c r="M836" t="str">
        <f>Koond_kulud!M872</f>
        <v>55</v>
      </c>
      <c r="N836" t="str">
        <f>Koond_kulud!N872</f>
        <v>Muud tegevuskulud</v>
      </c>
      <c r="O836" t="str">
        <f>Koond_kulud!O872</f>
        <v>Majandamiskulud</v>
      </c>
      <c r="P836" t="str">
        <f>Koond_kulud!P872</f>
        <v>Põhitegevuse kulu</v>
      </c>
      <c r="Q836">
        <f>Koond_kulud!Q872</f>
        <v>0</v>
      </c>
    </row>
    <row r="837" spans="1:17" hidden="1" x14ac:dyDescent="0.25">
      <c r="A837" t="str">
        <f>Koond_kulud!A873</f>
        <v>09</v>
      </c>
      <c r="B837" t="str">
        <f>Koond_kulud!B873</f>
        <v xml:space="preserve">0921203         </v>
      </c>
      <c r="C837" t="str">
        <f>Koond_kulud!C873</f>
        <v xml:space="preserve"> Roela kool</v>
      </c>
      <c r="D837" t="str">
        <f>Koond_kulud!D873</f>
        <v>Põhihariduse otsekulud</v>
      </c>
      <c r="E837" t="str">
        <f>Koond_kulud!E873</f>
        <v>Haridus</v>
      </c>
      <c r="F837" t="str">
        <f>Koond_kulud!F873</f>
        <v>Ferdinand von Wrangelli nim Roela Lasteaed-Põhikool</v>
      </c>
      <c r="G837" t="str">
        <f>Koond_kulud!G873</f>
        <v>sporditarbed</v>
      </c>
      <c r="H837">
        <f>Koond_kulud!H873</f>
        <v>500</v>
      </c>
      <c r="I837" t="str">
        <f>Koond_kulud!I873</f>
        <v>pallid, kõrgushüppe postid, tõkked</v>
      </c>
      <c r="J837">
        <f>Koond_kulud!J873</f>
        <v>5524</v>
      </c>
      <c r="K837" t="str">
        <f>Koond_kulud!K873</f>
        <v>Õppevahendid</v>
      </c>
      <c r="L837">
        <f>Koond_kulud!L873</f>
        <v>55</v>
      </c>
      <c r="M837" t="str">
        <f>Koond_kulud!M873</f>
        <v>55</v>
      </c>
      <c r="N837" t="str">
        <f>Koond_kulud!N873</f>
        <v>Muud tegevuskulud</v>
      </c>
      <c r="O837" t="str">
        <f>Koond_kulud!O873</f>
        <v>Majandamiskulud</v>
      </c>
      <c r="P837" t="str">
        <f>Koond_kulud!P873</f>
        <v>Põhitegevuse kulu</v>
      </c>
      <c r="Q837">
        <f>Koond_kulud!Q873</f>
        <v>0</v>
      </c>
    </row>
    <row r="838" spans="1:17" hidden="1" x14ac:dyDescent="0.25">
      <c r="A838" t="str">
        <f>Koond_kulud!A874</f>
        <v>09</v>
      </c>
      <c r="B838" t="str">
        <f>Koond_kulud!B874</f>
        <v xml:space="preserve">0921203         </v>
      </c>
      <c r="C838" t="str">
        <f>Koond_kulud!C874</f>
        <v xml:space="preserve"> Roela kool</v>
      </c>
      <c r="D838" t="str">
        <f>Koond_kulud!D874</f>
        <v>Põhihariduse otsekulud</v>
      </c>
      <c r="E838" t="str">
        <f>Koond_kulud!E874</f>
        <v>Haridus</v>
      </c>
      <c r="F838" t="str">
        <f>Koond_kulud!F874</f>
        <v>Ferdinand von Wrangelli nim Roela Lasteaed-Põhikool</v>
      </c>
      <c r="G838" t="str">
        <f>Koond_kulud!G874</f>
        <v>poiste tööõpetus</v>
      </c>
      <c r="H838">
        <f>Koond_kulud!H874</f>
        <v>100</v>
      </c>
      <c r="I838" t="str">
        <f>Koond_kulud!I874</f>
        <v>kruvid, naelad, vineerisaelehed,liivapaber</v>
      </c>
      <c r="J838">
        <f>Koond_kulud!J874</f>
        <v>5524</v>
      </c>
      <c r="K838" t="str">
        <f>Koond_kulud!K874</f>
        <v>Õppevahendid</v>
      </c>
      <c r="L838">
        <f>Koond_kulud!L874</f>
        <v>55</v>
      </c>
      <c r="M838" t="str">
        <f>Koond_kulud!M874</f>
        <v>55</v>
      </c>
      <c r="N838" t="str">
        <f>Koond_kulud!N874</f>
        <v>Muud tegevuskulud</v>
      </c>
      <c r="O838" t="str">
        <f>Koond_kulud!O874</f>
        <v>Majandamiskulud</v>
      </c>
      <c r="P838" t="str">
        <f>Koond_kulud!P874</f>
        <v>Põhitegevuse kulu</v>
      </c>
      <c r="Q838">
        <f>Koond_kulud!Q874</f>
        <v>0</v>
      </c>
    </row>
    <row r="839" spans="1:17" hidden="1" x14ac:dyDescent="0.25">
      <c r="A839" t="str">
        <f>Koond_kulud!A875</f>
        <v>09</v>
      </c>
      <c r="B839" t="str">
        <f>Koond_kulud!B875</f>
        <v xml:space="preserve">0921203         </v>
      </c>
      <c r="C839" t="str">
        <f>Koond_kulud!C875</f>
        <v xml:space="preserve"> Roela kool</v>
      </c>
      <c r="D839" t="str">
        <f>Koond_kulud!D875</f>
        <v>Põhihariduse otsekulud</v>
      </c>
      <c r="E839" t="str">
        <f>Koond_kulud!E875</f>
        <v>Haridus</v>
      </c>
      <c r="F839" t="str">
        <f>Koond_kulud!F875</f>
        <v>Ferdinand von Wrangelli nim Roela Lasteaed-Põhikool</v>
      </c>
      <c r="G839" t="str">
        <f>Koond_kulud!G875</f>
        <v>kodundus</v>
      </c>
      <c r="H839">
        <f>Koond_kulud!H875</f>
        <v>200</v>
      </c>
      <c r="I839" t="str">
        <f>Koond_kulud!I875</f>
        <v>käsitöövahendid, toiduained</v>
      </c>
      <c r="J839">
        <f>Koond_kulud!J875</f>
        <v>5524</v>
      </c>
      <c r="K839" t="str">
        <f>Koond_kulud!K875</f>
        <v>Õppevahendid</v>
      </c>
      <c r="L839">
        <f>Koond_kulud!L875</f>
        <v>55</v>
      </c>
      <c r="M839" t="str">
        <f>Koond_kulud!M875</f>
        <v>55</v>
      </c>
      <c r="N839" t="str">
        <f>Koond_kulud!N875</f>
        <v>Muud tegevuskulud</v>
      </c>
      <c r="O839" t="str">
        <f>Koond_kulud!O875</f>
        <v>Majandamiskulud</v>
      </c>
      <c r="P839" t="str">
        <f>Koond_kulud!P875</f>
        <v>Põhitegevuse kulu</v>
      </c>
      <c r="Q839">
        <f>Koond_kulud!Q875</f>
        <v>0</v>
      </c>
    </row>
    <row r="840" spans="1:17" hidden="1" x14ac:dyDescent="0.25">
      <c r="A840" t="str">
        <f>Koond_kulud!A876</f>
        <v>09</v>
      </c>
      <c r="B840" t="str">
        <f>Koond_kulud!B876</f>
        <v xml:space="preserve">0921203         </v>
      </c>
      <c r="C840" t="str">
        <f>Koond_kulud!C876</f>
        <v xml:space="preserve"> Roela kool</v>
      </c>
      <c r="D840" t="str">
        <f>Koond_kulud!D876</f>
        <v>Põhihariduse otsekulud</v>
      </c>
      <c r="E840" t="str">
        <f>Koond_kulud!E876</f>
        <v>Haridus</v>
      </c>
      <c r="F840" t="str">
        <f>Koond_kulud!F876</f>
        <v>Ferdinand von Wrangelli nim Roela Lasteaed-Põhikool</v>
      </c>
      <c r="G840" t="str">
        <f>Koond_kulud!G876</f>
        <v>õppeköök</v>
      </c>
      <c r="H840">
        <f>Koond_kulud!H876</f>
        <v>200</v>
      </c>
      <c r="I840" t="str">
        <f>Koond_kulud!I876</f>
        <v>köögi tarvikud (pannid, kausid, noad)</v>
      </c>
      <c r="J840">
        <f>Koond_kulud!J876</f>
        <v>5524</v>
      </c>
      <c r="K840" t="str">
        <f>Koond_kulud!K876</f>
        <v>Õppevahendid</v>
      </c>
      <c r="L840">
        <f>Koond_kulud!L876</f>
        <v>55</v>
      </c>
      <c r="M840" t="str">
        <f>Koond_kulud!M876</f>
        <v>55</v>
      </c>
      <c r="N840" t="str">
        <f>Koond_kulud!N876</f>
        <v>Muud tegevuskulud</v>
      </c>
      <c r="O840" t="str">
        <f>Koond_kulud!O876</f>
        <v>Majandamiskulud</v>
      </c>
      <c r="P840" t="str">
        <f>Koond_kulud!P876</f>
        <v>Põhitegevuse kulu</v>
      </c>
      <c r="Q840">
        <f>Koond_kulud!Q876</f>
        <v>0</v>
      </c>
    </row>
    <row r="841" spans="1:17" hidden="1" x14ac:dyDescent="0.25">
      <c r="A841" t="str">
        <f>Koond_kulud!A877</f>
        <v>09</v>
      </c>
      <c r="B841" t="str">
        <f>Koond_kulud!B877</f>
        <v xml:space="preserve">0921203         </v>
      </c>
      <c r="C841" t="str">
        <f>Koond_kulud!C877</f>
        <v xml:space="preserve"> Roela kool</v>
      </c>
      <c r="D841" t="str">
        <f>Koond_kulud!D877</f>
        <v>Põhihariduse otsekulud</v>
      </c>
      <c r="E841" t="str">
        <f>Koond_kulud!E877</f>
        <v>Haridus</v>
      </c>
      <c r="F841" t="str">
        <f>Koond_kulud!F877</f>
        <v>Ferdinand von Wrangelli nim Roela Lasteaed-Põhikool</v>
      </c>
      <c r="G841" t="str">
        <f>Koond_kulud!G877</f>
        <v>ATV bensiin suusaradade hoolduseks ja korrashoid</v>
      </c>
      <c r="H841">
        <f>Koond_kulud!H877</f>
        <v>150</v>
      </c>
      <c r="I841">
        <f>Koond_kulud!I877</f>
        <v>0</v>
      </c>
      <c r="J841">
        <f>Koond_kulud!J877</f>
        <v>5524</v>
      </c>
      <c r="K841" t="str">
        <f>Koond_kulud!K877</f>
        <v>Õppevahendid</v>
      </c>
      <c r="L841">
        <f>Koond_kulud!L877</f>
        <v>55</v>
      </c>
      <c r="M841" t="str">
        <f>Koond_kulud!M877</f>
        <v>55</v>
      </c>
      <c r="N841" t="str">
        <f>Koond_kulud!N877</f>
        <v>Muud tegevuskulud</v>
      </c>
      <c r="O841" t="str">
        <f>Koond_kulud!O877</f>
        <v>Majandamiskulud</v>
      </c>
      <c r="P841" t="str">
        <f>Koond_kulud!P877</f>
        <v>Põhitegevuse kulu</v>
      </c>
      <c r="Q841">
        <f>Koond_kulud!Q877</f>
        <v>0</v>
      </c>
    </row>
    <row r="842" spans="1:17" hidden="1" x14ac:dyDescent="0.25">
      <c r="A842" t="str">
        <f>Koond_kulud!A878</f>
        <v>09</v>
      </c>
      <c r="B842" t="str">
        <f>Koond_kulud!B878</f>
        <v xml:space="preserve">0921203         </v>
      </c>
      <c r="C842" t="str">
        <f>Koond_kulud!C878</f>
        <v xml:space="preserve"> Roela kool</v>
      </c>
      <c r="D842" t="str">
        <f>Koond_kulud!D878</f>
        <v>Põhihariduse otsekulud</v>
      </c>
      <c r="E842" t="str">
        <f>Koond_kulud!E878</f>
        <v>Haridus</v>
      </c>
      <c r="F842" t="str">
        <f>Koond_kulud!F878</f>
        <v>Ferdinand von Wrangelli nim Roela Lasteaed-Põhikool</v>
      </c>
      <c r="G842" t="str">
        <f>Koond_kulud!G878</f>
        <v>lõpetamine (kingitused lõpetajatele)</v>
      </c>
      <c r="H842">
        <f>Koond_kulud!H878</f>
        <v>150</v>
      </c>
      <c r="I842" t="str">
        <f>Koond_kulud!I878</f>
        <v>kool + LA</v>
      </c>
      <c r="J842">
        <f>Koond_kulud!J878</f>
        <v>5525</v>
      </c>
      <c r="K842" t="str">
        <f>Koond_kulud!K878</f>
        <v>Kommunikatsiooni-, kultuuri- ja vaba aja sisustamise kulud</v>
      </c>
      <c r="L842">
        <f>Koond_kulud!L878</f>
        <v>55</v>
      </c>
      <c r="M842" t="str">
        <f>Koond_kulud!M878</f>
        <v>55</v>
      </c>
      <c r="N842" t="str">
        <f>Koond_kulud!N878</f>
        <v>Muud tegevuskulud</v>
      </c>
      <c r="O842" t="str">
        <f>Koond_kulud!O878</f>
        <v>Majandamiskulud</v>
      </c>
      <c r="P842" t="str">
        <f>Koond_kulud!P878</f>
        <v>Põhitegevuse kulu</v>
      </c>
      <c r="Q842">
        <f>Koond_kulud!Q878</f>
        <v>0</v>
      </c>
    </row>
    <row r="843" spans="1:17" hidden="1" x14ac:dyDescent="0.25">
      <c r="A843" t="str">
        <f>Koond_kulud!A879</f>
        <v>09</v>
      </c>
      <c r="B843" t="str">
        <f>Koond_kulud!B879</f>
        <v xml:space="preserve">0921203         </v>
      </c>
      <c r="C843" t="str">
        <f>Koond_kulud!C879</f>
        <v xml:space="preserve"> Roela kool</v>
      </c>
      <c r="D843" t="str">
        <f>Koond_kulud!D879</f>
        <v>Põhihariduse otsekulud</v>
      </c>
      <c r="E843" t="str">
        <f>Koond_kulud!E879</f>
        <v>Haridus</v>
      </c>
      <c r="F843" t="str">
        <f>Koond_kulud!F879</f>
        <v>Ferdinand von Wrangelli nim Roela Lasteaed-Põhikool</v>
      </c>
      <c r="G843" t="str">
        <f>Koond_kulud!G879</f>
        <v>kooli logoga meened kingitusteks</v>
      </c>
      <c r="H843">
        <f>Koond_kulud!H879</f>
        <v>150</v>
      </c>
      <c r="I843">
        <f>Koond_kulud!I879</f>
        <v>0</v>
      </c>
      <c r="J843">
        <f>Koond_kulud!J879</f>
        <v>5525</v>
      </c>
      <c r="K843" t="str">
        <f>Koond_kulud!K879</f>
        <v>Kommunikatsiooni-, kultuuri- ja vaba aja sisustamise kulud</v>
      </c>
      <c r="L843">
        <f>Koond_kulud!L879</f>
        <v>55</v>
      </c>
      <c r="M843" t="str">
        <f>Koond_kulud!M879</f>
        <v>55</v>
      </c>
      <c r="N843" t="str">
        <f>Koond_kulud!N879</f>
        <v>Muud tegevuskulud</v>
      </c>
      <c r="O843" t="str">
        <f>Koond_kulud!O879</f>
        <v>Majandamiskulud</v>
      </c>
      <c r="P843" t="str">
        <f>Koond_kulud!P879</f>
        <v>Põhitegevuse kulu</v>
      </c>
      <c r="Q843">
        <f>Koond_kulud!Q879</f>
        <v>0</v>
      </c>
    </row>
    <row r="844" spans="1:17" hidden="1" x14ac:dyDescent="0.25">
      <c r="A844" t="str">
        <f>Koond_kulud!A880</f>
        <v>09</v>
      </c>
      <c r="B844" t="str">
        <f>Koond_kulud!B880</f>
        <v xml:space="preserve">0921203         </v>
      </c>
      <c r="C844" t="str">
        <f>Koond_kulud!C880</f>
        <v xml:space="preserve"> Roela kool</v>
      </c>
      <c r="D844" t="str">
        <f>Koond_kulud!D880</f>
        <v>Põhihariduse otsekulud</v>
      </c>
      <c r="E844" t="str">
        <f>Koond_kulud!E880</f>
        <v>Haridus</v>
      </c>
      <c r="F844" t="str">
        <f>Koond_kulud!F880</f>
        <v>Ferdinand von Wrangelli nim Roela Lasteaed-Põhikool</v>
      </c>
      <c r="G844" t="str">
        <f>Koond_kulud!G880</f>
        <v>õpilaste premeerimine saavutuste puhul</v>
      </c>
      <c r="H844">
        <f>Koond_kulud!H880</f>
        <v>150</v>
      </c>
      <c r="I844">
        <f>Koond_kulud!I880</f>
        <v>0</v>
      </c>
      <c r="J844">
        <f>Koond_kulud!J880</f>
        <v>5525</v>
      </c>
      <c r="K844" t="str">
        <f>Koond_kulud!K880</f>
        <v>Kommunikatsiooni-, kultuuri- ja vaba aja sisustamise kulud</v>
      </c>
      <c r="L844">
        <f>Koond_kulud!L880</f>
        <v>55</v>
      </c>
      <c r="M844" t="str">
        <f>Koond_kulud!M880</f>
        <v>55</v>
      </c>
      <c r="N844" t="str">
        <f>Koond_kulud!N880</f>
        <v>Muud tegevuskulud</v>
      </c>
      <c r="O844" t="str">
        <f>Koond_kulud!O880</f>
        <v>Majandamiskulud</v>
      </c>
      <c r="P844" t="str">
        <f>Koond_kulud!P880</f>
        <v>Põhitegevuse kulu</v>
      </c>
      <c r="Q844">
        <f>Koond_kulud!Q880</f>
        <v>0</v>
      </c>
    </row>
    <row r="845" spans="1:17" hidden="1" x14ac:dyDescent="0.25">
      <c r="A845" t="str">
        <f>Koond_kulud!A881</f>
        <v>09</v>
      </c>
      <c r="B845" t="str">
        <f>Koond_kulud!B881</f>
        <v xml:space="preserve">0921203         </v>
      </c>
      <c r="C845" t="str">
        <f>Koond_kulud!C881</f>
        <v xml:space="preserve"> Roela kool</v>
      </c>
      <c r="D845" t="str">
        <f>Koond_kulud!D881</f>
        <v>Põhihariduse otsekulud</v>
      </c>
      <c r="E845" t="str">
        <f>Koond_kulud!E881</f>
        <v>Haridus</v>
      </c>
      <c r="F845" t="str">
        <f>Koond_kulud!F881</f>
        <v>Ferdinand von Wrangelli nim Roela Lasteaed-Põhikool</v>
      </c>
      <c r="G845" t="str">
        <f>Koond_kulud!G881</f>
        <v>lilled ürituste dekoreerimiseks</v>
      </c>
      <c r="H845">
        <f>Koond_kulud!H881</f>
        <v>200</v>
      </c>
      <c r="I845">
        <f>Koond_kulud!I881</f>
        <v>0</v>
      </c>
      <c r="J845">
        <f>Koond_kulud!J881</f>
        <v>5525</v>
      </c>
      <c r="K845" t="str">
        <f>Koond_kulud!K881</f>
        <v>Kommunikatsiooni-, kultuuri- ja vaba aja sisustamise kulud</v>
      </c>
      <c r="L845">
        <f>Koond_kulud!L881</f>
        <v>55</v>
      </c>
      <c r="M845" t="str">
        <f>Koond_kulud!M881</f>
        <v>55</v>
      </c>
      <c r="N845" t="str">
        <f>Koond_kulud!N881</f>
        <v>Muud tegevuskulud</v>
      </c>
      <c r="O845" t="str">
        <f>Koond_kulud!O881</f>
        <v>Majandamiskulud</v>
      </c>
      <c r="P845" t="str">
        <f>Koond_kulud!P881</f>
        <v>Põhitegevuse kulu</v>
      </c>
      <c r="Q845">
        <f>Koond_kulud!Q881</f>
        <v>0</v>
      </c>
    </row>
    <row r="846" spans="1:17" hidden="1" x14ac:dyDescent="0.25">
      <c r="A846" t="str">
        <f>Koond_kulud!A882</f>
        <v>09</v>
      </c>
      <c r="B846" t="str">
        <f>Koond_kulud!B882</f>
        <v xml:space="preserve">0921203         </v>
      </c>
      <c r="C846" t="str">
        <f>Koond_kulud!C882</f>
        <v xml:space="preserve"> Roela kool</v>
      </c>
      <c r="D846" t="str">
        <f>Koond_kulud!D882</f>
        <v>Põhihariduse otsekulud</v>
      </c>
      <c r="E846" t="str">
        <f>Koond_kulud!E882</f>
        <v>Haridus</v>
      </c>
      <c r="F846" t="str">
        <f>Koond_kulud!F882</f>
        <v>Ferdinand von Wrangelli nim Roela Lasteaed-Põhikool</v>
      </c>
      <c r="G846" t="str">
        <f>Koond_kulud!G882</f>
        <v>spordipäevade auhinnad</v>
      </c>
      <c r="H846">
        <f>Koond_kulud!H882</f>
        <v>100</v>
      </c>
      <c r="I846">
        <f>Koond_kulud!I882</f>
        <v>0</v>
      </c>
      <c r="J846">
        <f>Koond_kulud!J882</f>
        <v>5525</v>
      </c>
      <c r="K846" t="str">
        <f>Koond_kulud!K882</f>
        <v>Kommunikatsiooni-, kultuuri- ja vaba aja sisustamise kulud</v>
      </c>
      <c r="L846">
        <f>Koond_kulud!L882</f>
        <v>55</v>
      </c>
      <c r="M846" t="str">
        <f>Koond_kulud!M882</f>
        <v>55</v>
      </c>
      <c r="N846" t="str">
        <f>Koond_kulud!N882</f>
        <v>Muud tegevuskulud</v>
      </c>
      <c r="O846" t="str">
        <f>Koond_kulud!O882</f>
        <v>Majandamiskulud</v>
      </c>
      <c r="P846" t="str">
        <f>Koond_kulud!P882</f>
        <v>Põhitegevuse kulu</v>
      </c>
      <c r="Q846">
        <f>Koond_kulud!Q882</f>
        <v>0</v>
      </c>
    </row>
    <row r="847" spans="1:17" hidden="1" x14ac:dyDescent="0.25">
      <c r="A847" t="str">
        <f>Koond_kulud!A883</f>
        <v>09</v>
      </c>
      <c r="B847" t="str">
        <f>Koond_kulud!B883</f>
        <v xml:space="preserve">0921203         </v>
      </c>
      <c r="C847" t="str">
        <f>Koond_kulud!C883</f>
        <v xml:space="preserve"> Roela kool</v>
      </c>
      <c r="D847" t="str">
        <f>Koond_kulud!D883</f>
        <v>Põhihariduse otsekulud</v>
      </c>
      <c r="E847" t="str">
        <f>Koond_kulud!E883</f>
        <v>Haridus</v>
      </c>
      <c r="F847" t="str">
        <f>Koond_kulud!F883</f>
        <v>Ferdinand von Wrangelli nim Roela Lasteaed-Põhikool</v>
      </c>
      <c r="G847" t="str">
        <f>Koond_kulud!G883</f>
        <v>õppeekskursioon õpetajatele</v>
      </c>
      <c r="H847">
        <f>Koond_kulud!H883</f>
        <v>700</v>
      </c>
      <c r="I847">
        <f>Koond_kulud!I883</f>
        <v>0</v>
      </c>
      <c r="J847">
        <f>Koond_kulud!J883</f>
        <v>5525</v>
      </c>
      <c r="K847" t="str">
        <f>Koond_kulud!K883</f>
        <v>Kommunikatsiooni-, kultuuri- ja vaba aja sisustamise kulud</v>
      </c>
      <c r="L847">
        <f>Koond_kulud!L883</f>
        <v>55</v>
      </c>
      <c r="M847" t="str">
        <f>Koond_kulud!M883</f>
        <v>55</v>
      </c>
      <c r="N847" t="str">
        <f>Koond_kulud!N883</f>
        <v>Muud tegevuskulud</v>
      </c>
      <c r="O847" t="str">
        <f>Koond_kulud!O883</f>
        <v>Majandamiskulud</v>
      </c>
      <c r="P847" t="str">
        <f>Koond_kulud!P883</f>
        <v>Põhitegevuse kulu</v>
      </c>
      <c r="Q847">
        <f>Koond_kulud!Q883</f>
        <v>0</v>
      </c>
    </row>
    <row r="848" spans="1:17" hidden="1" x14ac:dyDescent="0.25">
      <c r="A848" t="str">
        <f>Koond_kulud!A884</f>
        <v>09</v>
      </c>
      <c r="B848" t="str">
        <f>Koond_kulud!B884</f>
        <v xml:space="preserve">0921203         </v>
      </c>
      <c r="C848" t="str">
        <f>Koond_kulud!C884</f>
        <v xml:space="preserve"> Roela kool</v>
      </c>
      <c r="D848" t="str">
        <f>Koond_kulud!D884</f>
        <v>Põhihariduse otsekulud</v>
      </c>
      <c r="E848" t="str">
        <f>Koond_kulud!E884</f>
        <v>Haridus</v>
      </c>
      <c r="F848" t="str">
        <f>Koond_kulud!F884</f>
        <v>Ferdinand von Wrangelli nim Roela Lasteaed-Põhikool</v>
      </c>
      <c r="G848" t="str">
        <f>Koond_kulud!G884</f>
        <v>küte</v>
      </c>
      <c r="H848">
        <f>Koond_kulud!H884</f>
        <v>37000</v>
      </c>
      <c r="I848">
        <f>Koond_kulud!I884</f>
        <v>0</v>
      </c>
      <c r="J848">
        <f>Koond_kulud!J884</f>
        <v>5511</v>
      </c>
      <c r="K848" t="str">
        <f>Koond_kulud!K884</f>
        <v>Kinnistute, hoonete ja ruumide majandamiskulud</v>
      </c>
      <c r="L848">
        <f>Koond_kulud!L884</f>
        <v>55</v>
      </c>
      <c r="M848" t="str">
        <f>Koond_kulud!M884</f>
        <v>55</v>
      </c>
      <c r="N848" t="str">
        <f>Koond_kulud!N884</f>
        <v>Muud tegevuskulud</v>
      </c>
      <c r="O848" t="str">
        <f>Koond_kulud!O884</f>
        <v>Majandamiskulud</v>
      </c>
      <c r="P848" t="str">
        <f>Koond_kulud!P884</f>
        <v>Põhitegevuse kulu</v>
      </c>
      <c r="Q848">
        <f>Koond_kulud!Q884</f>
        <v>0</v>
      </c>
    </row>
    <row r="849" spans="1:17" hidden="1" x14ac:dyDescent="0.25">
      <c r="A849" t="str">
        <f>Koond_kulud!A885</f>
        <v>09</v>
      </c>
      <c r="B849" t="str">
        <f>Koond_kulud!B885</f>
        <v xml:space="preserve">0921203         </v>
      </c>
      <c r="C849" t="str">
        <f>Koond_kulud!C885</f>
        <v xml:space="preserve"> Roela kool</v>
      </c>
      <c r="D849" t="str">
        <f>Koond_kulud!D885</f>
        <v>Põhihariduse otsekulud</v>
      </c>
      <c r="E849" t="str">
        <f>Koond_kulud!E885</f>
        <v>Haridus</v>
      </c>
      <c r="F849" t="str">
        <f>Koond_kulud!F885</f>
        <v>Ferdinand von Wrangelli nim Roela Lasteaed-Põhikool</v>
      </c>
      <c r="G849" t="str">
        <f>Koond_kulud!G885</f>
        <v>elekter</v>
      </c>
      <c r="H849">
        <f>Koond_kulud!H885</f>
        <v>6500</v>
      </c>
      <c r="I849">
        <f>Koond_kulud!I885</f>
        <v>0</v>
      </c>
      <c r="J849">
        <f>Koond_kulud!J885</f>
        <v>5511</v>
      </c>
      <c r="K849" t="str">
        <f>Koond_kulud!K885</f>
        <v>Kinnistute, hoonete ja ruumide majandamiskulud</v>
      </c>
      <c r="L849">
        <f>Koond_kulud!L885</f>
        <v>55</v>
      </c>
      <c r="M849" t="str">
        <f>Koond_kulud!M885</f>
        <v>55</v>
      </c>
      <c r="N849" t="str">
        <f>Koond_kulud!N885</f>
        <v>Muud tegevuskulud</v>
      </c>
      <c r="O849" t="str">
        <f>Koond_kulud!O885</f>
        <v>Majandamiskulud</v>
      </c>
      <c r="P849" t="str">
        <f>Koond_kulud!P885</f>
        <v>Põhitegevuse kulu</v>
      </c>
      <c r="Q849">
        <f>Koond_kulud!Q885</f>
        <v>0</v>
      </c>
    </row>
    <row r="850" spans="1:17" hidden="1" x14ac:dyDescent="0.25">
      <c r="A850" t="str">
        <f>Koond_kulud!A886</f>
        <v>09</v>
      </c>
      <c r="B850" t="str">
        <f>Koond_kulud!B886</f>
        <v xml:space="preserve">0921203         </v>
      </c>
      <c r="C850" t="str">
        <f>Koond_kulud!C886</f>
        <v xml:space="preserve"> Roela kool</v>
      </c>
      <c r="D850" t="str">
        <f>Koond_kulud!D886</f>
        <v>Põhihariduse otsekulud</v>
      </c>
      <c r="E850" t="str">
        <f>Koond_kulud!E886</f>
        <v>Haridus</v>
      </c>
      <c r="F850" t="str">
        <f>Koond_kulud!F886</f>
        <v>Ferdinand von Wrangelli nim Roela Lasteaed-Põhikool</v>
      </c>
      <c r="G850" t="str">
        <f>Koond_kulud!G886</f>
        <v>vesi + kanalisatsioon + san tehnilised tööd</v>
      </c>
      <c r="H850">
        <f>Koond_kulud!H886</f>
        <v>4000</v>
      </c>
      <c r="I850">
        <f>Koond_kulud!I886</f>
        <v>0</v>
      </c>
      <c r="J850">
        <f>Koond_kulud!J886</f>
        <v>5511</v>
      </c>
      <c r="K850" t="str">
        <f>Koond_kulud!K886</f>
        <v>Kinnistute, hoonete ja ruumide majandamiskulud</v>
      </c>
      <c r="L850">
        <f>Koond_kulud!L886</f>
        <v>55</v>
      </c>
      <c r="M850" t="str">
        <f>Koond_kulud!M886</f>
        <v>55</v>
      </c>
      <c r="N850" t="str">
        <f>Koond_kulud!N886</f>
        <v>Muud tegevuskulud</v>
      </c>
      <c r="O850" t="str">
        <f>Koond_kulud!O886</f>
        <v>Majandamiskulud</v>
      </c>
      <c r="P850" t="str">
        <f>Koond_kulud!P886</f>
        <v>Põhitegevuse kulu</v>
      </c>
      <c r="Q850">
        <f>Koond_kulud!Q886</f>
        <v>0</v>
      </c>
    </row>
    <row r="851" spans="1:17" hidden="1" x14ac:dyDescent="0.25">
      <c r="A851" t="str">
        <f>Koond_kulud!A887</f>
        <v>09</v>
      </c>
      <c r="B851" t="str">
        <f>Koond_kulud!B887</f>
        <v xml:space="preserve">0921203         </v>
      </c>
      <c r="C851" t="str">
        <f>Koond_kulud!C887</f>
        <v xml:space="preserve"> Roela kool</v>
      </c>
      <c r="D851" t="str">
        <f>Koond_kulud!D887</f>
        <v>Põhihariduse otsekulud</v>
      </c>
      <c r="E851" t="str">
        <f>Koond_kulud!E887</f>
        <v>Haridus</v>
      </c>
      <c r="F851" t="str">
        <f>Koond_kulud!F887</f>
        <v>Ferdinand von Wrangelli nim Roela Lasteaed-Põhikool</v>
      </c>
      <c r="G851" t="str">
        <f>Koond_kulud!G887</f>
        <v>prügi</v>
      </c>
      <c r="H851">
        <f>Koond_kulud!H887</f>
        <v>489</v>
      </c>
      <c r="I851" t="str">
        <f>Koond_kulud!I887</f>
        <v>14 x 20,50 + 12 x16,80 (konteineri laenutus)</v>
      </c>
      <c r="J851">
        <f>Koond_kulud!J887</f>
        <v>5511</v>
      </c>
      <c r="K851" t="str">
        <f>Koond_kulud!K887</f>
        <v>Kinnistute, hoonete ja ruumide majandamiskulud</v>
      </c>
      <c r="L851">
        <f>Koond_kulud!L887</f>
        <v>55</v>
      </c>
      <c r="M851" t="str">
        <f>Koond_kulud!M887</f>
        <v>55</v>
      </c>
      <c r="N851" t="str">
        <f>Koond_kulud!N887</f>
        <v>Muud tegevuskulud</v>
      </c>
      <c r="O851" t="str">
        <f>Koond_kulud!O887</f>
        <v>Majandamiskulud</v>
      </c>
      <c r="P851" t="str">
        <f>Koond_kulud!P887</f>
        <v>Põhitegevuse kulu</v>
      </c>
      <c r="Q851">
        <f>Koond_kulud!Q887</f>
        <v>0</v>
      </c>
    </row>
    <row r="852" spans="1:17" hidden="1" x14ac:dyDescent="0.25">
      <c r="A852" t="str">
        <f>Koond_kulud!A888</f>
        <v>09</v>
      </c>
      <c r="B852" t="str">
        <f>Koond_kulud!B888</f>
        <v xml:space="preserve">0921203         </v>
      </c>
      <c r="C852" t="str">
        <f>Koond_kulud!C888</f>
        <v xml:space="preserve"> Roela kool</v>
      </c>
      <c r="D852" t="str">
        <f>Koond_kulud!D888</f>
        <v>Põhihariduse otsekulud</v>
      </c>
      <c r="E852" t="str">
        <f>Koond_kulud!E888</f>
        <v>Haridus</v>
      </c>
      <c r="F852" t="str">
        <f>Koond_kulud!F888</f>
        <v>Ferdinand von Wrangelli nim Roela Lasteaed-Põhikool</v>
      </c>
      <c r="G852" t="str">
        <f>Koond_kulud!G888</f>
        <v>valvesignalisatsioon</v>
      </c>
      <c r="H852">
        <f>Koond_kulud!H888</f>
        <v>850</v>
      </c>
      <c r="I852" t="str">
        <f>Koond_kulud!I888</f>
        <v>4 x 153.40 + materjalid + G4S (200.-)</v>
      </c>
      <c r="J852">
        <f>Koond_kulud!J888</f>
        <v>5511</v>
      </c>
      <c r="K852" t="str">
        <f>Koond_kulud!K888</f>
        <v>Kinnistute, hoonete ja ruumide majandamiskulud</v>
      </c>
      <c r="L852">
        <f>Koond_kulud!L888</f>
        <v>55</v>
      </c>
      <c r="M852" t="str">
        <f>Koond_kulud!M888</f>
        <v>55</v>
      </c>
      <c r="N852" t="str">
        <f>Koond_kulud!N888</f>
        <v>Muud tegevuskulud</v>
      </c>
      <c r="O852" t="str">
        <f>Koond_kulud!O888</f>
        <v>Majandamiskulud</v>
      </c>
      <c r="P852" t="str">
        <f>Koond_kulud!P888</f>
        <v>Põhitegevuse kulu</v>
      </c>
      <c r="Q852">
        <f>Koond_kulud!Q888</f>
        <v>0</v>
      </c>
    </row>
    <row r="853" spans="1:17" hidden="1" x14ac:dyDescent="0.25">
      <c r="A853" t="str">
        <f>Koond_kulud!A889</f>
        <v>09</v>
      </c>
      <c r="B853" t="str">
        <f>Koond_kulud!B889</f>
        <v xml:space="preserve">0921203         </v>
      </c>
      <c r="C853" t="str">
        <f>Koond_kulud!C889</f>
        <v xml:space="preserve"> Roela kool</v>
      </c>
      <c r="D853" t="str">
        <f>Koond_kulud!D889</f>
        <v>Põhihariduse otsekulud</v>
      </c>
      <c r="E853" t="str">
        <f>Koond_kulud!E889</f>
        <v>Haridus</v>
      </c>
      <c r="F853" t="str">
        <f>Koond_kulud!F889</f>
        <v>Ferdinand von Wrangelli nim Roela Lasteaed-Põhikool</v>
      </c>
      <c r="G853" t="str">
        <f>Koond_kulud!G889</f>
        <v>el.käiduleping</v>
      </c>
      <c r="H853">
        <f>Koond_kulud!H889</f>
        <v>800</v>
      </c>
      <c r="I853" t="str">
        <f>Koond_kulud!I889</f>
        <v>48 x 12 + materjalid</v>
      </c>
      <c r="J853">
        <f>Koond_kulud!J889</f>
        <v>5511</v>
      </c>
      <c r="K853" t="str">
        <f>Koond_kulud!K889</f>
        <v>Kinnistute, hoonete ja ruumide majandamiskulud</v>
      </c>
      <c r="L853">
        <f>Koond_kulud!L889</f>
        <v>55</v>
      </c>
      <c r="M853" t="str">
        <f>Koond_kulud!M889</f>
        <v>55</v>
      </c>
      <c r="N853" t="str">
        <f>Koond_kulud!N889</f>
        <v>Muud tegevuskulud</v>
      </c>
      <c r="O853" t="str">
        <f>Koond_kulud!O889</f>
        <v>Majandamiskulud</v>
      </c>
      <c r="P853" t="str">
        <f>Koond_kulud!P889</f>
        <v>Põhitegevuse kulu</v>
      </c>
      <c r="Q853">
        <f>Koond_kulud!Q889</f>
        <v>0</v>
      </c>
    </row>
    <row r="854" spans="1:17" hidden="1" x14ac:dyDescent="0.25">
      <c r="A854" t="str">
        <f>Koond_kulud!A890</f>
        <v>09</v>
      </c>
      <c r="B854" t="str">
        <f>Koond_kulud!B890</f>
        <v xml:space="preserve">0921203         </v>
      </c>
      <c r="C854" t="str">
        <f>Koond_kulud!C890</f>
        <v xml:space="preserve"> Roela kool</v>
      </c>
      <c r="D854" t="str">
        <f>Koond_kulud!D890</f>
        <v>Põhihariduse otsekulud</v>
      </c>
      <c r="E854" t="str">
        <f>Koond_kulud!E890</f>
        <v>Haridus</v>
      </c>
      <c r="F854" t="str">
        <f>Koond_kulud!F890</f>
        <v>Ferdinand von Wrangelli nim Roela Lasteaed-Põhikool</v>
      </c>
      <c r="G854" t="str">
        <f>Koond_kulud!G890</f>
        <v>söökla ventilatsiooni puhastus</v>
      </c>
      <c r="H854">
        <f>Koond_kulud!H890</f>
        <v>450</v>
      </c>
      <c r="I854" t="str">
        <f>Koond_kulud!I890</f>
        <v>1 kord aastas kohustuslik</v>
      </c>
      <c r="J854">
        <f>Koond_kulud!J890</f>
        <v>5511</v>
      </c>
      <c r="K854" t="str">
        <f>Koond_kulud!K890</f>
        <v>Kinnistute, hoonete ja ruumide majandamiskulud</v>
      </c>
      <c r="L854">
        <f>Koond_kulud!L890</f>
        <v>55</v>
      </c>
      <c r="M854" t="str">
        <f>Koond_kulud!M890</f>
        <v>55</v>
      </c>
      <c r="N854" t="str">
        <f>Koond_kulud!N890</f>
        <v>Muud tegevuskulud</v>
      </c>
      <c r="O854" t="str">
        <f>Koond_kulud!O890</f>
        <v>Majandamiskulud</v>
      </c>
      <c r="P854" t="str">
        <f>Koond_kulud!P890</f>
        <v>Põhitegevuse kulu</v>
      </c>
      <c r="Q854">
        <f>Koond_kulud!Q890</f>
        <v>0</v>
      </c>
    </row>
    <row r="855" spans="1:17" hidden="1" x14ac:dyDescent="0.25">
      <c r="A855" t="str">
        <f>Koond_kulud!A891</f>
        <v>09</v>
      </c>
      <c r="B855" t="str">
        <f>Koond_kulud!B891</f>
        <v xml:space="preserve">0921203         </v>
      </c>
      <c r="C855" t="str">
        <f>Koond_kulud!C891</f>
        <v xml:space="preserve"> Roela kool</v>
      </c>
      <c r="D855" t="str">
        <f>Koond_kulud!D891</f>
        <v>Põhihariduse otsekulud</v>
      </c>
      <c r="E855" t="str">
        <f>Koond_kulud!E891</f>
        <v>Haridus</v>
      </c>
      <c r="F855" t="str">
        <f>Koond_kulud!F891</f>
        <v>Ferdinand von Wrangelli nim Roela Lasteaed-Põhikool</v>
      </c>
      <c r="G855" t="str">
        <f>Koond_kulud!G891</f>
        <v>söökla uhteproovid, vee analüüsid</v>
      </c>
      <c r="H855">
        <f>Koond_kulud!H891</f>
        <v>106</v>
      </c>
      <c r="I855" t="str">
        <f>Koond_kulud!I891</f>
        <v>2 x 53</v>
      </c>
      <c r="J855">
        <f>Koond_kulud!J891</f>
        <v>5511</v>
      </c>
      <c r="K855" t="str">
        <f>Koond_kulud!K891</f>
        <v>Kinnistute, hoonete ja ruumide majandamiskulud</v>
      </c>
      <c r="L855">
        <f>Koond_kulud!L891</f>
        <v>55</v>
      </c>
      <c r="M855" t="str">
        <f>Koond_kulud!M891</f>
        <v>55</v>
      </c>
      <c r="N855" t="str">
        <f>Koond_kulud!N891</f>
        <v>Muud tegevuskulud</v>
      </c>
      <c r="O855" t="str">
        <f>Koond_kulud!O891</f>
        <v>Majandamiskulud</v>
      </c>
      <c r="P855" t="str">
        <f>Koond_kulud!P891</f>
        <v>Põhitegevuse kulu</v>
      </c>
      <c r="Q855">
        <f>Koond_kulud!Q891</f>
        <v>0</v>
      </c>
    </row>
    <row r="856" spans="1:17" hidden="1" x14ac:dyDescent="0.25">
      <c r="A856" t="str">
        <f>Koond_kulud!A892</f>
        <v>09</v>
      </c>
      <c r="B856" t="str">
        <f>Koond_kulud!B892</f>
        <v xml:space="preserve">0921203         </v>
      </c>
      <c r="C856" t="str">
        <f>Koond_kulud!C892</f>
        <v xml:space="preserve"> Roela kool</v>
      </c>
      <c r="D856" t="str">
        <f>Koond_kulud!D892</f>
        <v>Põhihariduse otsekulud</v>
      </c>
      <c r="E856" t="str">
        <f>Koond_kulud!E892</f>
        <v>Haridus</v>
      </c>
      <c r="F856" t="str">
        <f>Koond_kulud!F892</f>
        <v>Ferdinand von Wrangelli nim Roela Lasteaed-Põhikool</v>
      </c>
      <c r="G856" t="str">
        <f>Koond_kulud!G892</f>
        <v>söökla kahjuritõrje</v>
      </c>
      <c r="H856">
        <f>Koond_kulud!H892</f>
        <v>92</v>
      </c>
      <c r="I856" t="str">
        <f>Koond_kulud!I892</f>
        <v>4 x 23.01</v>
      </c>
      <c r="J856">
        <f>Koond_kulud!J892</f>
        <v>5511</v>
      </c>
      <c r="K856" t="str">
        <f>Koond_kulud!K892</f>
        <v>Kinnistute, hoonete ja ruumide majandamiskulud</v>
      </c>
      <c r="L856">
        <f>Koond_kulud!L892</f>
        <v>55</v>
      </c>
      <c r="M856" t="str">
        <f>Koond_kulud!M892</f>
        <v>55</v>
      </c>
      <c r="N856" t="str">
        <f>Koond_kulud!N892</f>
        <v>Muud tegevuskulud</v>
      </c>
      <c r="O856" t="str">
        <f>Koond_kulud!O892</f>
        <v>Majandamiskulud</v>
      </c>
      <c r="P856" t="str">
        <f>Koond_kulud!P892</f>
        <v>Põhitegevuse kulu</v>
      </c>
      <c r="Q856">
        <f>Koond_kulud!Q892</f>
        <v>0</v>
      </c>
    </row>
    <row r="857" spans="1:17" hidden="1" x14ac:dyDescent="0.25">
      <c r="A857" t="str">
        <f>Koond_kulud!A893</f>
        <v>09</v>
      </c>
      <c r="B857" t="str">
        <f>Koond_kulud!B893</f>
        <v xml:space="preserve">0921203         </v>
      </c>
      <c r="C857" t="str">
        <f>Koond_kulud!C893</f>
        <v xml:space="preserve"> Roela kool</v>
      </c>
      <c r="D857" t="str">
        <f>Koond_kulud!D893</f>
        <v>Põhihariduse otsekulud</v>
      </c>
      <c r="E857" t="str">
        <f>Koond_kulud!E893</f>
        <v>Haridus</v>
      </c>
      <c r="F857" t="str">
        <f>Koond_kulud!F893</f>
        <v>Ferdinand von Wrangelli nim Roela Lasteaed-Põhikool</v>
      </c>
      <c r="G857" t="str">
        <f>Koond_kulud!G893</f>
        <v>tulekustutite kontroll</v>
      </c>
      <c r="H857">
        <f>Koond_kulud!H893</f>
        <v>113</v>
      </c>
      <c r="I857" t="str">
        <f>Koond_kulud!I893</f>
        <v>23 x 4,90</v>
      </c>
      <c r="J857">
        <f>Koond_kulud!J893</f>
        <v>5511</v>
      </c>
      <c r="K857" t="str">
        <f>Koond_kulud!K893</f>
        <v>Kinnistute, hoonete ja ruumide majandamiskulud</v>
      </c>
      <c r="L857">
        <f>Koond_kulud!L893</f>
        <v>55</v>
      </c>
      <c r="M857" t="str">
        <f>Koond_kulud!M893</f>
        <v>55</v>
      </c>
      <c r="N857" t="str">
        <f>Koond_kulud!N893</f>
        <v>Muud tegevuskulud</v>
      </c>
      <c r="O857" t="str">
        <f>Koond_kulud!O893</f>
        <v>Majandamiskulud</v>
      </c>
      <c r="P857" t="str">
        <f>Koond_kulud!P893</f>
        <v>Põhitegevuse kulu</v>
      </c>
      <c r="Q857">
        <f>Koond_kulud!Q893</f>
        <v>0</v>
      </c>
    </row>
    <row r="858" spans="1:17" hidden="1" x14ac:dyDescent="0.25">
      <c r="A858" t="str">
        <f>Koond_kulud!A894</f>
        <v>09</v>
      </c>
      <c r="B858" t="str">
        <f>Koond_kulud!B894</f>
        <v xml:space="preserve">0921203         </v>
      </c>
      <c r="C858" t="str">
        <f>Koond_kulud!C894</f>
        <v xml:space="preserve"> Roela kool</v>
      </c>
      <c r="D858" t="str">
        <f>Koond_kulud!D894</f>
        <v>Põhihariduse otsekulud</v>
      </c>
      <c r="E858" t="str">
        <f>Koond_kulud!E894</f>
        <v>Haridus</v>
      </c>
      <c r="F858" t="str">
        <f>Koond_kulud!F894</f>
        <v>Ferdinand von Wrangelli nim Roela Lasteaed-Põhikool</v>
      </c>
      <c r="G858" t="str">
        <f>Koond_kulud!G894</f>
        <v>korrashoiuvahendid</v>
      </c>
      <c r="H858">
        <f>Koond_kulud!H894</f>
        <v>1400</v>
      </c>
      <c r="I858" t="str">
        <f>Koond_kulud!I894</f>
        <v>WC paber, puhastusvahendid jne</v>
      </c>
      <c r="J858">
        <f>Koond_kulud!J894</f>
        <v>5511</v>
      </c>
      <c r="K858" t="str">
        <f>Koond_kulud!K894</f>
        <v>Kinnistute, hoonete ja ruumide majandamiskulud</v>
      </c>
      <c r="L858">
        <f>Koond_kulud!L894</f>
        <v>55</v>
      </c>
      <c r="M858" t="str">
        <f>Koond_kulud!M894</f>
        <v>55</v>
      </c>
      <c r="N858" t="str">
        <f>Koond_kulud!N894</f>
        <v>Muud tegevuskulud</v>
      </c>
      <c r="O858" t="str">
        <f>Koond_kulud!O894</f>
        <v>Majandamiskulud</v>
      </c>
      <c r="P858" t="str">
        <f>Koond_kulud!P894</f>
        <v>Põhitegevuse kulu</v>
      </c>
      <c r="Q858">
        <f>Koond_kulud!Q894</f>
        <v>0</v>
      </c>
    </row>
    <row r="859" spans="1:17" hidden="1" x14ac:dyDescent="0.25">
      <c r="A859" t="str">
        <f>Koond_kulud!A895</f>
        <v>09</v>
      </c>
      <c r="B859" t="str">
        <f>Koond_kulud!B895</f>
        <v xml:space="preserve">0921203         </v>
      </c>
      <c r="C859" t="str">
        <f>Koond_kulud!C895</f>
        <v xml:space="preserve"> Roela kool</v>
      </c>
      <c r="D859" t="str">
        <f>Koond_kulud!D895</f>
        <v>Põhihariduse otsekulud</v>
      </c>
      <c r="E859" t="str">
        <f>Koond_kulud!E895</f>
        <v>Haridus</v>
      </c>
      <c r="F859" t="str">
        <f>Koond_kulud!F895</f>
        <v>Ferdinand von Wrangelli nim Roela Lasteaed-Põhikool</v>
      </c>
      <c r="G859" t="str">
        <f>Koond_kulud!G895</f>
        <v>pisiremont (pahtel, värv jne)</v>
      </c>
      <c r="H859">
        <f>Koond_kulud!H895</f>
        <v>4500</v>
      </c>
      <c r="I859">
        <f>Koond_kulud!I895</f>
        <v>0</v>
      </c>
      <c r="J859">
        <f>Koond_kulud!J895</f>
        <v>5511</v>
      </c>
      <c r="K859" t="str">
        <f>Koond_kulud!K895</f>
        <v>Kinnistute, hoonete ja ruumide majandamiskulud</v>
      </c>
      <c r="L859">
        <f>Koond_kulud!L895</f>
        <v>55</v>
      </c>
      <c r="M859" t="str">
        <f>Koond_kulud!M895</f>
        <v>55</v>
      </c>
      <c r="N859" t="str">
        <f>Koond_kulud!N895</f>
        <v>Muud tegevuskulud</v>
      </c>
      <c r="O859" t="str">
        <f>Koond_kulud!O895</f>
        <v>Majandamiskulud</v>
      </c>
      <c r="P859" t="str">
        <f>Koond_kulud!P895</f>
        <v>Põhitegevuse kulu</v>
      </c>
      <c r="Q859">
        <f>Koond_kulud!Q895</f>
        <v>0</v>
      </c>
    </row>
    <row r="860" spans="1:17" hidden="1" x14ac:dyDescent="0.25">
      <c r="A860" t="str">
        <f>Koond_kulud!A896</f>
        <v>09</v>
      </c>
      <c r="B860" t="str">
        <f>Koond_kulud!B896</f>
        <v xml:space="preserve">0921203         </v>
      </c>
      <c r="C860" t="str">
        <f>Koond_kulud!C896</f>
        <v xml:space="preserve"> Roela kool</v>
      </c>
      <c r="D860" t="str">
        <f>Koond_kulud!D896</f>
        <v>Põhihariduse otsekulud</v>
      </c>
      <c r="E860" t="str">
        <f>Koond_kulud!E896</f>
        <v>Haridus</v>
      </c>
      <c r="F860" t="str">
        <f>Koond_kulud!F896</f>
        <v>Ferdinand von Wrangelli nim Roela Lasteaed-Põhikool</v>
      </c>
      <c r="G860" t="str">
        <f>Koond_kulud!G896</f>
        <v>e-kool</v>
      </c>
      <c r="H860">
        <f>Koond_kulud!H896</f>
        <v>400</v>
      </c>
      <c r="I860" t="str">
        <f>Koond_kulud!I896</f>
        <v>12 x 33,33</v>
      </c>
      <c r="J860">
        <f>Koond_kulud!J896</f>
        <v>5514</v>
      </c>
      <c r="K860" t="str">
        <f>Koond_kulud!K896</f>
        <v>Info- ja kommunikatsioonitehnoliigised kulud</v>
      </c>
      <c r="L860">
        <f>Koond_kulud!L896</f>
        <v>55</v>
      </c>
      <c r="M860" t="str">
        <f>Koond_kulud!M896</f>
        <v>55</v>
      </c>
      <c r="N860" t="str">
        <f>Koond_kulud!N896</f>
        <v>Muud tegevuskulud</v>
      </c>
      <c r="O860" t="str">
        <f>Koond_kulud!O896</f>
        <v>Majandamiskulud</v>
      </c>
      <c r="P860" t="str">
        <f>Koond_kulud!P896</f>
        <v>Põhitegevuse kulu</v>
      </c>
      <c r="Q860">
        <f>Koond_kulud!Q896</f>
        <v>0</v>
      </c>
    </row>
    <row r="861" spans="1:17" hidden="1" x14ac:dyDescent="0.25">
      <c r="A861" t="str">
        <f>Koond_kulud!A897</f>
        <v>09</v>
      </c>
      <c r="B861" t="str">
        <f>Koond_kulud!B897</f>
        <v xml:space="preserve">0921203         </v>
      </c>
      <c r="C861" t="str">
        <f>Koond_kulud!C897</f>
        <v xml:space="preserve"> Roela kool</v>
      </c>
      <c r="D861" t="str">
        <f>Koond_kulud!D897</f>
        <v>Põhihariduse otsekulud</v>
      </c>
      <c r="E861" t="str">
        <f>Koond_kulud!E897</f>
        <v>Haridus</v>
      </c>
      <c r="F861" t="str">
        <f>Koond_kulud!F897</f>
        <v>Ferdinand von Wrangelli nim Roela Lasteaed-Põhikool</v>
      </c>
      <c r="G861" t="str">
        <f>Koond_kulud!G897</f>
        <v>arvutiprogrammid, hooldused</v>
      </c>
      <c r="H861">
        <f>Koond_kulud!H897</f>
        <v>250</v>
      </c>
      <c r="I861" t="str">
        <f>Koond_kulud!I897</f>
        <v>viiruse tõrje</v>
      </c>
      <c r="J861">
        <f>Koond_kulud!J897</f>
        <v>5514</v>
      </c>
      <c r="K861" t="str">
        <f>Koond_kulud!K897</f>
        <v>Info- ja kommunikatsioonitehnoliigised kulud</v>
      </c>
      <c r="L861">
        <f>Koond_kulud!L897</f>
        <v>55</v>
      </c>
      <c r="M861" t="str">
        <f>Koond_kulud!M897</f>
        <v>55</v>
      </c>
      <c r="N861" t="str">
        <f>Koond_kulud!N897</f>
        <v>Muud tegevuskulud</v>
      </c>
      <c r="O861" t="str">
        <f>Koond_kulud!O897</f>
        <v>Majandamiskulud</v>
      </c>
      <c r="P861" t="str">
        <f>Koond_kulud!P897</f>
        <v>Põhitegevuse kulu</v>
      </c>
      <c r="Q861">
        <f>Koond_kulud!Q897</f>
        <v>0</v>
      </c>
    </row>
    <row r="862" spans="1:17" hidden="1" x14ac:dyDescent="0.25">
      <c r="A862" t="str">
        <f>Koond_kulud!A898</f>
        <v>09</v>
      </c>
      <c r="B862" t="str">
        <f>Koond_kulud!B898</f>
        <v xml:space="preserve">0921203         </v>
      </c>
      <c r="C862" t="str">
        <f>Koond_kulud!C898</f>
        <v xml:space="preserve"> Roela kool</v>
      </c>
      <c r="D862" t="str">
        <f>Koond_kulud!D898</f>
        <v>Põhihariduse otsekulud</v>
      </c>
      <c r="E862" t="str">
        <f>Koond_kulud!E898</f>
        <v>Haridus</v>
      </c>
      <c r="F862" t="str">
        <f>Koond_kulud!F898</f>
        <v>Ferdinand von Wrangelli nim Roela Lasteaed-Põhikool</v>
      </c>
      <c r="G862" t="str">
        <f>Koond_kulud!G898</f>
        <v>haridusserver</v>
      </c>
      <c r="H862">
        <f>Koond_kulud!H898</f>
        <v>20</v>
      </c>
      <c r="I862">
        <f>Koond_kulud!I898</f>
        <v>0</v>
      </c>
      <c r="J862">
        <f>Koond_kulud!J898</f>
        <v>5514</v>
      </c>
      <c r="K862" t="str">
        <f>Koond_kulud!K898</f>
        <v>Info- ja kommunikatsioonitehnoliigised kulud</v>
      </c>
      <c r="L862">
        <f>Koond_kulud!L898</f>
        <v>55</v>
      </c>
      <c r="M862" t="str">
        <f>Koond_kulud!M898</f>
        <v>55</v>
      </c>
      <c r="N862" t="str">
        <f>Koond_kulud!N898</f>
        <v>Muud tegevuskulud</v>
      </c>
      <c r="O862" t="str">
        <f>Koond_kulud!O898</f>
        <v>Majandamiskulud</v>
      </c>
      <c r="P862" t="str">
        <f>Koond_kulud!P898</f>
        <v>Põhitegevuse kulu</v>
      </c>
      <c r="Q862">
        <f>Koond_kulud!Q898</f>
        <v>0</v>
      </c>
    </row>
    <row r="863" spans="1:17" hidden="1" x14ac:dyDescent="0.25">
      <c r="A863" t="str">
        <f>Koond_kulud!A899</f>
        <v>09</v>
      </c>
      <c r="B863" t="str">
        <f>Koond_kulud!B899</f>
        <v xml:space="preserve">0921203         </v>
      </c>
      <c r="C863" t="str">
        <f>Koond_kulud!C899</f>
        <v xml:space="preserve"> Roela kool</v>
      </c>
      <c r="D863" t="str">
        <f>Koond_kulud!D899</f>
        <v>Põhihariduse otsekulud</v>
      </c>
      <c r="E863" t="str">
        <f>Koond_kulud!E899</f>
        <v>Haridus</v>
      </c>
      <c r="F863" t="str">
        <f>Koond_kulud!F899</f>
        <v>Ferdinand von Wrangelli nim Roela Lasteaed-Põhikool</v>
      </c>
      <c r="G863" t="str">
        <f>Koond_kulud!G899</f>
        <v>sülearvuti (2 tk)</v>
      </c>
      <c r="H863">
        <f>Koond_kulud!H899</f>
        <v>1000</v>
      </c>
      <c r="I863" t="str">
        <f>Koond_kulud!I899</f>
        <v>õpetajatele vanade asendamiseks</v>
      </c>
      <c r="J863">
        <f>Koond_kulud!J899</f>
        <v>5514</v>
      </c>
      <c r="K863" t="str">
        <f>Koond_kulud!K899</f>
        <v>Info- ja kommunikatsioonitehnoliigised kulud</v>
      </c>
      <c r="L863">
        <f>Koond_kulud!L899</f>
        <v>55</v>
      </c>
      <c r="M863" t="str">
        <f>Koond_kulud!M899</f>
        <v>55</v>
      </c>
      <c r="N863" t="str">
        <f>Koond_kulud!N899</f>
        <v>Muud tegevuskulud</v>
      </c>
      <c r="O863" t="str">
        <f>Koond_kulud!O899</f>
        <v>Majandamiskulud</v>
      </c>
      <c r="P863" t="str">
        <f>Koond_kulud!P899</f>
        <v>Põhitegevuse kulu</v>
      </c>
      <c r="Q863">
        <f>Koond_kulud!Q899</f>
        <v>0</v>
      </c>
    </row>
    <row r="864" spans="1:17" hidden="1" x14ac:dyDescent="0.25">
      <c r="A864" t="str">
        <f>Koond_kulud!A901</f>
        <v>09</v>
      </c>
      <c r="B864" t="str">
        <f>Koond_kulud!B901</f>
        <v xml:space="preserve">0921203         </v>
      </c>
      <c r="C864" t="str">
        <f>Koond_kulud!C901</f>
        <v xml:space="preserve"> Roela kool</v>
      </c>
      <c r="D864" t="str">
        <f>Koond_kulud!D901</f>
        <v>Põhihariduse otsekulud</v>
      </c>
      <c r="E864" t="str">
        <f>Koond_kulud!E901</f>
        <v>Haridus</v>
      </c>
      <c r="F864" t="str">
        <f>Koond_kulud!F901</f>
        <v>Roela kool</v>
      </c>
      <c r="G864" t="str">
        <f>Koond_kulud!G901</f>
        <v>Signalisatsioon ühendada (LA, r/k, kool)</v>
      </c>
      <c r="H864">
        <f>Koond_kulud!H901</f>
        <v>785.4</v>
      </c>
      <c r="I864" t="str">
        <f>Koond_kulud!I901</f>
        <v>LA ja r/k signal. puudub</v>
      </c>
      <c r="J864">
        <f>Koond_kulud!J901</f>
        <v>5511</v>
      </c>
      <c r="K864" t="str">
        <f>Koond_kulud!K901</f>
        <v>Kinnistute, hoonete ja ruumide majandamiskulud</v>
      </c>
      <c r="L864">
        <f>Koond_kulud!L901</f>
        <v>55</v>
      </c>
      <c r="M864" t="str">
        <f>Koond_kulud!M901</f>
        <v>55</v>
      </c>
      <c r="N864" t="str">
        <f>Koond_kulud!N901</f>
        <v>Muud tegevuskulud</v>
      </c>
      <c r="O864" t="str">
        <f>Koond_kulud!O901</f>
        <v>Majandamiskulud</v>
      </c>
      <c r="P864" t="str">
        <f>Koond_kulud!P901</f>
        <v>Põhitegevuse kulu</v>
      </c>
      <c r="Q864">
        <f>Koond_kulud!Q901</f>
        <v>0</v>
      </c>
    </row>
    <row r="865" spans="1:17" hidden="1" x14ac:dyDescent="0.25">
      <c r="A865" t="str">
        <f>Koond_kulud!A902</f>
        <v>09</v>
      </c>
      <c r="B865" t="str">
        <f>Koond_kulud!B902</f>
        <v xml:space="preserve">0921203         </v>
      </c>
      <c r="C865" t="str">
        <f>Koond_kulud!C902</f>
        <v xml:space="preserve"> Roela kool</v>
      </c>
      <c r="D865" t="str">
        <f>Koond_kulud!D902</f>
        <v>Põhihariduse otsekulud</v>
      </c>
      <c r="E865" t="str">
        <f>Koond_kulud!E902</f>
        <v>Haridus</v>
      </c>
      <c r="F865" t="str">
        <f>Koond_kulud!F902</f>
        <v>Roela kool</v>
      </c>
      <c r="G865" t="str">
        <f>Koond_kulud!G902</f>
        <v>Kooli ja LA juubel (40/45)</v>
      </c>
      <c r="H865">
        <f>Koond_kulud!H902</f>
        <v>4580</v>
      </c>
      <c r="I865" t="str">
        <f>Koond_kulud!I902</f>
        <v>Esinejad, toitlustamine, meened</v>
      </c>
      <c r="J865">
        <f>Koond_kulud!J902</f>
        <v>5525</v>
      </c>
      <c r="K865" t="str">
        <f>Koond_kulud!K902</f>
        <v>Kommunikatsiooni-, kultuuri- ja vaba aja sisustamise kulud</v>
      </c>
      <c r="L865">
        <f>Koond_kulud!L902</f>
        <v>55</v>
      </c>
      <c r="M865" t="str">
        <f>Koond_kulud!M902</f>
        <v>55</v>
      </c>
      <c r="N865" t="str">
        <f>Koond_kulud!N902</f>
        <v>Muud tegevuskulud</v>
      </c>
      <c r="O865" t="str">
        <f>Koond_kulud!O902</f>
        <v>Majandamiskulud</v>
      </c>
      <c r="P865" t="str">
        <f>Koond_kulud!P902</f>
        <v>Põhitegevuse kulu</v>
      </c>
      <c r="Q865">
        <f>Koond_kulud!Q902</f>
        <v>0</v>
      </c>
    </row>
    <row r="866" spans="1:17" hidden="1" x14ac:dyDescent="0.25">
      <c r="A866" t="str">
        <f>Koond_kulud!A903</f>
        <v>09</v>
      </c>
      <c r="B866" t="str">
        <f>Koond_kulud!B903</f>
        <v xml:space="preserve">0921203         </v>
      </c>
      <c r="C866" t="str">
        <f>Koond_kulud!C903</f>
        <v xml:space="preserve"> Roela kool</v>
      </c>
      <c r="D866" t="str">
        <f>Koond_kulud!D903</f>
        <v>Põhihariduse otsekulud</v>
      </c>
      <c r="E866" t="str">
        <f>Koond_kulud!E903</f>
        <v>Haridus</v>
      </c>
      <c r="F866" t="str">
        <f>Koond_kulud!F903</f>
        <v>Roela kool</v>
      </c>
      <c r="G866" t="str">
        <f>Koond_kulud!G903</f>
        <v>1. klassi ujumise transport (19 x 40.-)</v>
      </c>
      <c r="H866">
        <f>Koond_kulud!H903</f>
        <v>760</v>
      </c>
      <c r="I866" t="str">
        <f>Koond_kulud!I903</f>
        <v>õppekavas ette nähtud</v>
      </c>
      <c r="J866">
        <f>Koond_kulud!J903</f>
        <v>5540</v>
      </c>
      <c r="K866" t="str">
        <f>Koond_kulud!K903</f>
        <v>Mitmesugused majanduskulud</v>
      </c>
      <c r="L866">
        <f>Koond_kulud!L903</f>
        <v>55</v>
      </c>
      <c r="M866" t="str">
        <f>Koond_kulud!M903</f>
        <v>55</v>
      </c>
      <c r="N866" t="str">
        <f>Koond_kulud!N903</f>
        <v>Muud tegevuskulud</v>
      </c>
      <c r="O866" t="str">
        <f>Koond_kulud!O903</f>
        <v>Majandamiskulud</v>
      </c>
      <c r="P866" t="str">
        <f>Koond_kulud!P903</f>
        <v>Põhitegevuse kulu</v>
      </c>
      <c r="Q866">
        <f>Koond_kulud!Q903</f>
        <v>0</v>
      </c>
    </row>
    <row r="867" spans="1:17" hidden="1" x14ac:dyDescent="0.25">
      <c r="A867" t="str">
        <f>Koond_kulud!A904</f>
        <v>09</v>
      </c>
      <c r="B867" t="str">
        <f>Koond_kulud!B904</f>
        <v xml:space="preserve">0921203         </v>
      </c>
      <c r="C867" t="str">
        <f>Koond_kulud!C904</f>
        <v xml:space="preserve"> Roela kool</v>
      </c>
      <c r="D867" t="str">
        <f>Koond_kulud!D904</f>
        <v>Põhihariduse otsekulud</v>
      </c>
      <c r="E867" t="str">
        <f>Koond_kulud!E904</f>
        <v>Haridus</v>
      </c>
      <c r="F867" t="str">
        <f>Koond_kulud!F904</f>
        <v>Ferdinand von Wrangelli nim Roela Lasteaed-Põhikool</v>
      </c>
      <c r="G867" t="str">
        <f>Koond_kulud!G904</f>
        <v>Pedagoogilised koolitused</v>
      </c>
      <c r="H867">
        <f>Koond_kulud!H904</f>
        <v>1100</v>
      </c>
      <c r="I867" t="str">
        <f>Koond_kulud!I904</f>
        <v>Ped.</v>
      </c>
      <c r="J867">
        <f>Koond_kulud!J904</f>
        <v>5504</v>
      </c>
      <c r="K867" t="str">
        <f>Koond_kulud!K904</f>
        <v>Koolituskulud</v>
      </c>
      <c r="L867">
        <f>Koond_kulud!L904</f>
        <v>55</v>
      </c>
      <c r="M867" t="str">
        <f>Koond_kulud!M904</f>
        <v>55</v>
      </c>
      <c r="N867" t="str">
        <f>Koond_kulud!N904</f>
        <v>Muud tegevuskulud</v>
      </c>
      <c r="O867" t="str">
        <f>Koond_kulud!O904</f>
        <v>Majandamiskulud</v>
      </c>
      <c r="P867" t="str">
        <f>Koond_kulud!P904</f>
        <v>Põhitegevuse kulu</v>
      </c>
      <c r="Q867">
        <f>Koond_kulud!Q904</f>
        <v>0</v>
      </c>
    </row>
    <row r="868" spans="1:17" hidden="1" x14ac:dyDescent="0.25">
      <c r="A868" t="str">
        <f>Koond_kulud!A905</f>
        <v>09</v>
      </c>
      <c r="B868" t="str">
        <f>Koond_kulud!B905</f>
        <v xml:space="preserve">0921203         </v>
      </c>
      <c r="C868" t="str">
        <f>Koond_kulud!C905</f>
        <v xml:space="preserve"> Roela kool</v>
      </c>
      <c r="D868" t="str">
        <f>Koond_kulud!D905</f>
        <v>Põhihariduse otsekulud</v>
      </c>
      <c r="E868" t="str">
        <f>Koond_kulud!E905</f>
        <v>Haridus</v>
      </c>
      <c r="F868" t="str">
        <f>Koond_kulud!F905</f>
        <v>Ferdinand von Wrangelli nim Roela Lasteaed-Põhikool</v>
      </c>
      <c r="G868" t="str">
        <f>Koond_kulud!G905</f>
        <v>Pedagoogilised õppevahendid</v>
      </c>
      <c r="H868">
        <f>Koond_kulud!H905</f>
        <v>3477</v>
      </c>
      <c r="I868" t="str">
        <f>Koond_kulud!I905</f>
        <v>Ped.</v>
      </c>
      <c r="J868">
        <f>Koond_kulud!J905</f>
        <v>5524</v>
      </c>
      <c r="K868" t="str">
        <f>Koond_kulud!K905</f>
        <v>Õppevahendid</v>
      </c>
      <c r="L868">
        <f>Koond_kulud!L905</f>
        <v>55</v>
      </c>
      <c r="M868" t="str">
        <f>Koond_kulud!M905</f>
        <v>55</v>
      </c>
      <c r="N868" t="str">
        <f>Koond_kulud!N905</f>
        <v>Muud tegevuskulud</v>
      </c>
      <c r="O868" t="str">
        <f>Koond_kulud!O905</f>
        <v>Majandamiskulud</v>
      </c>
      <c r="P868" t="str">
        <f>Koond_kulud!P905</f>
        <v>Põhitegevuse kulu</v>
      </c>
      <c r="Q868">
        <f>Koond_kulud!Q905</f>
        <v>0</v>
      </c>
    </row>
    <row r="869" spans="1:17" hidden="1" x14ac:dyDescent="0.25">
      <c r="A869" t="str">
        <f>Koond_kulud!A907</f>
        <v>09</v>
      </c>
      <c r="B869" t="str">
        <f>Koond_kulud!B907</f>
        <v xml:space="preserve">0921204         </v>
      </c>
      <c r="C869" t="str">
        <f>Koond_kulud!C907</f>
        <v xml:space="preserve"> Tudu kool</v>
      </c>
      <c r="D869" t="str">
        <f>Koond_kulud!D907</f>
        <v>Põhihariduse otsekulud</v>
      </c>
      <c r="E869" t="str">
        <f>Koond_kulud!E907</f>
        <v>Haridus</v>
      </c>
      <c r="F869" t="str">
        <f>Koond_kulud!F907</f>
        <v>Tudu Põhikool</v>
      </c>
      <c r="G869" t="str">
        <f>Koond_kulud!G907</f>
        <v>telefonid ja internet</v>
      </c>
      <c r="H869">
        <f>Koond_kulud!H907</f>
        <v>800</v>
      </c>
      <c r="I869" t="str">
        <f>Koond_kulud!I907</f>
        <v>EMT 200; lauatel+neti=600</v>
      </c>
      <c r="J869">
        <f>Koond_kulud!J907</f>
        <v>5500</v>
      </c>
      <c r="K869" t="str">
        <f>Koond_kulud!K907</f>
        <v>Administreerimiskulud</v>
      </c>
      <c r="L869">
        <f>Koond_kulud!L907</f>
        <v>55</v>
      </c>
      <c r="M869" t="str">
        <f>Koond_kulud!M907</f>
        <v>55</v>
      </c>
      <c r="N869" t="str">
        <f>Koond_kulud!N907</f>
        <v>Muud tegevuskulud</v>
      </c>
      <c r="O869" t="str">
        <f>Koond_kulud!O907</f>
        <v>Majandamiskulud</v>
      </c>
      <c r="P869" t="str">
        <f>Koond_kulud!P907</f>
        <v>Põhitegevuse kulu</v>
      </c>
      <c r="Q869">
        <f>Koond_kulud!Q907</f>
        <v>0</v>
      </c>
    </row>
    <row r="870" spans="1:17" hidden="1" x14ac:dyDescent="0.25">
      <c r="A870" t="str">
        <f>Koond_kulud!A908</f>
        <v>09</v>
      </c>
      <c r="B870" t="str">
        <f>Koond_kulud!B908</f>
        <v xml:space="preserve">0921204         </v>
      </c>
      <c r="C870" t="str">
        <f>Koond_kulud!C908</f>
        <v xml:space="preserve"> Tudu kool</v>
      </c>
      <c r="D870" t="str">
        <f>Koond_kulud!D908</f>
        <v>Põhihariduse otsekulud</v>
      </c>
      <c r="E870" t="str">
        <f>Koond_kulud!E908</f>
        <v>Haridus</v>
      </c>
      <c r="F870" t="str">
        <f>Koond_kulud!F908</f>
        <v>Tudu Põhikool</v>
      </c>
      <c r="G870" t="str">
        <f>Koond_kulud!G908</f>
        <v>postikulu</v>
      </c>
      <c r="H870">
        <f>Koond_kulud!H908</f>
        <v>50</v>
      </c>
      <c r="I870">
        <f>Koond_kulud!I908</f>
        <v>0</v>
      </c>
      <c r="J870">
        <f>Koond_kulud!J908</f>
        <v>5500</v>
      </c>
      <c r="K870" t="str">
        <f>Koond_kulud!K908</f>
        <v>Administreerimiskulud</v>
      </c>
      <c r="L870">
        <f>Koond_kulud!L908</f>
        <v>55</v>
      </c>
      <c r="M870" t="str">
        <f>Koond_kulud!M908</f>
        <v>55</v>
      </c>
      <c r="N870" t="str">
        <f>Koond_kulud!N908</f>
        <v>Muud tegevuskulud</v>
      </c>
      <c r="O870" t="str">
        <f>Koond_kulud!O908</f>
        <v>Majandamiskulud</v>
      </c>
      <c r="P870" t="str">
        <f>Koond_kulud!P908</f>
        <v>Põhitegevuse kulu</v>
      </c>
      <c r="Q870">
        <f>Koond_kulud!Q908</f>
        <v>0</v>
      </c>
    </row>
    <row r="871" spans="1:17" hidden="1" x14ac:dyDescent="0.25">
      <c r="A871" t="str">
        <f>Koond_kulud!A909</f>
        <v>09</v>
      </c>
      <c r="B871" t="str">
        <f>Koond_kulud!B909</f>
        <v xml:space="preserve">0921204         </v>
      </c>
      <c r="C871" t="str">
        <f>Koond_kulud!C909</f>
        <v xml:space="preserve"> Tudu kool</v>
      </c>
      <c r="D871" t="str">
        <f>Koond_kulud!D909</f>
        <v>Põhihariduse otsekulud</v>
      </c>
      <c r="E871" t="str">
        <f>Koond_kulud!E909</f>
        <v>Haridus</v>
      </c>
      <c r="F871" t="str">
        <f>Koond_kulud!F909</f>
        <v>Tudu Põhikool</v>
      </c>
      <c r="G871" t="str">
        <f>Koond_kulud!G909</f>
        <v>printeritahm ja tint</v>
      </c>
      <c r="H871">
        <f>Koond_kulud!H909</f>
        <v>200</v>
      </c>
      <c r="I871">
        <f>Koond_kulud!I909</f>
        <v>0</v>
      </c>
      <c r="J871">
        <f>Koond_kulud!J909</f>
        <v>5500</v>
      </c>
      <c r="K871" t="str">
        <f>Koond_kulud!K909</f>
        <v>Administreerimiskulud</v>
      </c>
      <c r="L871">
        <f>Koond_kulud!L909</f>
        <v>55</v>
      </c>
      <c r="M871" t="str">
        <f>Koond_kulud!M909</f>
        <v>55</v>
      </c>
      <c r="N871" t="str">
        <f>Koond_kulud!N909</f>
        <v>Muud tegevuskulud</v>
      </c>
      <c r="O871" t="str">
        <f>Koond_kulud!O909</f>
        <v>Majandamiskulud</v>
      </c>
      <c r="P871" t="str">
        <f>Koond_kulud!P909</f>
        <v>Põhitegevuse kulu</v>
      </c>
      <c r="Q871">
        <f>Koond_kulud!Q909</f>
        <v>0</v>
      </c>
    </row>
    <row r="872" spans="1:17" hidden="1" x14ac:dyDescent="0.25">
      <c r="A872" t="str">
        <f>Koond_kulud!A910</f>
        <v>09</v>
      </c>
      <c r="B872" t="str">
        <f>Koond_kulud!B910</f>
        <v xml:space="preserve">0921204         </v>
      </c>
      <c r="C872" t="str">
        <f>Koond_kulud!C910</f>
        <v xml:space="preserve"> Tudu kool</v>
      </c>
      <c r="D872" t="str">
        <f>Koond_kulud!D910</f>
        <v>Põhihariduse otsekulud</v>
      </c>
      <c r="E872" t="str">
        <f>Koond_kulud!E910</f>
        <v>Haridus</v>
      </c>
      <c r="F872" t="str">
        <f>Koond_kulud!F910</f>
        <v>Tudu Põhikool</v>
      </c>
      <c r="G872" t="str">
        <f>Koond_kulud!G910</f>
        <v>kantseleitarbed</v>
      </c>
      <c r="H872">
        <f>Koond_kulud!H910</f>
        <v>200</v>
      </c>
      <c r="I872" t="str">
        <f>Koond_kulud!I910</f>
        <v>paber, kladed, pliiatsid jne</v>
      </c>
      <c r="J872">
        <f>Koond_kulud!J910</f>
        <v>5500</v>
      </c>
      <c r="K872" t="str">
        <f>Koond_kulud!K910</f>
        <v>Administreerimiskulud</v>
      </c>
      <c r="L872">
        <f>Koond_kulud!L910</f>
        <v>55</v>
      </c>
      <c r="M872" t="str">
        <f>Koond_kulud!M910</f>
        <v>55</v>
      </c>
      <c r="N872" t="str">
        <f>Koond_kulud!N910</f>
        <v>Muud tegevuskulud</v>
      </c>
      <c r="O872" t="str">
        <f>Koond_kulud!O910</f>
        <v>Majandamiskulud</v>
      </c>
      <c r="P872" t="str">
        <f>Koond_kulud!P910</f>
        <v>Põhitegevuse kulu</v>
      </c>
      <c r="Q872">
        <f>Koond_kulud!Q910</f>
        <v>0</v>
      </c>
    </row>
    <row r="873" spans="1:17" hidden="1" x14ac:dyDescent="0.25">
      <c r="A873" t="str">
        <f>Koond_kulud!A911</f>
        <v>09</v>
      </c>
      <c r="B873" t="str">
        <f>Koond_kulud!B911</f>
        <v xml:space="preserve">0921204         </v>
      </c>
      <c r="C873" t="str">
        <f>Koond_kulud!C911</f>
        <v xml:space="preserve"> Tudu kool</v>
      </c>
      <c r="D873" t="str">
        <f>Koond_kulud!D911</f>
        <v>Põhihariduse otsekulud</v>
      </c>
      <c r="E873" t="str">
        <f>Koond_kulud!E911</f>
        <v>Haridus</v>
      </c>
      <c r="F873" t="str">
        <f>Koond_kulud!F911</f>
        <v>Tudu Põhikool</v>
      </c>
      <c r="G873" t="str">
        <f>Koond_kulud!G911</f>
        <v>kuulutused</v>
      </c>
      <c r="H873">
        <f>Koond_kulud!H911</f>
        <v>50</v>
      </c>
      <c r="I873">
        <f>Koond_kulud!I911</f>
        <v>0</v>
      </c>
      <c r="J873">
        <f>Koond_kulud!J911</f>
        <v>5500</v>
      </c>
      <c r="K873" t="str">
        <f>Koond_kulud!K911</f>
        <v>Administreerimiskulud</v>
      </c>
      <c r="L873">
        <f>Koond_kulud!L911</f>
        <v>55</v>
      </c>
      <c r="M873" t="str">
        <f>Koond_kulud!M911</f>
        <v>55</v>
      </c>
      <c r="N873" t="str">
        <f>Koond_kulud!N911</f>
        <v>Muud tegevuskulud</v>
      </c>
      <c r="O873" t="str">
        <f>Koond_kulud!O911</f>
        <v>Majandamiskulud</v>
      </c>
      <c r="P873" t="str">
        <f>Koond_kulud!P911</f>
        <v>Põhitegevuse kulu</v>
      </c>
      <c r="Q873">
        <f>Koond_kulud!Q911</f>
        <v>0</v>
      </c>
    </row>
    <row r="874" spans="1:17" hidden="1" x14ac:dyDescent="0.25">
      <c r="A874" t="str">
        <f>Koond_kulud!A912</f>
        <v>09</v>
      </c>
      <c r="B874" t="str">
        <f>Koond_kulud!B912</f>
        <v xml:space="preserve">0921204         </v>
      </c>
      <c r="C874" t="str">
        <f>Koond_kulud!C912</f>
        <v xml:space="preserve"> Tudu kool</v>
      </c>
      <c r="D874" t="str">
        <f>Koond_kulud!D912</f>
        <v>Põhihariduse otsekulud</v>
      </c>
      <c r="E874" t="str">
        <f>Koond_kulud!E912</f>
        <v>Haridus</v>
      </c>
      <c r="F874" t="str">
        <f>Koond_kulud!F912</f>
        <v>Tudu Põhikool</v>
      </c>
      <c r="G874" t="str">
        <f>Koond_kulud!G912</f>
        <v>ajakirjanduse tellimine</v>
      </c>
      <c r="H874">
        <f>Koond_kulud!H912</f>
        <v>230</v>
      </c>
      <c r="I874" t="str">
        <f>Koond_kulud!I912</f>
        <v>ajalehed</v>
      </c>
      <c r="J874">
        <f>Koond_kulud!J912</f>
        <v>5500</v>
      </c>
      <c r="K874" t="str">
        <f>Koond_kulud!K912</f>
        <v>Administreerimiskulud</v>
      </c>
      <c r="L874">
        <f>Koond_kulud!L912</f>
        <v>55</v>
      </c>
      <c r="M874" t="str">
        <f>Koond_kulud!M912</f>
        <v>55</v>
      </c>
      <c r="N874" t="str">
        <f>Koond_kulud!N912</f>
        <v>Muud tegevuskulud</v>
      </c>
      <c r="O874" t="str">
        <f>Koond_kulud!O912</f>
        <v>Majandamiskulud</v>
      </c>
      <c r="P874" t="str">
        <f>Koond_kulud!P912</f>
        <v>Põhitegevuse kulu</v>
      </c>
      <c r="Q874">
        <f>Koond_kulud!Q912</f>
        <v>0</v>
      </c>
    </row>
    <row r="875" spans="1:17" hidden="1" x14ac:dyDescent="0.25">
      <c r="A875" t="str">
        <f>Koond_kulud!A913</f>
        <v>09</v>
      </c>
      <c r="B875" t="str">
        <f>Koond_kulud!B913</f>
        <v xml:space="preserve">0921204         </v>
      </c>
      <c r="C875" t="str">
        <f>Koond_kulud!C913</f>
        <v xml:space="preserve"> Tudu kool</v>
      </c>
      <c r="D875" t="str">
        <f>Koond_kulud!D913</f>
        <v>Põhihariduse otsekulud</v>
      </c>
      <c r="E875" t="str">
        <f>Koond_kulud!E913</f>
        <v>Haridus</v>
      </c>
      <c r="F875" t="str">
        <f>Koond_kulud!F913</f>
        <v>Tudu Põhikool</v>
      </c>
      <c r="G875" t="str">
        <f>Koond_kulud!G913</f>
        <v>erivajadustega laste õpet</v>
      </c>
      <c r="H875">
        <f>Koond_kulud!H913</f>
        <v>200</v>
      </c>
      <c r="I875">
        <f>Koond_kulud!I913</f>
        <v>0</v>
      </c>
      <c r="J875">
        <f>Koond_kulud!J913</f>
        <v>5504</v>
      </c>
      <c r="K875" t="str">
        <f>Koond_kulud!K913</f>
        <v>Koolituskulud</v>
      </c>
      <c r="L875">
        <f>Koond_kulud!L913</f>
        <v>55</v>
      </c>
      <c r="M875" t="str">
        <f>Koond_kulud!M913</f>
        <v>55</v>
      </c>
      <c r="N875" t="str">
        <f>Koond_kulud!N913</f>
        <v>Muud tegevuskulud</v>
      </c>
      <c r="O875" t="str">
        <f>Koond_kulud!O913</f>
        <v>Majandamiskulud</v>
      </c>
      <c r="P875" t="str">
        <f>Koond_kulud!P913</f>
        <v>Põhitegevuse kulu</v>
      </c>
      <c r="Q875">
        <f>Koond_kulud!Q913</f>
        <v>0</v>
      </c>
    </row>
    <row r="876" spans="1:17" hidden="1" x14ac:dyDescent="0.25">
      <c r="A876" t="str">
        <f>Koond_kulud!A914</f>
        <v>09</v>
      </c>
      <c r="B876" t="str">
        <f>Koond_kulud!B914</f>
        <v xml:space="preserve">0921204         </v>
      </c>
      <c r="C876" t="str">
        <f>Koond_kulud!C914</f>
        <v xml:space="preserve"> Tudu kool</v>
      </c>
      <c r="D876" t="str">
        <f>Koond_kulud!D914</f>
        <v>Põhihariduse otsekulud</v>
      </c>
      <c r="E876" t="str">
        <f>Koond_kulud!E914</f>
        <v>Haridus</v>
      </c>
      <c r="F876" t="str">
        <f>Koond_kulud!F914</f>
        <v>Tudu Põhikool</v>
      </c>
      <c r="G876" t="str">
        <f>Koond_kulud!G914</f>
        <v>robootika ainetundides</v>
      </c>
      <c r="H876">
        <f>Koond_kulud!H914</f>
        <v>100</v>
      </c>
      <c r="I876">
        <f>Koond_kulud!I914</f>
        <v>0</v>
      </c>
      <c r="J876">
        <f>Koond_kulud!J914</f>
        <v>5504</v>
      </c>
      <c r="K876" t="str">
        <f>Koond_kulud!K914</f>
        <v>Koolituskulud</v>
      </c>
      <c r="L876">
        <f>Koond_kulud!L914</f>
        <v>55</v>
      </c>
      <c r="M876" t="str">
        <f>Koond_kulud!M914</f>
        <v>55</v>
      </c>
      <c r="N876" t="str">
        <f>Koond_kulud!N914</f>
        <v>Muud tegevuskulud</v>
      </c>
      <c r="O876" t="str">
        <f>Koond_kulud!O914</f>
        <v>Majandamiskulud</v>
      </c>
      <c r="P876" t="str">
        <f>Koond_kulud!P914</f>
        <v>Põhitegevuse kulu</v>
      </c>
      <c r="Q876">
        <f>Koond_kulud!Q914</f>
        <v>0</v>
      </c>
    </row>
    <row r="877" spans="1:17" hidden="1" x14ac:dyDescent="0.25">
      <c r="A877" t="str">
        <f>Koond_kulud!A915</f>
        <v>09</v>
      </c>
      <c r="B877" t="str">
        <f>Koond_kulud!B915</f>
        <v xml:space="preserve">0921204         </v>
      </c>
      <c r="C877" t="str">
        <f>Koond_kulud!C915</f>
        <v xml:space="preserve"> Tudu kool</v>
      </c>
      <c r="D877" t="str">
        <f>Koond_kulud!D915</f>
        <v>Põhihariduse otsekulud</v>
      </c>
      <c r="E877" t="str">
        <f>Koond_kulud!E915</f>
        <v>Haridus</v>
      </c>
      <c r="F877" t="str">
        <f>Koond_kulud!F915</f>
        <v>Tudu Põhikool</v>
      </c>
      <c r="G877" t="str">
        <f>Koond_kulud!G915</f>
        <v>enesekehtestamine</v>
      </c>
      <c r="H877">
        <f>Koond_kulud!H915</f>
        <v>300</v>
      </c>
      <c r="I877">
        <f>Koond_kulud!I915</f>
        <v>0</v>
      </c>
      <c r="J877">
        <f>Koond_kulud!J915</f>
        <v>5504</v>
      </c>
      <c r="K877" t="str">
        <f>Koond_kulud!K915</f>
        <v>Koolituskulud</v>
      </c>
      <c r="L877">
        <f>Koond_kulud!L915</f>
        <v>55</v>
      </c>
      <c r="M877" t="str">
        <f>Koond_kulud!M915</f>
        <v>55</v>
      </c>
      <c r="N877" t="str">
        <f>Koond_kulud!N915</f>
        <v>Muud tegevuskulud</v>
      </c>
      <c r="O877" t="str">
        <f>Koond_kulud!O915</f>
        <v>Majandamiskulud</v>
      </c>
      <c r="P877" t="str">
        <f>Koond_kulud!P915</f>
        <v>Põhitegevuse kulu</v>
      </c>
      <c r="Q877">
        <f>Koond_kulud!Q915</f>
        <v>0</v>
      </c>
    </row>
    <row r="878" spans="1:17" hidden="1" x14ac:dyDescent="0.25">
      <c r="A878" t="str">
        <f>Koond_kulud!A916</f>
        <v>09</v>
      </c>
      <c r="B878" t="str">
        <f>Koond_kulud!B916</f>
        <v xml:space="preserve">0921204         </v>
      </c>
      <c r="C878" t="str">
        <f>Koond_kulud!C916</f>
        <v xml:space="preserve"> Tudu kool</v>
      </c>
      <c r="D878" t="str">
        <f>Koond_kulud!D916</f>
        <v>Põhihariduse otsekulud</v>
      </c>
      <c r="E878" t="str">
        <f>Koond_kulud!E916</f>
        <v>Haridus</v>
      </c>
      <c r="F878" t="str">
        <f>Koond_kulud!F916</f>
        <v>Tudu Põhikool</v>
      </c>
      <c r="G878" t="str">
        <f>Koond_kulud!G916</f>
        <v>kindlustus</v>
      </c>
      <c r="H878">
        <f>Koond_kulud!H916</f>
        <v>684</v>
      </c>
      <c r="I878">
        <f>Koond_kulud!I916</f>
        <v>0</v>
      </c>
      <c r="J878">
        <f>Koond_kulud!J916</f>
        <v>5513</v>
      </c>
      <c r="K878" t="str">
        <f>Koond_kulud!K916</f>
        <v>Sõidukite ülalpidamise kulud</v>
      </c>
      <c r="L878">
        <f>Koond_kulud!L916</f>
        <v>55</v>
      </c>
      <c r="M878" t="str">
        <f>Koond_kulud!M916</f>
        <v>55</v>
      </c>
      <c r="N878" t="str">
        <f>Koond_kulud!N916</f>
        <v>Muud tegevuskulud</v>
      </c>
      <c r="O878" t="str">
        <f>Koond_kulud!O916</f>
        <v>Majandamiskulud</v>
      </c>
      <c r="P878" t="str">
        <f>Koond_kulud!P916</f>
        <v>Põhitegevuse kulu</v>
      </c>
      <c r="Q878">
        <f>Koond_kulud!Q916</f>
        <v>0</v>
      </c>
    </row>
    <row r="879" spans="1:17" hidden="1" x14ac:dyDescent="0.25">
      <c r="A879" t="str">
        <f>Koond_kulud!A917</f>
        <v>09</v>
      </c>
      <c r="B879" t="str">
        <f>Koond_kulud!B917</f>
        <v xml:space="preserve">0921204         </v>
      </c>
      <c r="C879" t="str">
        <f>Koond_kulud!C917</f>
        <v xml:space="preserve"> Tudu kool</v>
      </c>
      <c r="D879" t="str">
        <f>Koond_kulud!D917</f>
        <v>Põhihariduse otsekulud</v>
      </c>
      <c r="E879" t="str">
        <f>Koond_kulud!E917</f>
        <v>Haridus</v>
      </c>
      <c r="F879" t="str">
        <f>Koond_kulud!F917</f>
        <v>Tudu Põhikool</v>
      </c>
      <c r="G879" t="str">
        <f>Koond_kulud!G917</f>
        <v>hooldus</v>
      </c>
      <c r="H879">
        <f>Koond_kulud!H917</f>
        <v>500</v>
      </c>
      <c r="I879">
        <f>Koond_kulud!I917</f>
        <v>0</v>
      </c>
      <c r="J879">
        <f>Koond_kulud!J917</f>
        <v>5513</v>
      </c>
      <c r="K879" t="str">
        <f>Koond_kulud!K917</f>
        <v>Sõidukite ülalpidamise kulud</v>
      </c>
      <c r="L879">
        <f>Koond_kulud!L917</f>
        <v>55</v>
      </c>
      <c r="M879" t="str">
        <f>Koond_kulud!M917</f>
        <v>55</v>
      </c>
      <c r="N879" t="str">
        <f>Koond_kulud!N917</f>
        <v>Muud tegevuskulud</v>
      </c>
      <c r="O879" t="str">
        <f>Koond_kulud!O917</f>
        <v>Majandamiskulud</v>
      </c>
      <c r="P879" t="str">
        <f>Koond_kulud!P917</f>
        <v>Põhitegevuse kulu</v>
      </c>
      <c r="Q879">
        <f>Koond_kulud!Q917</f>
        <v>0</v>
      </c>
    </row>
    <row r="880" spans="1:17" hidden="1" x14ac:dyDescent="0.25">
      <c r="A880" t="str">
        <f>Koond_kulud!A918</f>
        <v>09</v>
      </c>
      <c r="B880" t="str">
        <f>Koond_kulud!B918</f>
        <v xml:space="preserve">0921204         </v>
      </c>
      <c r="C880" t="str">
        <f>Koond_kulud!C918</f>
        <v xml:space="preserve"> Tudu kool</v>
      </c>
      <c r="D880" t="str">
        <f>Koond_kulud!D918</f>
        <v>Põhihariduse otsekulud</v>
      </c>
      <c r="E880" t="str">
        <f>Koond_kulud!E918</f>
        <v>Haridus</v>
      </c>
      <c r="F880" t="str">
        <f>Koond_kulud!F918</f>
        <v>Tudu Põhikool</v>
      </c>
      <c r="G880" t="str">
        <f>Koond_kulud!G918</f>
        <v>kütus</v>
      </c>
      <c r="H880">
        <f>Koond_kulud!H918</f>
        <v>5000</v>
      </c>
      <c r="I880">
        <f>Koond_kulud!I918</f>
        <v>0</v>
      </c>
      <c r="J880">
        <f>Koond_kulud!J918</f>
        <v>5513</v>
      </c>
      <c r="K880" t="str">
        <f>Koond_kulud!K918</f>
        <v>Sõidukite ülalpidamise kulud</v>
      </c>
      <c r="L880">
        <f>Koond_kulud!L918</f>
        <v>55</v>
      </c>
      <c r="M880" t="str">
        <f>Koond_kulud!M918</f>
        <v>55</v>
      </c>
      <c r="N880" t="str">
        <f>Koond_kulud!N918</f>
        <v>Muud tegevuskulud</v>
      </c>
      <c r="O880" t="str">
        <f>Koond_kulud!O918</f>
        <v>Majandamiskulud</v>
      </c>
      <c r="P880" t="str">
        <f>Koond_kulud!P918</f>
        <v>Põhitegevuse kulu</v>
      </c>
      <c r="Q880">
        <f>Koond_kulud!Q918</f>
        <v>0</v>
      </c>
    </row>
    <row r="881" spans="1:17" hidden="1" x14ac:dyDescent="0.25">
      <c r="A881" t="str">
        <f>Koond_kulud!A919</f>
        <v>09</v>
      </c>
      <c r="B881" t="str">
        <f>Koond_kulud!B919</f>
        <v xml:space="preserve">0921204         </v>
      </c>
      <c r="C881" t="str">
        <f>Koond_kulud!C919</f>
        <v xml:space="preserve"> Tudu kool</v>
      </c>
      <c r="D881" t="str">
        <f>Koond_kulud!D919</f>
        <v>Põhihariduse otsekulud</v>
      </c>
      <c r="E881" t="str">
        <f>Koond_kulud!E919</f>
        <v>Haridus</v>
      </c>
      <c r="F881" t="str">
        <f>Koond_kulud!F919</f>
        <v>Tudu Põhikool</v>
      </c>
      <c r="G881" t="str">
        <f>Koond_kulud!G919</f>
        <v>autohüvitised</v>
      </c>
      <c r="H881">
        <f>Koond_kulud!H919</f>
        <v>200</v>
      </c>
      <c r="I881">
        <f>Koond_kulud!I919</f>
        <v>0</v>
      </c>
      <c r="J881">
        <f>Koond_kulud!J919</f>
        <v>5513</v>
      </c>
      <c r="K881" t="str">
        <f>Koond_kulud!K919</f>
        <v>Sõidukite ülalpidamise kulud</v>
      </c>
      <c r="L881">
        <f>Koond_kulud!L919</f>
        <v>55</v>
      </c>
      <c r="M881" t="str">
        <f>Koond_kulud!M919</f>
        <v>55</v>
      </c>
      <c r="N881" t="str">
        <f>Koond_kulud!N919</f>
        <v>Muud tegevuskulud</v>
      </c>
      <c r="O881" t="str">
        <f>Koond_kulud!O919</f>
        <v>Majandamiskulud</v>
      </c>
      <c r="P881" t="str">
        <f>Koond_kulud!P919</f>
        <v>Põhitegevuse kulu</v>
      </c>
      <c r="Q881">
        <f>Koond_kulud!Q919</f>
        <v>0</v>
      </c>
    </row>
    <row r="882" spans="1:17" hidden="1" x14ac:dyDescent="0.25">
      <c r="A882" t="str">
        <f>Koond_kulud!A920</f>
        <v>09</v>
      </c>
      <c r="B882" t="str">
        <f>Koond_kulud!B920</f>
        <v xml:space="preserve">0921204         </v>
      </c>
      <c r="C882" t="str">
        <f>Koond_kulud!C920</f>
        <v xml:space="preserve"> Tudu kool</v>
      </c>
      <c r="D882" t="str">
        <f>Koond_kulud!D920</f>
        <v>Põhihariduse otsekulud</v>
      </c>
      <c r="E882" t="str">
        <f>Koond_kulud!E920</f>
        <v>Haridus</v>
      </c>
      <c r="F882" t="str">
        <f>Koond_kulud!F920</f>
        <v>Tudu Põhikool</v>
      </c>
      <c r="G882" t="str">
        <f>Koond_kulud!G920</f>
        <v>liising</v>
      </c>
      <c r="H882">
        <f>Koond_kulud!H920</f>
        <v>4824</v>
      </c>
      <c r="I882">
        <f>Koond_kulud!I920</f>
        <v>0</v>
      </c>
      <c r="J882">
        <f>Koond_kulud!J920</f>
        <v>5513</v>
      </c>
      <c r="K882" t="str">
        <f>Koond_kulud!K920</f>
        <v>Sõidukite ülalpidamise kulud</v>
      </c>
      <c r="L882">
        <f>Koond_kulud!L920</f>
        <v>55</v>
      </c>
      <c r="M882" t="str">
        <f>Koond_kulud!M920</f>
        <v>55</v>
      </c>
      <c r="N882" t="str">
        <f>Koond_kulud!N920</f>
        <v>Muud tegevuskulud</v>
      </c>
      <c r="O882" t="str">
        <f>Koond_kulud!O920</f>
        <v>Majandamiskulud</v>
      </c>
      <c r="P882" t="str">
        <f>Koond_kulud!P920</f>
        <v>Põhitegevuse kulu</v>
      </c>
      <c r="Q882">
        <f>Koond_kulud!Q920</f>
        <v>0</v>
      </c>
    </row>
    <row r="883" spans="1:17" hidden="1" x14ac:dyDescent="0.25">
      <c r="A883" t="str">
        <f>Koond_kulud!A921</f>
        <v>09</v>
      </c>
      <c r="B883" t="str">
        <f>Koond_kulud!B921</f>
        <v xml:space="preserve">0921204         </v>
      </c>
      <c r="C883" t="str">
        <f>Koond_kulud!C921</f>
        <v xml:space="preserve"> Tudu kool</v>
      </c>
      <c r="D883" t="str">
        <f>Koond_kulud!D921</f>
        <v>Põhihariduse otsekulud</v>
      </c>
      <c r="E883" t="str">
        <f>Koond_kulud!E921</f>
        <v>Haridus</v>
      </c>
      <c r="F883" t="str">
        <f>Koond_kulud!F921</f>
        <v>Tudu Põhikool</v>
      </c>
      <c r="G883" t="str">
        <f>Koond_kulud!G921</f>
        <v>rehvivahetus</v>
      </c>
      <c r="H883">
        <f>Koond_kulud!H921</f>
        <v>100</v>
      </c>
      <c r="I883">
        <f>Koond_kulud!I921</f>
        <v>0</v>
      </c>
      <c r="J883">
        <f>Koond_kulud!J921</f>
        <v>5513</v>
      </c>
      <c r="K883" t="str">
        <f>Koond_kulud!K921</f>
        <v>Sõidukite ülalpidamise kulud</v>
      </c>
      <c r="L883">
        <f>Koond_kulud!L921</f>
        <v>55</v>
      </c>
      <c r="M883" t="str">
        <f>Koond_kulud!M921</f>
        <v>55</v>
      </c>
      <c r="N883" t="str">
        <f>Koond_kulud!N921</f>
        <v>Muud tegevuskulud</v>
      </c>
      <c r="O883" t="str">
        <f>Koond_kulud!O921</f>
        <v>Majandamiskulud</v>
      </c>
      <c r="P883" t="str">
        <f>Koond_kulud!P921</f>
        <v>Põhitegevuse kulu</v>
      </c>
      <c r="Q883">
        <f>Koond_kulud!Q921</f>
        <v>0</v>
      </c>
    </row>
    <row r="884" spans="1:17" hidden="1" x14ac:dyDescent="0.25">
      <c r="A884" t="str">
        <f>Koond_kulud!A922</f>
        <v>09</v>
      </c>
      <c r="B884" t="str">
        <f>Koond_kulud!B922</f>
        <v xml:space="preserve">0921204         </v>
      </c>
      <c r="C884" t="str">
        <f>Koond_kulud!C922</f>
        <v xml:space="preserve"> Tudu kool</v>
      </c>
      <c r="D884" t="str">
        <f>Koond_kulud!D922</f>
        <v>Põhihariduse otsekulud</v>
      </c>
      <c r="E884" t="str">
        <f>Koond_kulud!E922</f>
        <v>Haridus</v>
      </c>
      <c r="F884" t="str">
        <f>Koond_kulud!F922</f>
        <v>Tudu Põhikool</v>
      </c>
      <c r="G884" t="str">
        <f>Koond_kulud!G922</f>
        <v>robootika õppevah</v>
      </c>
      <c r="H884">
        <f>Koond_kulud!H922</f>
        <v>160</v>
      </c>
      <c r="I884">
        <f>Koond_kulud!I922</f>
        <v>0</v>
      </c>
      <c r="J884">
        <f>Koond_kulud!J922</f>
        <v>5524</v>
      </c>
      <c r="K884" t="str">
        <f>Koond_kulud!K922</f>
        <v>Õppevahendid</v>
      </c>
      <c r="L884">
        <f>Koond_kulud!L922</f>
        <v>55</v>
      </c>
      <c r="M884" t="str">
        <f>Koond_kulud!M922</f>
        <v>55</v>
      </c>
      <c r="N884" t="str">
        <f>Koond_kulud!N922</f>
        <v>Muud tegevuskulud</v>
      </c>
      <c r="O884" t="str">
        <f>Koond_kulud!O922</f>
        <v>Majandamiskulud</v>
      </c>
      <c r="P884" t="str">
        <f>Koond_kulud!P922</f>
        <v>Põhitegevuse kulu</v>
      </c>
      <c r="Q884">
        <f>Koond_kulud!Q922</f>
        <v>0</v>
      </c>
    </row>
    <row r="885" spans="1:17" hidden="1" x14ac:dyDescent="0.25">
      <c r="A885" t="str">
        <f>Koond_kulud!A923</f>
        <v>09</v>
      </c>
      <c r="B885" t="str">
        <f>Koond_kulud!B923</f>
        <v xml:space="preserve">0921204         </v>
      </c>
      <c r="C885" t="str">
        <f>Koond_kulud!C923</f>
        <v xml:space="preserve"> Tudu kool</v>
      </c>
      <c r="D885" t="str">
        <f>Koond_kulud!D923</f>
        <v>Põhihariduse otsekulud</v>
      </c>
      <c r="E885" t="str">
        <f>Koond_kulud!E923</f>
        <v>Haridus</v>
      </c>
      <c r="F885" t="str">
        <f>Koond_kulud!F923</f>
        <v>Tudu Põhikool</v>
      </c>
      <c r="G885" t="str">
        <f>Koond_kulud!G923</f>
        <v>muruniiduk</v>
      </c>
      <c r="H885">
        <f>Koond_kulud!H923</f>
        <v>250</v>
      </c>
      <c r="I885">
        <f>Koond_kulud!I923</f>
        <v>0</v>
      </c>
      <c r="J885">
        <f>Koond_kulud!J923</f>
        <v>5515</v>
      </c>
      <c r="K885" t="str">
        <f>Koond_kulud!K923</f>
        <v>Inventari kulud, v.a infotehnoloogia ja kaitseotstarbelised kulud</v>
      </c>
      <c r="L885">
        <f>Koond_kulud!L923</f>
        <v>55</v>
      </c>
      <c r="M885" t="str">
        <f>Koond_kulud!M923</f>
        <v>55</v>
      </c>
      <c r="N885" t="str">
        <f>Koond_kulud!N923</f>
        <v>Muud tegevuskulud</v>
      </c>
      <c r="O885" t="str">
        <f>Koond_kulud!O923</f>
        <v>Majandamiskulud</v>
      </c>
      <c r="P885" t="str">
        <f>Koond_kulud!P923</f>
        <v>Põhitegevuse kulu</v>
      </c>
      <c r="Q885">
        <f>Koond_kulud!Q923</f>
        <v>0</v>
      </c>
    </row>
    <row r="886" spans="1:17" hidden="1" x14ac:dyDescent="0.25">
      <c r="A886" t="str">
        <f>Koond_kulud!A924</f>
        <v>09</v>
      </c>
      <c r="B886" t="str">
        <f>Koond_kulud!B924</f>
        <v xml:space="preserve">0921204         </v>
      </c>
      <c r="C886" t="str">
        <f>Koond_kulud!C924</f>
        <v xml:space="preserve"> Tudu kool</v>
      </c>
      <c r="D886" t="str">
        <f>Koond_kulud!D924</f>
        <v>Põhihariduse otsekulud</v>
      </c>
      <c r="E886" t="str">
        <f>Koond_kulud!E924</f>
        <v>Haridus</v>
      </c>
      <c r="F886" t="str">
        <f>Koond_kulud!F924</f>
        <v>Tudu Põhikool</v>
      </c>
      <c r="G886" t="str">
        <f>Koond_kulud!G924</f>
        <v>köögikombain</v>
      </c>
      <c r="H886">
        <f>Koond_kulud!H924</f>
        <v>150</v>
      </c>
      <c r="I886">
        <f>Koond_kulud!I924</f>
        <v>0</v>
      </c>
      <c r="J886">
        <f>Koond_kulud!J924</f>
        <v>5515</v>
      </c>
      <c r="K886" t="str">
        <f>Koond_kulud!K924</f>
        <v>Inventari kulud, v.a infotehnoloogia ja kaitseotstarbelised kulud</v>
      </c>
      <c r="L886">
        <f>Koond_kulud!L924</f>
        <v>55</v>
      </c>
      <c r="M886" t="str">
        <f>Koond_kulud!M924</f>
        <v>55</v>
      </c>
      <c r="N886" t="str">
        <f>Koond_kulud!N924</f>
        <v>Muud tegevuskulud</v>
      </c>
      <c r="O886" t="str">
        <f>Koond_kulud!O924</f>
        <v>Majandamiskulud</v>
      </c>
      <c r="P886" t="str">
        <f>Koond_kulud!P924</f>
        <v>Põhitegevuse kulu</v>
      </c>
      <c r="Q886">
        <f>Koond_kulud!Q924</f>
        <v>0</v>
      </c>
    </row>
    <row r="887" spans="1:17" hidden="1" x14ac:dyDescent="0.25">
      <c r="A887" t="str">
        <f>Koond_kulud!A925</f>
        <v>09</v>
      </c>
      <c r="B887" t="str">
        <f>Koond_kulud!B925</f>
        <v xml:space="preserve">0921204         </v>
      </c>
      <c r="C887" t="str">
        <f>Koond_kulud!C925</f>
        <v xml:space="preserve"> Tudu kool</v>
      </c>
      <c r="D887" t="str">
        <f>Koond_kulud!D925</f>
        <v>Põhihariduse otsekulud</v>
      </c>
      <c r="E887" t="str">
        <f>Koond_kulud!E925</f>
        <v>Haridus</v>
      </c>
      <c r="F887" t="str">
        <f>Koond_kulud!F925</f>
        <v>Tudu Põhikool</v>
      </c>
      <c r="G887" t="str">
        <f>Koond_kulud!G925</f>
        <v>tolmuimeja</v>
      </c>
      <c r="H887">
        <f>Koond_kulud!H925</f>
        <v>100</v>
      </c>
      <c r="I887">
        <f>Koond_kulud!I925</f>
        <v>0</v>
      </c>
      <c r="J887">
        <f>Koond_kulud!J925</f>
        <v>5515</v>
      </c>
      <c r="K887" t="str">
        <f>Koond_kulud!K925</f>
        <v>Inventari kulud, v.a infotehnoloogia ja kaitseotstarbelised kulud</v>
      </c>
      <c r="L887">
        <f>Koond_kulud!L925</f>
        <v>55</v>
      </c>
      <c r="M887" t="str">
        <f>Koond_kulud!M925</f>
        <v>55</v>
      </c>
      <c r="N887" t="str">
        <f>Koond_kulud!N925</f>
        <v>Muud tegevuskulud</v>
      </c>
      <c r="O887" t="str">
        <f>Koond_kulud!O925</f>
        <v>Majandamiskulud</v>
      </c>
      <c r="P887" t="str">
        <f>Koond_kulud!P925</f>
        <v>Põhitegevuse kulu</v>
      </c>
      <c r="Q887">
        <f>Koond_kulud!Q925</f>
        <v>0</v>
      </c>
    </row>
    <row r="888" spans="1:17" hidden="1" x14ac:dyDescent="0.25">
      <c r="A888" t="str">
        <f>Koond_kulud!A926</f>
        <v>09</v>
      </c>
      <c r="B888" t="str">
        <f>Koond_kulud!B926</f>
        <v xml:space="preserve">0921204         </v>
      </c>
      <c r="C888" t="str">
        <f>Koond_kulud!C926</f>
        <v xml:space="preserve"> Tudu kool</v>
      </c>
      <c r="D888" t="str">
        <f>Koond_kulud!D926</f>
        <v>Põhihariduse otsekulud</v>
      </c>
      <c r="E888" t="str">
        <f>Koond_kulud!E926</f>
        <v>Haridus</v>
      </c>
      <c r="F888" t="str">
        <f>Koond_kulud!F926</f>
        <v>Tudu Põhikool</v>
      </c>
      <c r="G888" t="str">
        <f>Koond_kulud!G926</f>
        <v>kool</v>
      </c>
      <c r="H888">
        <f>Koond_kulud!H926</f>
        <v>2275</v>
      </c>
      <c r="I888" t="str">
        <f>Koond_kulud!I926</f>
        <v>Ped.</v>
      </c>
      <c r="J888">
        <f>Koond_kulud!J926</f>
        <v>5521</v>
      </c>
      <c r="K888" t="str">
        <f>Koond_kulud!K926</f>
        <v>Toiduained ja toitlustusteenused</v>
      </c>
      <c r="L888">
        <f>Koond_kulud!L926</f>
        <v>55</v>
      </c>
      <c r="M888" t="str">
        <f>Koond_kulud!M926</f>
        <v>55</v>
      </c>
      <c r="N888" t="str">
        <f>Koond_kulud!N926</f>
        <v>Muud tegevuskulud</v>
      </c>
      <c r="O888" t="str">
        <f>Koond_kulud!O926</f>
        <v>Majandamiskulud</v>
      </c>
      <c r="P888" t="str">
        <f>Koond_kulud!P926</f>
        <v>Põhitegevuse kulu</v>
      </c>
      <c r="Q888">
        <f>Koond_kulud!Q926</f>
        <v>0</v>
      </c>
    </row>
    <row r="889" spans="1:17" hidden="1" x14ac:dyDescent="0.25">
      <c r="A889" t="str">
        <f>Koond_kulud!A927</f>
        <v>09</v>
      </c>
      <c r="B889" t="str">
        <f>Koond_kulud!B927</f>
        <v xml:space="preserve">0921204         </v>
      </c>
      <c r="C889" t="str">
        <f>Koond_kulud!C927</f>
        <v xml:space="preserve"> Tudu kool</v>
      </c>
      <c r="D889" t="str">
        <f>Koond_kulud!D927</f>
        <v>Põhihariduse otsekulud</v>
      </c>
      <c r="E889" t="str">
        <f>Koond_kulud!E927</f>
        <v>Haridus</v>
      </c>
      <c r="F889" t="str">
        <f>Koond_kulud!F927</f>
        <v>Tudu Põhikool</v>
      </c>
      <c r="G889" t="str">
        <f>Koond_kulud!G927</f>
        <v>tervisekontroll</v>
      </c>
      <c r="H889">
        <f>Koond_kulud!H927</f>
        <v>50</v>
      </c>
      <c r="I889">
        <f>Koond_kulud!I927</f>
        <v>0</v>
      </c>
      <c r="J889">
        <f>Koond_kulud!J927</f>
        <v>5522</v>
      </c>
      <c r="K889" t="str">
        <f>Koond_kulud!K927</f>
        <v>Meditsiinikulud ja hügieenitarbed</v>
      </c>
      <c r="L889">
        <f>Koond_kulud!L927</f>
        <v>55</v>
      </c>
      <c r="M889" t="str">
        <f>Koond_kulud!M927</f>
        <v>55</v>
      </c>
      <c r="N889" t="str">
        <f>Koond_kulud!N927</f>
        <v>Muud tegevuskulud</v>
      </c>
      <c r="O889" t="str">
        <f>Koond_kulud!O927</f>
        <v>Majandamiskulud</v>
      </c>
      <c r="P889" t="str">
        <f>Koond_kulud!P927</f>
        <v>Põhitegevuse kulu</v>
      </c>
      <c r="Q889">
        <f>Koond_kulud!Q927</f>
        <v>0</v>
      </c>
    </row>
    <row r="890" spans="1:17" hidden="1" x14ac:dyDescent="0.25">
      <c r="A890" t="str">
        <f>Koond_kulud!A928</f>
        <v>09</v>
      </c>
      <c r="B890" t="str">
        <f>Koond_kulud!B928</f>
        <v xml:space="preserve">0921204         </v>
      </c>
      <c r="C890" t="str">
        <f>Koond_kulud!C928</f>
        <v xml:space="preserve"> Tudu kool</v>
      </c>
      <c r="D890" t="str">
        <f>Koond_kulud!D928</f>
        <v>Põhihariduse otsekulud</v>
      </c>
      <c r="E890" t="str">
        <f>Koond_kulud!E928</f>
        <v>Haridus</v>
      </c>
      <c r="F890" t="str">
        <f>Koond_kulud!F928</f>
        <v>Tudu Põhikool</v>
      </c>
      <c r="G890" t="str">
        <f>Koond_kulud!G928</f>
        <v>esmaabi kapp</v>
      </c>
      <c r="H890">
        <f>Koond_kulud!H928</f>
        <v>100</v>
      </c>
      <c r="I890">
        <f>Koond_kulud!I928</f>
        <v>0</v>
      </c>
      <c r="J890">
        <f>Koond_kulud!J928</f>
        <v>5522</v>
      </c>
      <c r="K890" t="str">
        <f>Koond_kulud!K928</f>
        <v>Meditsiinikulud ja hügieenitarbed</v>
      </c>
      <c r="L890">
        <f>Koond_kulud!L928</f>
        <v>55</v>
      </c>
      <c r="M890" t="str">
        <f>Koond_kulud!M928</f>
        <v>55</v>
      </c>
      <c r="N890" t="str">
        <f>Koond_kulud!N928</f>
        <v>Muud tegevuskulud</v>
      </c>
      <c r="O890" t="str">
        <f>Koond_kulud!O928</f>
        <v>Majandamiskulud</v>
      </c>
      <c r="P890" t="str">
        <f>Koond_kulud!P928</f>
        <v>Põhitegevuse kulu</v>
      </c>
      <c r="Q890">
        <f>Koond_kulud!Q928</f>
        <v>0</v>
      </c>
    </row>
    <row r="891" spans="1:17" hidden="1" x14ac:dyDescent="0.25">
      <c r="A891" t="str">
        <f>Koond_kulud!A929</f>
        <v>09</v>
      </c>
      <c r="B891" t="str">
        <f>Koond_kulud!B929</f>
        <v xml:space="preserve">0921204         </v>
      </c>
      <c r="C891" t="str">
        <f>Koond_kulud!C929</f>
        <v xml:space="preserve"> Tudu kool</v>
      </c>
      <c r="D891" t="str">
        <f>Koond_kulud!D929</f>
        <v>Põhihariduse otsekulud</v>
      </c>
      <c r="E891" t="str">
        <f>Koond_kulud!E929</f>
        <v>Haridus</v>
      </c>
      <c r="F891" t="str">
        <f>Koond_kulud!F929</f>
        <v>Tudu Põhikool</v>
      </c>
      <c r="G891" t="str">
        <f>Koond_kulud!G929</f>
        <v>õpikud sh etunni mälupulgad õpet</v>
      </c>
      <c r="H891">
        <f>Koond_kulud!H929</f>
        <v>1200</v>
      </c>
      <c r="I891">
        <f>Koond_kulud!I929</f>
        <v>0</v>
      </c>
      <c r="J891">
        <f>Koond_kulud!J929</f>
        <v>5524</v>
      </c>
      <c r="K891" t="str">
        <f>Koond_kulud!K929</f>
        <v>Õppevahendid</v>
      </c>
      <c r="L891">
        <f>Koond_kulud!L929</f>
        <v>55</v>
      </c>
      <c r="M891" t="str">
        <f>Koond_kulud!M929</f>
        <v>55</v>
      </c>
      <c r="N891" t="str">
        <f>Koond_kulud!N929</f>
        <v>Muud tegevuskulud</v>
      </c>
      <c r="O891" t="str">
        <f>Koond_kulud!O929</f>
        <v>Majandamiskulud</v>
      </c>
      <c r="P891" t="str">
        <f>Koond_kulud!P929</f>
        <v>Põhitegevuse kulu</v>
      </c>
      <c r="Q891">
        <f>Koond_kulud!Q929</f>
        <v>0</v>
      </c>
    </row>
    <row r="892" spans="1:17" hidden="1" x14ac:dyDescent="0.25">
      <c r="A892" t="str">
        <f>Koond_kulud!A930</f>
        <v>09</v>
      </c>
      <c r="B892" t="str">
        <f>Koond_kulud!B930</f>
        <v xml:space="preserve">0921204         </v>
      </c>
      <c r="C892" t="str">
        <f>Koond_kulud!C930</f>
        <v xml:space="preserve"> Tudu kool</v>
      </c>
      <c r="D892" t="str">
        <f>Koond_kulud!D930</f>
        <v>Põhihariduse otsekulud</v>
      </c>
      <c r="E892" t="str">
        <f>Koond_kulud!E930</f>
        <v>Haridus</v>
      </c>
      <c r="F892" t="str">
        <f>Koond_kulud!F930</f>
        <v>Tudu Põhikool</v>
      </c>
      <c r="G892" t="str">
        <f>Koond_kulud!G930</f>
        <v>töövihikud</v>
      </c>
      <c r="H892">
        <f>Koond_kulud!H930</f>
        <v>400</v>
      </c>
      <c r="I892">
        <f>Koond_kulud!I930</f>
        <v>0</v>
      </c>
      <c r="J892">
        <f>Koond_kulud!J930</f>
        <v>5524</v>
      </c>
      <c r="K892" t="str">
        <f>Koond_kulud!K930</f>
        <v>Õppevahendid</v>
      </c>
      <c r="L892">
        <f>Koond_kulud!L930</f>
        <v>55</v>
      </c>
      <c r="M892" t="str">
        <f>Koond_kulud!M930</f>
        <v>55</v>
      </c>
      <c r="N892" t="str">
        <f>Koond_kulud!N930</f>
        <v>Muud tegevuskulud</v>
      </c>
      <c r="O892" t="str">
        <f>Koond_kulud!O930</f>
        <v>Majandamiskulud</v>
      </c>
      <c r="P892" t="str">
        <f>Koond_kulud!P930</f>
        <v>Põhitegevuse kulu</v>
      </c>
      <c r="Q892">
        <f>Koond_kulud!Q930</f>
        <v>0</v>
      </c>
    </row>
    <row r="893" spans="1:17" hidden="1" x14ac:dyDescent="0.25">
      <c r="A893" t="str">
        <f>Koond_kulud!A931</f>
        <v>09</v>
      </c>
      <c r="B893" t="str">
        <f>Koond_kulud!B931</f>
        <v xml:space="preserve">0921204         </v>
      </c>
      <c r="C893" t="str">
        <f>Koond_kulud!C931</f>
        <v xml:space="preserve"> Tudu kool</v>
      </c>
      <c r="D893" t="str">
        <f>Koond_kulud!D931</f>
        <v>Põhihariduse otsekulud</v>
      </c>
      <c r="E893" t="str">
        <f>Koond_kulud!E931</f>
        <v>Haridus</v>
      </c>
      <c r="F893" t="str">
        <f>Koond_kulud!F931</f>
        <v>Tudu Põhikool</v>
      </c>
      <c r="G893" t="str">
        <f>Koond_kulud!G931</f>
        <v>tehnoloogia, kodund õppev</v>
      </c>
      <c r="H893">
        <f>Koond_kulud!H931</f>
        <v>300</v>
      </c>
      <c r="I893">
        <f>Koond_kulud!I931</f>
        <v>0</v>
      </c>
      <c r="J893">
        <f>Koond_kulud!J931</f>
        <v>5524</v>
      </c>
      <c r="K893" t="str">
        <f>Koond_kulud!K931</f>
        <v>Õppevahendid</v>
      </c>
      <c r="L893">
        <f>Koond_kulud!L931</f>
        <v>55</v>
      </c>
      <c r="M893" t="str">
        <f>Koond_kulud!M931</f>
        <v>55</v>
      </c>
      <c r="N893" t="str">
        <f>Koond_kulud!N931</f>
        <v>Muud tegevuskulud</v>
      </c>
      <c r="O893" t="str">
        <f>Koond_kulud!O931</f>
        <v>Majandamiskulud</v>
      </c>
      <c r="P893" t="str">
        <f>Koond_kulud!P931</f>
        <v>Põhitegevuse kulu</v>
      </c>
      <c r="Q893">
        <f>Koond_kulud!Q931</f>
        <v>0</v>
      </c>
    </row>
    <row r="894" spans="1:17" hidden="1" x14ac:dyDescent="0.25">
      <c r="A894" t="str">
        <f>Koond_kulud!A932</f>
        <v>09</v>
      </c>
      <c r="B894" t="str">
        <f>Koond_kulud!B932</f>
        <v xml:space="preserve">0921204         </v>
      </c>
      <c r="C894" t="str">
        <f>Koond_kulud!C932</f>
        <v xml:space="preserve"> Tudu kool</v>
      </c>
      <c r="D894" t="str">
        <f>Koond_kulud!D932</f>
        <v>Põhihariduse otsekulud</v>
      </c>
      <c r="E894" t="str">
        <f>Koond_kulud!E932</f>
        <v>Haridus</v>
      </c>
      <c r="F894" t="str">
        <f>Koond_kulud!F932</f>
        <v>Tudu Põhikool</v>
      </c>
      <c r="G894" t="str">
        <f>Koond_kulud!G932</f>
        <v>eriped teenus</v>
      </c>
      <c r="H894">
        <f>Koond_kulud!H932</f>
        <v>900</v>
      </c>
      <c r="I894">
        <f>Koond_kulud!I932</f>
        <v>0</v>
      </c>
      <c r="J894">
        <f>Koond_kulud!J932</f>
        <v>5524</v>
      </c>
      <c r="K894" t="str">
        <f>Koond_kulud!K932</f>
        <v>Õppevahendid</v>
      </c>
      <c r="L894">
        <f>Koond_kulud!L932</f>
        <v>55</v>
      </c>
      <c r="M894" t="str">
        <f>Koond_kulud!M932</f>
        <v>55</v>
      </c>
      <c r="N894" t="str">
        <f>Koond_kulud!N932</f>
        <v>Muud tegevuskulud</v>
      </c>
      <c r="O894" t="str">
        <f>Koond_kulud!O932</f>
        <v>Majandamiskulud</v>
      </c>
      <c r="P894" t="str">
        <f>Koond_kulud!P932</f>
        <v>Põhitegevuse kulu</v>
      </c>
      <c r="Q894">
        <f>Koond_kulud!Q932</f>
        <v>0</v>
      </c>
    </row>
    <row r="895" spans="1:17" hidden="1" x14ac:dyDescent="0.25">
      <c r="A895" t="str">
        <f>Koond_kulud!A933</f>
        <v>09</v>
      </c>
      <c r="B895" t="str">
        <f>Koond_kulud!B933</f>
        <v xml:space="preserve">0921204         </v>
      </c>
      <c r="C895" t="str">
        <f>Koond_kulud!C933</f>
        <v xml:space="preserve"> Tudu kool</v>
      </c>
      <c r="D895" t="str">
        <f>Koond_kulud!D933</f>
        <v>Põhihariduse otsekulud</v>
      </c>
      <c r="E895" t="str">
        <f>Koond_kulud!E933</f>
        <v>Haridus</v>
      </c>
      <c r="F895" t="str">
        <f>Koond_kulud!F933</f>
        <v>Tudu Põhikool</v>
      </c>
      <c r="G895" t="str">
        <f>Koond_kulud!G933</f>
        <v>paber, värvid jm</v>
      </c>
      <c r="H895">
        <f>Koond_kulud!H933</f>
        <v>100</v>
      </c>
      <c r="I895">
        <f>Koond_kulud!I933</f>
        <v>0</v>
      </c>
      <c r="J895">
        <f>Koond_kulud!J933</f>
        <v>5524</v>
      </c>
      <c r="K895" t="str">
        <f>Koond_kulud!K933</f>
        <v>Õppevahendid</v>
      </c>
      <c r="L895">
        <f>Koond_kulud!L933</f>
        <v>55</v>
      </c>
      <c r="M895" t="str">
        <f>Koond_kulud!M933</f>
        <v>55</v>
      </c>
      <c r="N895" t="str">
        <f>Koond_kulud!N933</f>
        <v>Muud tegevuskulud</v>
      </c>
      <c r="O895" t="str">
        <f>Koond_kulud!O933</f>
        <v>Majandamiskulud</v>
      </c>
      <c r="P895" t="str">
        <f>Koond_kulud!P933</f>
        <v>Põhitegevuse kulu</v>
      </c>
      <c r="Q895">
        <f>Koond_kulud!Q933</f>
        <v>0</v>
      </c>
    </row>
    <row r="896" spans="1:17" hidden="1" x14ac:dyDescent="0.25">
      <c r="A896" t="str">
        <f>Koond_kulud!A934</f>
        <v>09</v>
      </c>
      <c r="B896" t="str">
        <f>Koond_kulud!B934</f>
        <v xml:space="preserve">0921204         </v>
      </c>
      <c r="C896" t="str">
        <f>Koond_kulud!C934</f>
        <v xml:space="preserve"> Tudu kool</v>
      </c>
      <c r="D896" t="str">
        <f>Koond_kulud!D934</f>
        <v>Põhihariduse otsekulud</v>
      </c>
      <c r="E896" t="str">
        <f>Koond_kulud!E934</f>
        <v>Haridus</v>
      </c>
      <c r="F896" t="str">
        <f>Koond_kulud!F934</f>
        <v>Tudu Põhikool</v>
      </c>
      <c r="G896" t="str">
        <f>Koond_kulud!G934</f>
        <v>vastlapäev</v>
      </c>
      <c r="H896">
        <f>Koond_kulud!H934</f>
        <v>10</v>
      </c>
      <c r="I896">
        <f>Koond_kulud!I934</f>
        <v>0</v>
      </c>
      <c r="J896">
        <f>Koond_kulud!J934</f>
        <v>5525</v>
      </c>
      <c r="K896" t="str">
        <f>Koond_kulud!K934</f>
        <v>Kommunikatsiooni-, kultuuri- ja vaba aja sisustamise kulud</v>
      </c>
      <c r="L896">
        <f>Koond_kulud!L934</f>
        <v>55</v>
      </c>
      <c r="M896" t="str">
        <f>Koond_kulud!M934</f>
        <v>55</v>
      </c>
      <c r="N896" t="str">
        <f>Koond_kulud!N934</f>
        <v>Muud tegevuskulud</v>
      </c>
      <c r="O896" t="str">
        <f>Koond_kulud!O934</f>
        <v>Majandamiskulud</v>
      </c>
      <c r="P896" t="str">
        <f>Koond_kulud!P934</f>
        <v>Põhitegevuse kulu</v>
      </c>
      <c r="Q896">
        <f>Koond_kulud!Q934</f>
        <v>0</v>
      </c>
    </row>
    <row r="897" spans="1:17" hidden="1" x14ac:dyDescent="0.25">
      <c r="A897" t="str">
        <f>Koond_kulud!A935</f>
        <v>09</v>
      </c>
      <c r="B897" t="str">
        <f>Koond_kulud!B935</f>
        <v xml:space="preserve">0921204         </v>
      </c>
      <c r="C897" t="str">
        <f>Koond_kulud!C935</f>
        <v xml:space="preserve"> Tudu kool</v>
      </c>
      <c r="D897" t="str">
        <f>Koond_kulud!D935</f>
        <v>Põhihariduse otsekulud</v>
      </c>
      <c r="E897" t="str">
        <f>Koond_kulud!E935</f>
        <v>Haridus</v>
      </c>
      <c r="F897" t="str">
        <f>Koond_kulud!F935</f>
        <v>Tudu Põhikool</v>
      </c>
      <c r="G897" t="str">
        <f>Koond_kulud!G935</f>
        <v>EV aastpäev</v>
      </c>
      <c r="H897">
        <f>Koond_kulud!H935</f>
        <v>20</v>
      </c>
      <c r="I897">
        <f>Koond_kulud!I935</f>
        <v>0</v>
      </c>
      <c r="J897">
        <f>Koond_kulud!J935</f>
        <v>5525</v>
      </c>
      <c r="K897" t="str">
        <f>Koond_kulud!K935</f>
        <v>Kommunikatsiooni-, kultuuri- ja vaba aja sisustamise kulud</v>
      </c>
      <c r="L897">
        <f>Koond_kulud!L935</f>
        <v>55</v>
      </c>
      <c r="M897" t="str">
        <f>Koond_kulud!M935</f>
        <v>55</v>
      </c>
      <c r="N897" t="str">
        <f>Koond_kulud!N935</f>
        <v>Muud tegevuskulud</v>
      </c>
      <c r="O897" t="str">
        <f>Koond_kulud!O935</f>
        <v>Majandamiskulud</v>
      </c>
      <c r="P897" t="str">
        <f>Koond_kulud!P935</f>
        <v>Põhitegevuse kulu</v>
      </c>
      <c r="Q897">
        <f>Koond_kulud!Q935</f>
        <v>0</v>
      </c>
    </row>
    <row r="898" spans="1:17" hidden="1" x14ac:dyDescent="0.25">
      <c r="A898" t="str">
        <f>Koond_kulud!A936</f>
        <v>09</v>
      </c>
      <c r="B898" t="str">
        <f>Koond_kulud!B936</f>
        <v xml:space="preserve">0921204         </v>
      </c>
      <c r="C898" t="str">
        <f>Koond_kulud!C936</f>
        <v xml:space="preserve"> Tudu kool</v>
      </c>
      <c r="D898" t="str">
        <f>Koond_kulud!D936</f>
        <v>Põhihariduse otsekulud</v>
      </c>
      <c r="E898" t="str">
        <f>Koond_kulud!E936</f>
        <v>Haridus</v>
      </c>
      <c r="F898" t="str">
        <f>Koond_kulud!F936</f>
        <v>Tudu Põhikool</v>
      </c>
      <c r="G898" t="str">
        <f>Koond_kulud!G936</f>
        <v>etenduse dekor</v>
      </c>
      <c r="H898">
        <f>Koond_kulud!H936</f>
        <v>40</v>
      </c>
      <c r="I898">
        <f>Koond_kulud!I936</f>
        <v>0</v>
      </c>
      <c r="J898">
        <f>Koond_kulud!J936</f>
        <v>5525</v>
      </c>
      <c r="K898" t="str">
        <f>Koond_kulud!K936</f>
        <v>Kommunikatsiooni-, kultuuri- ja vaba aja sisustamise kulud</v>
      </c>
      <c r="L898">
        <f>Koond_kulud!L936</f>
        <v>55</v>
      </c>
      <c r="M898" t="str">
        <f>Koond_kulud!M936</f>
        <v>55</v>
      </c>
      <c r="N898" t="str">
        <f>Koond_kulud!N936</f>
        <v>Muud tegevuskulud</v>
      </c>
      <c r="O898" t="str">
        <f>Koond_kulud!O936</f>
        <v>Majandamiskulud</v>
      </c>
      <c r="P898" t="str">
        <f>Koond_kulud!P936</f>
        <v>Põhitegevuse kulu</v>
      </c>
      <c r="Q898">
        <f>Koond_kulud!Q936</f>
        <v>0</v>
      </c>
    </row>
    <row r="899" spans="1:17" hidden="1" x14ac:dyDescent="0.25">
      <c r="A899" t="str">
        <f>Koond_kulud!A937</f>
        <v>09</v>
      </c>
      <c r="B899" t="str">
        <f>Koond_kulud!B937</f>
        <v xml:space="preserve">0921204         </v>
      </c>
      <c r="C899" t="str">
        <f>Koond_kulud!C937</f>
        <v xml:space="preserve"> Tudu kool</v>
      </c>
      <c r="D899" t="str">
        <f>Koond_kulud!D937</f>
        <v>Põhihariduse otsekulud</v>
      </c>
      <c r="E899" t="str">
        <f>Koond_kulud!E937</f>
        <v>Haridus</v>
      </c>
      <c r="F899" t="str">
        <f>Koond_kulud!F937</f>
        <v>Tudu Põhikool</v>
      </c>
      <c r="G899" t="str">
        <f>Koond_kulud!G937</f>
        <v>jõuluvana</v>
      </c>
      <c r="H899">
        <f>Koond_kulud!H937</f>
        <v>75</v>
      </c>
      <c r="I899">
        <f>Koond_kulud!I937</f>
        <v>0</v>
      </c>
      <c r="J899">
        <f>Koond_kulud!J937</f>
        <v>5525</v>
      </c>
      <c r="K899" t="str">
        <f>Koond_kulud!K937</f>
        <v>Kommunikatsiooni-, kultuuri- ja vaba aja sisustamise kulud</v>
      </c>
      <c r="L899">
        <f>Koond_kulud!L937</f>
        <v>55</v>
      </c>
      <c r="M899" t="str">
        <f>Koond_kulud!M937</f>
        <v>55</v>
      </c>
      <c r="N899" t="str">
        <f>Koond_kulud!N937</f>
        <v>Muud tegevuskulud</v>
      </c>
      <c r="O899" t="str">
        <f>Koond_kulud!O937</f>
        <v>Majandamiskulud</v>
      </c>
      <c r="P899" t="str">
        <f>Koond_kulud!P937</f>
        <v>Põhitegevuse kulu</v>
      </c>
      <c r="Q899">
        <f>Koond_kulud!Q937</f>
        <v>0</v>
      </c>
    </row>
    <row r="900" spans="1:17" hidden="1" x14ac:dyDescent="0.25">
      <c r="A900" t="str">
        <f>Koond_kulud!A938</f>
        <v>09</v>
      </c>
      <c r="B900" t="str">
        <f>Koond_kulud!B938</f>
        <v xml:space="preserve">0921204         </v>
      </c>
      <c r="C900" t="str">
        <f>Koond_kulud!C938</f>
        <v xml:space="preserve"> Tudu kool</v>
      </c>
      <c r="D900" t="str">
        <f>Koond_kulud!D938</f>
        <v>Põhihariduse otsekulud</v>
      </c>
      <c r="E900" t="str">
        <f>Koond_kulud!E938</f>
        <v>Haridus</v>
      </c>
      <c r="F900" t="str">
        <f>Koond_kulud!F938</f>
        <v>Tudu Põhikool</v>
      </c>
      <c r="G900" t="str">
        <f>Koond_kulud!G938</f>
        <v>isadepäev, emadepäev</v>
      </c>
      <c r="H900">
        <f>Koond_kulud!H938</f>
        <v>50</v>
      </c>
      <c r="I900">
        <f>Koond_kulud!I938</f>
        <v>0</v>
      </c>
      <c r="J900">
        <f>Koond_kulud!J938</f>
        <v>5525</v>
      </c>
      <c r="K900" t="str">
        <f>Koond_kulud!K938</f>
        <v>Kommunikatsiooni-, kultuuri- ja vaba aja sisustamise kulud</v>
      </c>
      <c r="L900">
        <f>Koond_kulud!L938</f>
        <v>55</v>
      </c>
      <c r="M900" t="str">
        <f>Koond_kulud!M938</f>
        <v>55</v>
      </c>
      <c r="N900" t="str">
        <f>Koond_kulud!N938</f>
        <v>Muud tegevuskulud</v>
      </c>
      <c r="O900" t="str">
        <f>Koond_kulud!O938</f>
        <v>Majandamiskulud</v>
      </c>
      <c r="P900" t="str">
        <f>Koond_kulud!P938</f>
        <v>Põhitegevuse kulu</v>
      </c>
      <c r="Q900">
        <f>Koond_kulud!Q938</f>
        <v>0</v>
      </c>
    </row>
    <row r="901" spans="1:17" hidden="1" x14ac:dyDescent="0.25">
      <c r="A901" t="str">
        <f>Koond_kulud!A939</f>
        <v>09</v>
      </c>
      <c r="B901" t="str">
        <f>Koond_kulud!B939</f>
        <v xml:space="preserve">0921204         </v>
      </c>
      <c r="C901" t="str">
        <f>Koond_kulud!C939</f>
        <v xml:space="preserve"> Tudu kool</v>
      </c>
      <c r="D901" t="str">
        <f>Koond_kulud!D939</f>
        <v>Põhihariduse otsekulud</v>
      </c>
      <c r="E901" t="str">
        <f>Koond_kulud!E939</f>
        <v>Haridus</v>
      </c>
      <c r="F901" t="str">
        <f>Koond_kulud!F939</f>
        <v>Tudu Põhikool</v>
      </c>
      <c r="G901" t="str">
        <f>Koond_kulud!G939</f>
        <v>ekskursioonid, õppepäevad</v>
      </c>
      <c r="H901">
        <f>Koond_kulud!H939</f>
        <v>500</v>
      </c>
      <c r="I901">
        <f>Koond_kulud!I939</f>
        <v>0</v>
      </c>
      <c r="J901">
        <f>Koond_kulud!J939</f>
        <v>5525</v>
      </c>
      <c r="K901" t="str">
        <f>Koond_kulud!K939</f>
        <v>Kommunikatsiooni-, kultuuri- ja vaba aja sisustamise kulud</v>
      </c>
      <c r="L901">
        <f>Koond_kulud!L939</f>
        <v>55</v>
      </c>
      <c r="M901" t="str">
        <f>Koond_kulud!M939</f>
        <v>55</v>
      </c>
      <c r="N901" t="str">
        <f>Koond_kulud!N939</f>
        <v>Muud tegevuskulud</v>
      </c>
      <c r="O901" t="str">
        <f>Koond_kulud!O939</f>
        <v>Majandamiskulud</v>
      </c>
      <c r="P901" t="str">
        <f>Koond_kulud!P939</f>
        <v>Põhitegevuse kulu</v>
      </c>
      <c r="Q901">
        <f>Koond_kulud!Q939</f>
        <v>0</v>
      </c>
    </row>
    <row r="902" spans="1:17" hidden="1" x14ac:dyDescent="0.25">
      <c r="A902" t="str">
        <f>Koond_kulud!A940</f>
        <v>09</v>
      </c>
      <c r="B902" t="str">
        <f>Koond_kulud!B940</f>
        <v xml:space="preserve">0921204         </v>
      </c>
      <c r="C902" t="str">
        <f>Koond_kulud!C940</f>
        <v xml:space="preserve"> Tudu kool</v>
      </c>
      <c r="D902" t="str">
        <f>Koond_kulud!D940</f>
        <v>Põhihariduse otsekulud</v>
      </c>
      <c r="E902" t="str">
        <f>Koond_kulud!E940</f>
        <v>Haridus</v>
      </c>
      <c r="F902" t="str">
        <f>Koond_kulud!F940</f>
        <v>Tudu Põhikool</v>
      </c>
      <c r="G902" t="str">
        <f>Koond_kulud!G940</f>
        <v>õa lõpetamine</v>
      </c>
      <c r="H902">
        <f>Koond_kulud!H940</f>
        <v>30</v>
      </c>
      <c r="I902">
        <f>Koond_kulud!I940</f>
        <v>0</v>
      </c>
      <c r="J902">
        <f>Koond_kulud!J940</f>
        <v>5525</v>
      </c>
      <c r="K902" t="str">
        <f>Koond_kulud!K940</f>
        <v>Kommunikatsiooni-, kultuuri- ja vaba aja sisustamise kulud</v>
      </c>
      <c r="L902">
        <f>Koond_kulud!L940</f>
        <v>55</v>
      </c>
      <c r="M902" t="str">
        <f>Koond_kulud!M940</f>
        <v>55</v>
      </c>
      <c r="N902" t="str">
        <f>Koond_kulud!N940</f>
        <v>Muud tegevuskulud</v>
      </c>
      <c r="O902" t="str">
        <f>Koond_kulud!O940</f>
        <v>Majandamiskulud</v>
      </c>
      <c r="P902" t="str">
        <f>Koond_kulud!P940</f>
        <v>Põhitegevuse kulu</v>
      </c>
      <c r="Q902">
        <f>Koond_kulud!Q940</f>
        <v>0</v>
      </c>
    </row>
    <row r="903" spans="1:17" hidden="1" x14ac:dyDescent="0.25">
      <c r="A903" t="str">
        <f>Koond_kulud!A941</f>
        <v>09</v>
      </c>
      <c r="B903" t="str">
        <f>Koond_kulud!B941</f>
        <v xml:space="preserve">0921204         </v>
      </c>
      <c r="C903" t="str">
        <f>Koond_kulud!C941</f>
        <v xml:space="preserve"> Tudu kool</v>
      </c>
      <c r="D903" t="str">
        <f>Koond_kulud!D941</f>
        <v>Põhihariduse otsekulud</v>
      </c>
      <c r="E903" t="str">
        <f>Koond_kulud!E941</f>
        <v>Haridus</v>
      </c>
      <c r="F903" t="str">
        <f>Koond_kulud!F941</f>
        <v>Tudu Põhikool</v>
      </c>
      <c r="G903" t="str">
        <f>Koond_kulud!G941</f>
        <v xml:space="preserve">õpetajate päev </v>
      </c>
      <c r="H903">
        <f>Koond_kulud!H941</f>
        <v>20</v>
      </c>
      <c r="I903">
        <f>Koond_kulud!I941</f>
        <v>0</v>
      </c>
      <c r="J903">
        <f>Koond_kulud!J941</f>
        <v>5525</v>
      </c>
      <c r="K903" t="str">
        <f>Koond_kulud!K941</f>
        <v>Kommunikatsiooni-, kultuuri- ja vaba aja sisustamise kulud</v>
      </c>
      <c r="L903">
        <f>Koond_kulud!L941</f>
        <v>55</v>
      </c>
      <c r="M903" t="str">
        <f>Koond_kulud!M941</f>
        <v>55</v>
      </c>
      <c r="N903" t="str">
        <f>Koond_kulud!N941</f>
        <v>Muud tegevuskulud</v>
      </c>
      <c r="O903" t="str">
        <f>Koond_kulud!O941</f>
        <v>Majandamiskulud</v>
      </c>
      <c r="P903" t="str">
        <f>Koond_kulud!P941</f>
        <v>Põhitegevuse kulu</v>
      </c>
      <c r="Q903">
        <f>Koond_kulud!Q941</f>
        <v>0</v>
      </c>
    </row>
    <row r="904" spans="1:17" hidden="1" x14ac:dyDescent="0.25">
      <c r="A904" t="str">
        <f>Koond_kulud!A942</f>
        <v>09</v>
      </c>
      <c r="B904" t="str">
        <f>Koond_kulud!B942</f>
        <v xml:space="preserve">0921204         </v>
      </c>
      <c r="C904" t="str">
        <f>Koond_kulud!C942</f>
        <v xml:space="preserve"> Tudu kool</v>
      </c>
      <c r="D904" t="str">
        <f>Koond_kulud!D942</f>
        <v>Põhihariduse otsekulud</v>
      </c>
      <c r="E904" t="str">
        <f>Koond_kulud!E942</f>
        <v>Haridus</v>
      </c>
      <c r="F904" t="str">
        <f>Koond_kulud!F942</f>
        <v>Tudu Põhikool</v>
      </c>
      <c r="G904" t="str">
        <f>Koond_kulud!G942</f>
        <v>Tudu hariduselu 170 tähist</v>
      </c>
      <c r="H904">
        <f>Koond_kulud!H942</f>
        <v>200</v>
      </c>
      <c r="I904">
        <f>Koond_kulud!I942</f>
        <v>0</v>
      </c>
      <c r="J904">
        <f>Koond_kulud!J942</f>
        <v>5525</v>
      </c>
      <c r="K904" t="str">
        <f>Koond_kulud!K942</f>
        <v>Kommunikatsiooni-, kultuuri- ja vaba aja sisustamise kulud</v>
      </c>
      <c r="L904">
        <f>Koond_kulud!L942</f>
        <v>55</v>
      </c>
      <c r="M904" t="str">
        <f>Koond_kulud!M942</f>
        <v>55</v>
      </c>
      <c r="N904" t="str">
        <f>Koond_kulud!N942</f>
        <v>Muud tegevuskulud</v>
      </c>
      <c r="O904" t="str">
        <f>Koond_kulud!O942</f>
        <v>Majandamiskulud</v>
      </c>
      <c r="P904" t="str">
        <f>Koond_kulud!P942</f>
        <v>Põhitegevuse kulu</v>
      </c>
      <c r="Q904">
        <f>Koond_kulud!Q942</f>
        <v>0</v>
      </c>
    </row>
    <row r="905" spans="1:17" hidden="1" x14ac:dyDescent="0.25">
      <c r="A905" t="str">
        <f>Koond_kulud!A943</f>
        <v>09</v>
      </c>
      <c r="B905" t="str">
        <f>Koond_kulud!B943</f>
        <v xml:space="preserve">0921204         </v>
      </c>
      <c r="C905" t="str">
        <f>Koond_kulud!C943</f>
        <v xml:space="preserve"> Tudu kool</v>
      </c>
      <c r="D905" t="str">
        <f>Koond_kulud!D943</f>
        <v>Põhihariduse otsekulud</v>
      </c>
      <c r="E905" t="str">
        <f>Koond_kulud!E943</f>
        <v>Haridus</v>
      </c>
      <c r="F905" t="str">
        <f>Koond_kulud!F943</f>
        <v>Tudu Põhikool</v>
      </c>
      <c r="G905" t="str">
        <f>Koond_kulud!G943</f>
        <v>küte</v>
      </c>
      <c r="H905">
        <f>Koond_kulud!H943</f>
        <v>6500</v>
      </c>
      <c r="I905">
        <f>Koond_kulud!I943</f>
        <v>0</v>
      </c>
      <c r="J905">
        <f>Koond_kulud!J943</f>
        <v>5511</v>
      </c>
      <c r="K905" t="str">
        <f>Koond_kulud!K943</f>
        <v>Kinnistute, hoonete ja ruumide majandamiskulud</v>
      </c>
      <c r="L905">
        <f>Koond_kulud!L943</f>
        <v>55</v>
      </c>
      <c r="M905" t="str">
        <f>Koond_kulud!M943</f>
        <v>55</v>
      </c>
      <c r="N905" t="str">
        <f>Koond_kulud!N943</f>
        <v>Muud tegevuskulud</v>
      </c>
      <c r="O905" t="str">
        <f>Koond_kulud!O943</f>
        <v>Majandamiskulud</v>
      </c>
      <c r="P905" t="str">
        <f>Koond_kulud!P943</f>
        <v>Põhitegevuse kulu</v>
      </c>
      <c r="Q905">
        <f>Koond_kulud!Q943</f>
        <v>0</v>
      </c>
    </row>
    <row r="906" spans="1:17" hidden="1" x14ac:dyDescent="0.25">
      <c r="A906" t="str">
        <f>Koond_kulud!A944</f>
        <v>09</v>
      </c>
      <c r="B906" t="str">
        <f>Koond_kulud!B944</f>
        <v xml:space="preserve">0921204         </v>
      </c>
      <c r="C906" t="str">
        <f>Koond_kulud!C944</f>
        <v xml:space="preserve"> Tudu kool</v>
      </c>
      <c r="D906" t="str">
        <f>Koond_kulud!D944</f>
        <v>Põhihariduse otsekulud</v>
      </c>
      <c r="E906" t="str">
        <f>Koond_kulud!E944</f>
        <v>Haridus</v>
      </c>
      <c r="F906" t="str">
        <f>Koond_kulud!F944</f>
        <v>Tudu Põhikool</v>
      </c>
      <c r="G906" t="str">
        <f>Koond_kulud!G944</f>
        <v>elekter</v>
      </c>
      <c r="H906">
        <f>Koond_kulud!H944</f>
        <v>2700</v>
      </c>
      <c r="I906">
        <f>Koond_kulud!I944</f>
        <v>0</v>
      </c>
      <c r="J906">
        <f>Koond_kulud!J944</f>
        <v>5511</v>
      </c>
      <c r="K906" t="str">
        <f>Koond_kulud!K944</f>
        <v>Kinnistute, hoonete ja ruumide majandamiskulud</v>
      </c>
      <c r="L906">
        <f>Koond_kulud!L944</f>
        <v>55</v>
      </c>
      <c r="M906" t="str">
        <f>Koond_kulud!M944</f>
        <v>55</v>
      </c>
      <c r="N906" t="str">
        <f>Koond_kulud!N944</f>
        <v>Muud tegevuskulud</v>
      </c>
      <c r="O906" t="str">
        <f>Koond_kulud!O944</f>
        <v>Majandamiskulud</v>
      </c>
      <c r="P906" t="str">
        <f>Koond_kulud!P944</f>
        <v>Põhitegevuse kulu</v>
      </c>
      <c r="Q906">
        <f>Koond_kulud!Q944</f>
        <v>0</v>
      </c>
    </row>
    <row r="907" spans="1:17" hidden="1" x14ac:dyDescent="0.25">
      <c r="A907" t="str">
        <f>Koond_kulud!A945</f>
        <v>09</v>
      </c>
      <c r="B907" t="str">
        <f>Koond_kulud!B945</f>
        <v xml:space="preserve">0921204         </v>
      </c>
      <c r="C907" t="str">
        <f>Koond_kulud!C945</f>
        <v xml:space="preserve"> Tudu kool</v>
      </c>
      <c r="D907" t="str">
        <f>Koond_kulud!D945</f>
        <v>Põhihariduse otsekulud</v>
      </c>
      <c r="E907" t="str">
        <f>Koond_kulud!E945</f>
        <v>Haridus</v>
      </c>
      <c r="F907" t="str">
        <f>Koond_kulud!F945</f>
        <v>Tudu Põhikool</v>
      </c>
      <c r="G907" t="str">
        <f>Koond_kulud!G945</f>
        <v>korrashoiuvahendid</v>
      </c>
      <c r="H907">
        <f>Koond_kulud!H945</f>
        <v>300</v>
      </c>
      <c r="I907">
        <f>Koond_kulud!I945</f>
        <v>0</v>
      </c>
      <c r="J907">
        <f>Koond_kulud!J945</f>
        <v>5511</v>
      </c>
      <c r="K907" t="str">
        <f>Koond_kulud!K945</f>
        <v>Kinnistute, hoonete ja ruumide majandamiskulud</v>
      </c>
      <c r="L907">
        <f>Koond_kulud!L945</f>
        <v>55</v>
      </c>
      <c r="M907" t="str">
        <f>Koond_kulud!M945</f>
        <v>55</v>
      </c>
      <c r="N907" t="str">
        <f>Koond_kulud!N945</f>
        <v>Muud tegevuskulud</v>
      </c>
      <c r="O907" t="str">
        <f>Koond_kulud!O945</f>
        <v>Majandamiskulud</v>
      </c>
      <c r="P907" t="str">
        <f>Koond_kulud!P945</f>
        <v>Põhitegevuse kulu</v>
      </c>
      <c r="Q907">
        <f>Koond_kulud!Q945</f>
        <v>0</v>
      </c>
    </row>
    <row r="908" spans="1:17" hidden="1" x14ac:dyDescent="0.25">
      <c r="A908" t="str">
        <f>Koond_kulud!A946</f>
        <v>09</v>
      </c>
      <c r="B908" t="str">
        <f>Koond_kulud!B946</f>
        <v xml:space="preserve">0921204         </v>
      </c>
      <c r="C908" t="str">
        <f>Koond_kulud!C946</f>
        <v xml:space="preserve"> Tudu kool</v>
      </c>
      <c r="D908" t="str">
        <f>Koond_kulud!D946</f>
        <v>Põhihariduse otsekulud</v>
      </c>
      <c r="E908" t="str">
        <f>Koond_kulud!E946</f>
        <v>Haridus</v>
      </c>
      <c r="F908" t="str">
        <f>Koond_kulud!F946</f>
        <v>Tudu Põhikool</v>
      </c>
      <c r="G908" t="str">
        <f>Koond_kulud!G946</f>
        <v>aknapesuteenus</v>
      </c>
      <c r="H908">
        <f>Koond_kulud!H946</f>
        <v>500</v>
      </c>
      <c r="I908">
        <f>Koond_kulud!I946</f>
        <v>0</v>
      </c>
      <c r="J908">
        <f>Koond_kulud!J946</f>
        <v>5511</v>
      </c>
      <c r="K908" t="str">
        <f>Koond_kulud!K946</f>
        <v>Kinnistute, hoonete ja ruumide majandamiskulud</v>
      </c>
      <c r="L908">
        <f>Koond_kulud!L946</f>
        <v>55</v>
      </c>
      <c r="M908" t="str">
        <f>Koond_kulud!M946</f>
        <v>55</v>
      </c>
      <c r="N908" t="str">
        <f>Koond_kulud!N946</f>
        <v>Muud tegevuskulud</v>
      </c>
      <c r="O908" t="str">
        <f>Koond_kulud!O946</f>
        <v>Majandamiskulud</v>
      </c>
      <c r="P908" t="str">
        <f>Koond_kulud!P946</f>
        <v>Põhitegevuse kulu</v>
      </c>
      <c r="Q908">
        <f>Koond_kulud!Q946</f>
        <v>0</v>
      </c>
    </row>
    <row r="909" spans="1:17" hidden="1" x14ac:dyDescent="0.25">
      <c r="A909" t="str">
        <f>Koond_kulud!A947</f>
        <v>09</v>
      </c>
      <c r="B909" t="str">
        <f>Koond_kulud!B947</f>
        <v xml:space="preserve">0921204         </v>
      </c>
      <c r="C909" t="str">
        <f>Koond_kulud!C947</f>
        <v xml:space="preserve"> Tudu kool</v>
      </c>
      <c r="D909" t="str">
        <f>Koond_kulud!D947</f>
        <v>Põhihariduse otsekulud</v>
      </c>
      <c r="E909" t="str">
        <f>Koond_kulud!E947</f>
        <v>Haridus</v>
      </c>
      <c r="F909" t="str">
        <f>Koond_kulud!F947</f>
        <v>Tudu Põhikool</v>
      </c>
      <c r="G909" t="str">
        <f>Koond_kulud!G947</f>
        <v>prügi</v>
      </c>
      <c r="H909">
        <f>Koond_kulud!H947</f>
        <v>400</v>
      </c>
      <c r="I909">
        <f>Koond_kulud!I947</f>
        <v>0</v>
      </c>
      <c r="J909">
        <f>Koond_kulud!J947</f>
        <v>5511</v>
      </c>
      <c r="K909" t="str">
        <f>Koond_kulud!K947</f>
        <v>Kinnistute, hoonete ja ruumide majandamiskulud</v>
      </c>
      <c r="L909">
        <f>Koond_kulud!L947</f>
        <v>55</v>
      </c>
      <c r="M909" t="str">
        <f>Koond_kulud!M947</f>
        <v>55</v>
      </c>
      <c r="N909" t="str">
        <f>Koond_kulud!N947</f>
        <v>Muud tegevuskulud</v>
      </c>
      <c r="O909" t="str">
        <f>Koond_kulud!O947</f>
        <v>Majandamiskulud</v>
      </c>
      <c r="P909" t="str">
        <f>Koond_kulud!P947</f>
        <v>Põhitegevuse kulu</v>
      </c>
      <c r="Q909">
        <f>Koond_kulud!Q947</f>
        <v>0</v>
      </c>
    </row>
    <row r="910" spans="1:17" hidden="1" x14ac:dyDescent="0.25">
      <c r="A910" t="str">
        <f>Koond_kulud!A948</f>
        <v>09</v>
      </c>
      <c r="B910" t="str">
        <f>Koond_kulud!B948</f>
        <v xml:space="preserve">0921204         </v>
      </c>
      <c r="C910" t="str">
        <f>Koond_kulud!C948</f>
        <v xml:space="preserve"> Tudu kool</v>
      </c>
      <c r="D910" t="str">
        <f>Koond_kulud!D948</f>
        <v>Põhihariduse otsekulud</v>
      </c>
      <c r="E910" t="str">
        <f>Koond_kulud!E948</f>
        <v>Haridus</v>
      </c>
      <c r="F910" t="str">
        <f>Koond_kulud!F948</f>
        <v>Tudu Põhikool</v>
      </c>
      <c r="G910" t="str">
        <f>Koond_kulud!G948</f>
        <v>elektritööd</v>
      </c>
      <c r="H910">
        <f>Koond_kulud!H948</f>
        <v>600</v>
      </c>
      <c r="I910">
        <f>Koond_kulud!I948</f>
        <v>0</v>
      </c>
      <c r="J910">
        <f>Koond_kulud!J948</f>
        <v>5511</v>
      </c>
      <c r="K910" t="str">
        <f>Koond_kulud!K948</f>
        <v>Kinnistute, hoonete ja ruumide majandamiskulud</v>
      </c>
      <c r="L910">
        <f>Koond_kulud!L948</f>
        <v>55</v>
      </c>
      <c r="M910" t="str">
        <f>Koond_kulud!M948</f>
        <v>55</v>
      </c>
      <c r="N910" t="str">
        <f>Koond_kulud!N948</f>
        <v>Muud tegevuskulud</v>
      </c>
      <c r="O910" t="str">
        <f>Koond_kulud!O948</f>
        <v>Majandamiskulud</v>
      </c>
      <c r="P910" t="str">
        <f>Koond_kulud!P948</f>
        <v>Põhitegevuse kulu</v>
      </c>
      <c r="Q910">
        <f>Koond_kulud!Q948</f>
        <v>0</v>
      </c>
    </row>
    <row r="911" spans="1:17" hidden="1" x14ac:dyDescent="0.25">
      <c r="A911" t="str">
        <f>Koond_kulud!A949</f>
        <v>09</v>
      </c>
      <c r="B911" t="str">
        <f>Koond_kulud!B949</f>
        <v xml:space="preserve">0921204         </v>
      </c>
      <c r="C911" t="str">
        <f>Koond_kulud!C949</f>
        <v xml:space="preserve"> Tudu kool</v>
      </c>
      <c r="D911" t="str">
        <f>Koond_kulud!D949</f>
        <v>Põhihariduse otsekulud</v>
      </c>
      <c r="E911" t="str">
        <f>Koond_kulud!E949</f>
        <v>Haridus</v>
      </c>
      <c r="F911" t="str">
        <f>Koond_kulud!F949</f>
        <v>Tudu Põhikool</v>
      </c>
      <c r="G911" t="str">
        <f>Koond_kulud!G949</f>
        <v>korstnapühkimine</v>
      </c>
      <c r="H911">
        <f>Koond_kulud!H949</f>
        <v>200</v>
      </c>
      <c r="I911">
        <f>Koond_kulud!I949</f>
        <v>0</v>
      </c>
      <c r="J911">
        <f>Koond_kulud!J949</f>
        <v>5511</v>
      </c>
      <c r="K911" t="str">
        <f>Koond_kulud!K949</f>
        <v>Kinnistute, hoonete ja ruumide majandamiskulud</v>
      </c>
      <c r="L911">
        <f>Koond_kulud!L949</f>
        <v>55</v>
      </c>
      <c r="M911" t="str">
        <f>Koond_kulud!M949</f>
        <v>55</v>
      </c>
      <c r="N911" t="str">
        <f>Koond_kulud!N949</f>
        <v>Muud tegevuskulud</v>
      </c>
      <c r="O911" t="str">
        <f>Koond_kulud!O949</f>
        <v>Majandamiskulud</v>
      </c>
      <c r="P911" t="str">
        <f>Koond_kulud!P949</f>
        <v>Põhitegevuse kulu</v>
      </c>
      <c r="Q911">
        <f>Koond_kulud!Q949</f>
        <v>0</v>
      </c>
    </row>
    <row r="912" spans="1:17" hidden="1" x14ac:dyDescent="0.25">
      <c r="A912" t="str">
        <f>Koond_kulud!A950</f>
        <v>09</v>
      </c>
      <c r="B912" t="str">
        <f>Koond_kulud!B950</f>
        <v xml:space="preserve">0921204         </v>
      </c>
      <c r="C912" t="str">
        <f>Koond_kulud!C950</f>
        <v xml:space="preserve"> Tudu kool</v>
      </c>
      <c r="D912" t="str">
        <f>Koond_kulud!D950</f>
        <v>Põhihariduse otsekulud</v>
      </c>
      <c r="E912" t="str">
        <f>Koond_kulud!E950</f>
        <v>Haridus</v>
      </c>
      <c r="F912" t="str">
        <f>Koond_kulud!F950</f>
        <v>Tudu Põhikool</v>
      </c>
      <c r="G912" t="str">
        <f>Koond_kulud!G950</f>
        <v>vee analüüsid</v>
      </c>
      <c r="H912">
        <f>Koond_kulud!H950</f>
        <v>80</v>
      </c>
      <c r="I912">
        <f>Koond_kulud!I950</f>
        <v>0</v>
      </c>
      <c r="J912">
        <f>Koond_kulud!J950</f>
        <v>5511</v>
      </c>
      <c r="K912" t="str">
        <f>Koond_kulud!K950</f>
        <v>Kinnistute, hoonete ja ruumide majandamiskulud</v>
      </c>
      <c r="L912">
        <f>Koond_kulud!L950</f>
        <v>55</v>
      </c>
      <c r="M912" t="str">
        <f>Koond_kulud!M950</f>
        <v>55</v>
      </c>
      <c r="N912" t="str">
        <f>Koond_kulud!N950</f>
        <v>Muud tegevuskulud</v>
      </c>
      <c r="O912" t="str">
        <f>Koond_kulud!O950</f>
        <v>Majandamiskulud</v>
      </c>
      <c r="P912" t="str">
        <f>Koond_kulud!P950</f>
        <v>Põhitegevuse kulu</v>
      </c>
      <c r="Q912">
        <f>Koond_kulud!Q950</f>
        <v>0</v>
      </c>
    </row>
    <row r="913" spans="1:17" hidden="1" x14ac:dyDescent="0.25">
      <c r="A913" t="str">
        <f>Koond_kulud!A951</f>
        <v>09</v>
      </c>
      <c r="B913" t="str">
        <f>Koond_kulud!B951</f>
        <v xml:space="preserve">0921204         </v>
      </c>
      <c r="C913" t="str">
        <f>Koond_kulud!C951</f>
        <v xml:space="preserve"> Tudu kool</v>
      </c>
      <c r="D913" t="str">
        <f>Koond_kulud!D951</f>
        <v>Põhihariduse otsekulud</v>
      </c>
      <c r="E913" t="str">
        <f>Koond_kulud!E951</f>
        <v>Haridus</v>
      </c>
      <c r="F913" t="str">
        <f>Koond_kulud!F951</f>
        <v>Tudu Põhikool</v>
      </c>
      <c r="G913" t="str">
        <f>Koond_kulud!G951</f>
        <v>vesi, kanalisatsioon</v>
      </c>
      <c r="H913">
        <f>Koond_kulud!H951</f>
        <v>1100</v>
      </c>
      <c r="I913">
        <f>Koond_kulud!I951</f>
        <v>0</v>
      </c>
      <c r="J913">
        <f>Koond_kulud!J951</f>
        <v>5511</v>
      </c>
      <c r="K913" t="str">
        <f>Koond_kulud!K951</f>
        <v>Kinnistute, hoonete ja ruumide majandamiskulud</v>
      </c>
      <c r="L913">
        <f>Koond_kulud!L951</f>
        <v>55</v>
      </c>
      <c r="M913" t="str">
        <f>Koond_kulud!M951</f>
        <v>55</v>
      </c>
      <c r="N913" t="str">
        <f>Koond_kulud!N951</f>
        <v>Muud tegevuskulud</v>
      </c>
      <c r="O913" t="str">
        <f>Koond_kulud!O951</f>
        <v>Majandamiskulud</v>
      </c>
      <c r="P913" t="str">
        <f>Koond_kulud!P951</f>
        <v>Põhitegevuse kulu</v>
      </c>
      <c r="Q913">
        <f>Koond_kulud!Q951</f>
        <v>0</v>
      </c>
    </row>
    <row r="914" spans="1:17" hidden="1" x14ac:dyDescent="0.25">
      <c r="A914" t="str">
        <f>Koond_kulud!A952</f>
        <v>09</v>
      </c>
      <c r="B914" t="str">
        <f>Koond_kulud!B952</f>
        <v xml:space="preserve">0921204         </v>
      </c>
      <c r="C914" t="str">
        <f>Koond_kulud!C952</f>
        <v xml:space="preserve"> Tudu kool</v>
      </c>
      <c r="D914" t="str">
        <f>Koond_kulud!D952</f>
        <v>Põhihariduse otsekulud</v>
      </c>
      <c r="E914" t="str">
        <f>Koond_kulud!E952</f>
        <v>Haridus</v>
      </c>
      <c r="F914" t="str">
        <f>Koond_kulud!F952</f>
        <v>Tudu Põhikool</v>
      </c>
      <c r="G914" t="str">
        <f>Koond_kulud!G952</f>
        <v>jooksev remont</v>
      </c>
      <c r="H914">
        <f>Koond_kulud!H952</f>
        <v>600</v>
      </c>
      <c r="I914">
        <f>Koond_kulud!I952</f>
        <v>0</v>
      </c>
      <c r="J914">
        <f>Koond_kulud!J952</f>
        <v>5511</v>
      </c>
      <c r="K914" t="str">
        <f>Koond_kulud!K952</f>
        <v>Kinnistute, hoonete ja ruumide majandamiskulud</v>
      </c>
      <c r="L914">
        <f>Koond_kulud!L952</f>
        <v>55</v>
      </c>
      <c r="M914" t="str">
        <f>Koond_kulud!M952</f>
        <v>55</v>
      </c>
      <c r="N914" t="str">
        <f>Koond_kulud!N952</f>
        <v>Muud tegevuskulud</v>
      </c>
      <c r="O914" t="str">
        <f>Koond_kulud!O952</f>
        <v>Majandamiskulud</v>
      </c>
      <c r="P914" t="str">
        <f>Koond_kulud!P952</f>
        <v>Põhitegevuse kulu</v>
      </c>
      <c r="Q914">
        <f>Koond_kulud!Q952</f>
        <v>0</v>
      </c>
    </row>
    <row r="915" spans="1:17" hidden="1" x14ac:dyDescent="0.25">
      <c r="A915" t="str">
        <f>Koond_kulud!A953</f>
        <v>09</v>
      </c>
      <c r="B915" t="str">
        <f>Koond_kulud!B953</f>
        <v xml:space="preserve">0921204         </v>
      </c>
      <c r="C915" t="str">
        <f>Koond_kulud!C953</f>
        <v xml:space="preserve"> Tudu kool</v>
      </c>
      <c r="D915" t="str">
        <f>Koond_kulud!D953</f>
        <v>Põhihariduse otsekulud</v>
      </c>
      <c r="E915" t="str">
        <f>Koond_kulud!E953</f>
        <v>Haridus</v>
      </c>
      <c r="F915" t="str">
        <f>Koond_kulud!F953</f>
        <v>Tudu Põhikool</v>
      </c>
      <c r="G915" t="str">
        <f>Koond_kulud!G953</f>
        <v>riigi sümboolika</v>
      </c>
      <c r="H915">
        <f>Koond_kulud!H953</f>
        <v>150</v>
      </c>
      <c r="I915">
        <f>Koond_kulud!I953</f>
        <v>0</v>
      </c>
      <c r="J915">
        <f>Koond_kulud!J953</f>
        <v>5511</v>
      </c>
      <c r="K915" t="str">
        <f>Koond_kulud!K953</f>
        <v>Kinnistute, hoonete ja ruumide majandamiskulud</v>
      </c>
      <c r="L915">
        <f>Koond_kulud!L953</f>
        <v>55</v>
      </c>
      <c r="M915" t="str">
        <f>Koond_kulud!M953</f>
        <v>55</v>
      </c>
      <c r="N915" t="str">
        <f>Koond_kulud!N953</f>
        <v>Muud tegevuskulud</v>
      </c>
      <c r="O915" t="str">
        <f>Koond_kulud!O953</f>
        <v>Majandamiskulud</v>
      </c>
      <c r="P915" t="str">
        <f>Koond_kulud!P953</f>
        <v>Põhitegevuse kulu</v>
      </c>
      <c r="Q915">
        <f>Koond_kulud!Q953</f>
        <v>0</v>
      </c>
    </row>
    <row r="916" spans="1:17" hidden="1" x14ac:dyDescent="0.25">
      <c r="A916" t="str">
        <f>Koond_kulud!A954</f>
        <v>09</v>
      </c>
      <c r="B916" t="str">
        <f>Koond_kulud!B954</f>
        <v xml:space="preserve">0921204         </v>
      </c>
      <c r="C916" t="str">
        <f>Koond_kulud!C954</f>
        <v xml:space="preserve"> Tudu kool</v>
      </c>
      <c r="D916" t="str">
        <f>Koond_kulud!D954</f>
        <v>Põhihariduse otsekulud</v>
      </c>
      <c r="E916" t="str">
        <f>Koond_kulud!E954</f>
        <v>Haridus</v>
      </c>
      <c r="F916" t="str">
        <f>Koond_kulud!F954</f>
        <v>Tudu Põhikool</v>
      </c>
      <c r="G916" t="str">
        <f>Koond_kulud!G954</f>
        <v>kooliaed(seemned, istikud)</v>
      </c>
      <c r="H916">
        <f>Koond_kulud!H954</f>
        <v>150</v>
      </c>
      <c r="I916">
        <f>Koond_kulud!I954</f>
        <v>0</v>
      </c>
      <c r="J916">
        <f>Koond_kulud!J954</f>
        <v>5511</v>
      </c>
      <c r="K916" t="str">
        <f>Koond_kulud!K954</f>
        <v>Kinnistute, hoonete ja ruumide majandamiskulud</v>
      </c>
      <c r="L916">
        <f>Koond_kulud!L954</f>
        <v>55</v>
      </c>
      <c r="M916" t="str">
        <f>Koond_kulud!M954</f>
        <v>55</v>
      </c>
      <c r="N916" t="str">
        <f>Koond_kulud!N954</f>
        <v>Muud tegevuskulud</v>
      </c>
      <c r="O916" t="str">
        <f>Koond_kulud!O954</f>
        <v>Majandamiskulud</v>
      </c>
      <c r="P916" t="str">
        <f>Koond_kulud!P954</f>
        <v>Põhitegevuse kulu</v>
      </c>
      <c r="Q916">
        <f>Koond_kulud!Q954</f>
        <v>0</v>
      </c>
    </row>
    <row r="917" spans="1:17" hidden="1" x14ac:dyDescent="0.25">
      <c r="A917" t="str">
        <f>Koond_kulud!A955</f>
        <v>09</v>
      </c>
      <c r="B917" t="str">
        <f>Koond_kulud!B955</f>
        <v xml:space="preserve">0921204         </v>
      </c>
      <c r="C917" t="str">
        <f>Koond_kulud!C955</f>
        <v xml:space="preserve"> Tudu kool</v>
      </c>
      <c r="D917" t="str">
        <f>Koond_kulud!D955</f>
        <v>Põhihariduse otsekulud</v>
      </c>
      <c r="E917" t="str">
        <f>Koond_kulud!E955</f>
        <v>Haridus</v>
      </c>
      <c r="F917" t="str">
        <f>Koond_kulud!F955</f>
        <v>Tudu Põhikool</v>
      </c>
      <c r="G917" t="str">
        <f>Koond_kulud!G955</f>
        <v>avariivalgustus</v>
      </c>
      <c r="H917">
        <f>Koond_kulud!H955</f>
        <v>200</v>
      </c>
      <c r="I917">
        <f>Koond_kulud!I955</f>
        <v>0</v>
      </c>
      <c r="J917">
        <f>Koond_kulud!J955</f>
        <v>5511</v>
      </c>
      <c r="K917" t="str">
        <f>Koond_kulud!K955</f>
        <v>Kinnistute, hoonete ja ruumide majandamiskulud</v>
      </c>
      <c r="L917">
        <f>Koond_kulud!L955</f>
        <v>55</v>
      </c>
      <c r="M917" t="str">
        <f>Koond_kulud!M955</f>
        <v>55</v>
      </c>
      <c r="N917" t="str">
        <f>Koond_kulud!N955</f>
        <v>Muud tegevuskulud</v>
      </c>
      <c r="O917" t="str">
        <f>Koond_kulud!O955</f>
        <v>Majandamiskulud</v>
      </c>
      <c r="P917" t="str">
        <f>Koond_kulud!P955</f>
        <v>Põhitegevuse kulu</v>
      </c>
      <c r="Q917">
        <f>Koond_kulud!Q955</f>
        <v>0</v>
      </c>
    </row>
    <row r="918" spans="1:17" hidden="1" x14ac:dyDescent="0.25">
      <c r="A918" t="str">
        <f>Koond_kulud!A956</f>
        <v>09</v>
      </c>
      <c r="B918" t="str">
        <f>Koond_kulud!B956</f>
        <v xml:space="preserve">0921204         </v>
      </c>
      <c r="C918" t="str">
        <f>Koond_kulud!C956</f>
        <v xml:space="preserve"> Tudu kool</v>
      </c>
      <c r="D918" t="str">
        <f>Koond_kulud!D956</f>
        <v>Põhihariduse otsekulud</v>
      </c>
      <c r="E918" t="str">
        <f>Koond_kulud!E956</f>
        <v>Haridus</v>
      </c>
      <c r="F918" t="str">
        <f>Koond_kulud!F956</f>
        <v>Tudu Põhikool</v>
      </c>
      <c r="G918" t="str">
        <f>Koond_kulud!G956</f>
        <v>ATS hooldus</v>
      </c>
      <c r="H918">
        <f>Koond_kulud!H956</f>
        <v>500</v>
      </c>
      <c r="I918">
        <f>Koond_kulud!I956</f>
        <v>0</v>
      </c>
      <c r="J918">
        <f>Koond_kulud!J956</f>
        <v>5511</v>
      </c>
      <c r="K918" t="str">
        <f>Koond_kulud!K956</f>
        <v>Kinnistute, hoonete ja ruumide majandamiskulud</v>
      </c>
      <c r="L918">
        <f>Koond_kulud!L956</f>
        <v>55</v>
      </c>
      <c r="M918" t="str">
        <f>Koond_kulud!M956</f>
        <v>55</v>
      </c>
      <c r="N918" t="str">
        <f>Koond_kulud!N956</f>
        <v>Muud tegevuskulud</v>
      </c>
      <c r="O918" t="str">
        <f>Koond_kulud!O956</f>
        <v>Majandamiskulud</v>
      </c>
      <c r="P918" t="str">
        <f>Koond_kulud!P956</f>
        <v>Põhitegevuse kulu</v>
      </c>
      <c r="Q918">
        <f>Koond_kulud!Q956</f>
        <v>0</v>
      </c>
    </row>
    <row r="919" spans="1:17" hidden="1" x14ac:dyDescent="0.25">
      <c r="A919" t="str">
        <f>Koond_kulud!A957</f>
        <v>09</v>
      </c>
      <c r="B919" t="str">
        <f>Koond_kulud!B957</f>
        <v xml:space="preserve">0921204         </v>
      </c>
      <c r="C919" t="str">
        <f>Koond_kulud!C957</f>
        <v xml:space="preserve"> Tudu kool</v>
      </c>
      <c r="D919" t="str">
        <f>Koond_kulud!D957</f>
        <v>Põhihariduse otsekulud</v>
      </c>
      <c r="E919" t="str">
        <f>Koond_kulud!E957</f>
        <v>Haridus</v>
      </c>
      <c r="F919" t="str">
        <f>Koond_kulud!F957</f>
        <v>Tudu Põhikool</v>
      </c>
      <c r="G919" t="str">
        <f>Koond_kulud!G957</f>
        <v>arvutiprogrammid, hooldused</v>
      </c>
      <c r="H919">
        <f>Koond_kulud!H957</f>
        <v>650</v>
      </c>
      <c r="I919">
        <f>Koond_kulud!I957</f>
        <v>0</v>
      </c>
      <c r="J919">
        <f>Koond_kulud!J957</f>
        <v>5514</v>
      </c>
      <c r="K919" t="str">
        <f>Koond_kulud!K957</f>
        <v>Info- ja kommunikatsioonitehnoliigised kulud</v>
      </c>
      <c r="L919">
        <f>Koond_kulud!L957</f>
        <v>55</v>
      </c>
      <c r="M919" t="str">
        <f>Koond_kulud!M957</f>
        <v>55</v>
      </c>
      <c r="N919" t="str">
        <f>Koond_kulud!N957</f>
        <v>Muud tegevuskulud</v>
      </c>
      <c r="O919" t="str">
        <f>Koond_kulud!O957</f>
        <v>Majandamiskulud</v>
      </c>
      <c r="P919" t="str">
        <f>Koond_kulud!P957</f>
        <v>Põhitegevuse kulu</v>
      </c>
      <c r="Q919">
        <f>Koond_kulud!Q957</f>
        <v>0</v>
      </c>
    </row>
    <row r="920" spans="1:17" hidden="1" x14ac:dyDescent="0.25">
      <c r="A920" t="str">
        <f>Koond_kulud!A958</f>
        <v>09</v>
      </c>
      <c r="B920" t="str">
        <f>Koond_kulud!B958</f>
        <v xml:space="preserve">0921204         </v>
      </c>
      <c r="C920" t="str">
        <f>Koond_kulud!C958</f>
        <v xml:space="preserve"> Tudu kool</v>
      </c>
      <c r="D920" t="str">
        <f>Koond_kulud!D958</f>
        <v>Põhihariduse otsekulud</v>
      </c>
      <c r="E920" t="str">
        <f>Koond_kulud!E958</f>
        <v>Haridus</v>
      </c>
      <c r="F920" t="str">
        <f>Koond_kulud!F958</f>
        <v>Tudu Põhikool</v>
      </c>
      <c r="G920" t="str">
        <f>Koond_kulud!G958</f>
        <v>IT-tarvikud</v>
      </c>
      <c r="H920">
        <f>Koond_kulud!H958</f>
        <v>150</v>
      </c>
      <c r="I920">
        <f>Koond_kulud!I958</f>
        <v>0</v>
      </c>
      <c r="J920">
        <f>Koond_kulud!J958</f>
        <v>5514</v>
      </c>
      <c r="K920" t="str">
        <f>Koond_kulud!K958</f>
        <v>Info- ja kommunikatsioonitehnoliigised kulud</v>
      </c>
      <c r="L920">
        <f>Koond_kulud!L958</f>
        <v>55</v>
      </c>
      <c r="M920" t="str">
        <f>Koond_kulud!M958</f>
        <v>55</v>
      </c>
      <c r="N920" t="str">
        <f>Koond_kulud!N958</f>
        <v>Muud tegevuskulud</v>
      </c>
      <c r="O920" t="str">
        <f>Koond_kulud!O958</f>
        <v>Majandamiskulud</v>
      </c>
      <c r="P920" t="str">
        <f>Koond_kulud!P958</f>
        <v>Põhitegevuse kulu</v>
      </c>
      <c r="Q920">
        <f>Koond_kulud!Q958</f>
        <v>0</v>
      </c>
    </row>
    <row r="921" spans="1:17" hidden="1" x14ac:dyDescent="0.25">
      <c r="A921" t="str">
        <f>Koond_kulud!A959</f>
        <v>09</v>
      </c>
      <c r="B921" t="str">
        <f>Koond_kulud!B959</f>
        <v xml:space="preserve">0921204         </v>
      </c>
      <c r="C921" t="str">
        <f>Koond_kulud!C959</f>
        <v xml:space="preserve"> Tudu kool</v>
      </c>
      <c r="D921" t="str">
        <f>Koond_kulud!D959</f>
        <v>Põhihariduse otsekulud</v>
      </c>
      <c r="E921" t="str">
        <f>Koond_kulud!E959</f>
        <v>Haridus</v>
      </c>
      <c r="F921" t="str">
        <f>Koond_kulud!F959</f>
        <v>Tudu Põhikool</v>
      </c>
      <c r="G921" t="str">
        <f>Koond_kulud!G959</f>
        <v>koopiamasin</v>
      </c>
      <c r="H921">
        <f>Koond_kulud!H959</f>
        <v>100</v>
      </c>
      <c r="I921">
        <f>Koond_kulud!I959</f>
        <v>0</v>
      </c>
      <c r="J921">
        <f>Koond_kulud!J959</f>
        <v>5514</v>
      </c>
      <c r="K921" t="str">
        <f>Koond_kulud!K959</f>
        <v>Info- ja kommunikatsioonitehnoliigised kulud</v>
      </c>
      <c r="L921">
        <f>Koond_kulud!L959</f>
        <v>55</v>
      </c>
      <c r="M921" t="str">
        <f>Koond_kulud!M959</f>
        <v>55</v>
      </c>
      <c r="N921" t="str">
        <f>Koond_kulud!N959</f>
        <v>Muud tegevuskulud</v>
      </c>
      <c r="O921" t="str">
        <f>Koond_kulud!O959</f>
        <v>Majandamiskulud</v>
      </c>
      <c r="P921" t="str">
        <f>Koond_kulud!P959</f>
        <v>Põhitegevuse kulu</v>
      </c>
      <c r="Q921">
        <f>Koond_kulud!Q959</f>
        <v>0</v>
      </c>
    </row>
    <row r="922" spans="1:17" hidden="1" x14ac:dyDescent="0.25">
      <c r="A922" t="str">
        <f>Koond_kulud!A960</f>
        <v>09</v>
      </c>
      <c r="B922" t="str">
        <f>Koond_kulud!B960</f>
        <v xml:space="preserve">0921204         </v>
      </c>
      <c r="C922" t="str">
        <f>Koond_kulud!C960</f>
        <v xml:space="preserve"> Tudu kool</v>
      </c>
      <c r="D922" t="str">
        <f>Koond_kulud!D960</f>
        <v>Põhihariduse otsekulud</v>
      </c>
      <c r="E922" t="str">
        <f>Koond_kulud!E960</f>
        <v>Haridus</v>
      </c>
      <c r="F922" t="str">
        <f>Koond_kulud!F960</f>
        <v>Tudu Põhikool</v>
      </c>
      <c r="G922" t="str">
        <f>Koond_kulud!G960</f>
        <v>Pedagoogilised koolitused</v>
      </c>
      <c r="H922">
        <f>Koond_kulud!H960</f>
        <v>200</v>
      </c>
      <c r="I922" t="str">
        <f>Koond_kulud!I960</f>
        <v>Ped.</v>
      </c>
      <c r="J922">
        <f>Koond_kulud!J960</f>
        <v>5504</v>
      </c>
      <c r="K922" t="str">
        <f>Koond_kulud!K960</f>
        <v>Koolituskulud</v>
      </c>
      <c r="L922">
        <f>Koond_kulud!L960</f>
        <v>55</v>
      </c>
      <c r="M922" t="str">
        <f>Koond_kulud!M960</f>
        <v>55</v>
      </c>
      <c r="N922" t="str">
        <f>Koond_kulud!N960</f>
        <v>Muud tegevuskulud</v>
      </c>
      <c r="O922" t="str">
        <f>Koond_kulud!O960</f>
        <v>Majandamiskulud</v>
      </c>
      <c r="P922" t="str">
        <f>Koond_kulud!P960</f>
        <v>Põhitegevuse kulu</v>
      </c>
      <c r="Q922">
        <f>Koond_kulud!Q960</f>
        <v>0</v>
      </c>
    </row>
    <row r="923" spans="1:17" hidden="1" x14ac:dyDescent="0.25">
      <c r="A923" t="str">
        <f>Koond_kulud!A961</f>
        <v>09</v>
      </c>
      <c r="B923" t="str">
        <f>Koond_kulud!B961</f>
        <v xml:space="preserve">0921204         </v>
      </c>
      <c r="C923" t="str">
        <f>Koond_kulud!C961</f>
        <v xml:space="preserve"> Tudu kool</v>
      </c>
      <c r="D923" t="str">
        <f>Koond_kulud!D961</f>
        <v>Põhihariduse otsekulud</v>
      </c>
      <c r="E923" t="str">
        <f>Koond_kulud!E961</f>
        <v>Haridus</v>
      </c>
      <c r="F923" t="str">
        <f>Koond_kulud!F961</f>
        <v>Tudu Põhikool</v>
      </c>
      <c r="G923" t="str">
        <f>Koond_kulud!G961</f>
        <v>Pedagoogilised õppevahendid</v>
      </c>
      <c r="H923">
        <f>Koond_kulud!H961</f>
        <v>741</v>
      </c>
      <c r="I923" t="str">
        <f>Koond_kulud!I961</f>
        <v>Ped.</v>
      </c>
      <c r="J923">
        <f>Koond_kulud!J961</f>
        <v>5524</v>
      </c>
      <c r="K923" t="str">
        <f>Koond_kulud!K961</f>
        <v>Õppevahendid</v>
      </c>
      <c r="L923">
        <f>Koond_kulud!L961</f>
        <v>55</v>
      </c>
      <c r="M923" t="str">
        <f>Koond_kulud!M961</f>
        <v>55</v>
      </c>
      <c r="N923" t="str">
        <f>Koond_kulud!N961</f>
        <v>Muud tegevuskulud</v>
      </c>
      <c r="O923" t="str">
        <f>Koond_kulud!O961</f>
        <v>Majandamiskulud</v>
      </c>
      <c r="P923" t="str">
        <f>Koond_kulud!P961</f>
        <v>Põhitegevuse kulu</v>
      </c>
      <c r="Q923">
        <f>Koond_kulud!Q961</f>
        <v>0</v>
      </c>
    </row>
    <row r="924" spans="1:17" hidden="1" x14ac:dyDescent="0.25">
      <c r="A924" t="str">
        <f>Koond_kulud!A962</f>
        <v>09</v>
      </c>
      <c r="B924" t="str">
        <f>Koond_kulud!B962</f>
        <v xml:space="preserve">0921205         </v>
      </c>
      <c r="C924" t="str">
        <f>Koond_kulud!C962</f>
        <v xml:space="preserve"> Vinni-Pajusti Gümnaasium</v>
      </c>
      <c r="D924" t="str">
        <f>Koond_kulud!D962</f>
        <v>Põhihariduse otsekulud</v>
      </c>
      <c r="E924" t="str">
        <f>Koond_kulud!E962</f>
        <v>Haridus</v>
      </c>
      <c r="F924" t="str">
        <f>Koond_kulud!F962</f>
        <v>Vinni-Pajusti Gümnaasium</v>
      </c>
      <c r="G924" t="str">
        <f>Koond_kulud!G962</f>
        <v xml:space="preserve">telefonid ja internet </v>
      </c>
      <c r="H924">
        <f>Koond_kulud!H962</f>
        <v>5940</v>
      </c>
      <c r="I924" t="str">
        <f>Koond_kulud!I962</f>
        <v>Telia Ettevõted, internet ja telefonid</v>
      </c>
      <c r="J924">
        <f>Koond_kulud!J962</f>
        <v>5500</v>
      </c>
      <c r="K924" t="str">
        <f>Koond_kulud!K962</f>
        <v>Administreerimiskulud</v>
      </c>
      <c r="L924">
        <f>Koond_kulud!L962</f>
        <v>55</v>
      </c>
      <c r="M924" t="str">
        <f>Koond_kulud!M962</f>
        <v>55</v>
      </c>
      <c r="N924" t="str">
        <f>Koond_kulud!N962</f>
        <v>Muud tegevuskulud</v>
      </c>
      <c r="O924" t="str">
        <f>Koond_kulud!O962</f>
        <v>Majandamiskulud</v>
      </c>
      <c r="P924" t="str">
        <f>Koond_kulud!P962</f>
        <v>Põhitegevuse kulu</v>
      </c>
      <c r="Q924">
        <f>Koond_kulud!Q962</f>
        <v>0</v>
      </c>
    </row>
    <row r="925" spans="1:17" hidden="1" x14ac:dyDescent="0.25">
      <c r="A925" t="str">
        <f>Koond_kulud!A963</f>
        <v>09</v>
      </c>
      <c r="B925" t="str">
        <f>Koond_kulud!B963</f>
        <v xml:space="preserve">0921205         </v>
      </c>
      <c r="C925" t="str">
        <f>Koond_kulud!C963</f>
        <v xml:space="preserve"> Vinni-Pajusti Gümnaasium</v>
      </c>
      <c r="D925" t="str">
        <f>Koond_kulud!D963</f>
        <v>Põhihariduse otsekulud</v>
      </c>
      <c r="E925" t="str">
        <f>Koond_kulud!E963</f>
        <v>Haridus</v>
      </c>
      <c r="F925" t="str">
        <f>Koond_kulud!F963</f>
        <v>Vinni-Pajusti Gümnaasium</v>
      </c>
      <c r="G925" t="str">
        <f>Koond_kulud!G963</f>
        <v>mobiilside</v>
      </c>
      <c r="H925">
        <f>Koond_kulud!H963</f>
        <v>210</v>
      </c>
      <c r="I925" t="str">
        <f>Koond_kulud!I963</f>
        <v xml:space="preserve">Telia </v>
      </c>
      <c r="J925">
        <f>Koond_kulud!J963</f>
        <v>5500</v>
      </c>
      <c r="K925" t="str">
        <f>Koond_kulud!K963</f>
        <v>Administreerimiskulud</v>
      </c>
      <c r="L925">
        <f>Koond_kulud!L963</f>
        <v>55</v>
      </c>
      <c r="M925" t="str">
        <f>Koond_kulud!M963</f>
        <v>55</v>
      </c>
      <c r="N925" t="str">
        <f>Koond_kulud!N963</f>
        <v>Muud tegevuskulud</v>
      </c>
      <c r="O925" t="str">
        <f>Koond_kulud!O963</f>
        <v>Majandamiskulud</v>
      </c>
      <c r="P925" t="str">
        <f>Koond_kulud!P963</f>
        <v>Põhitegevuse kulu</v>
      </c>
      <c r="Q925">
        <f>Koond_kulud!Q963</f>
        <v>0</v>
      </c>
    </row>
    <row r="926" spans="1:17" hidden="1" x14ac:dyDescent="0.25">
      <c r="A926" t="str">
        <f>Koond_kulud!A964</f>
        <v>09</v>
      </c>
      <c r="B926" t="str">
        <f>Koond_kulud!B964</f>
        <v xml:space="preserve">0921205         </v>
      </c>
      <c r="C926" t="str">
        <f>Koond_kulud!C964</f>
        <v xml:space="preserve"> Vinni-Pajusti Gümnaasium</v>
      </c>
      <c r="D926" t="str">
        <f>Koond_kulud!D964</f>
        <v>Põhihariduse otsekulud</v>
      </c>
      <c r="E926" t="str">
        <f>Koond_kulud!E964</f>
        <v>Haridus</v>
      </c>
      <c r="F926" t="str">
        <f>Koond_kulud!F964</f>
        <v>Vinni-Pajusti Gümnaasium</v>
      </c>
      <c r="G926" t="str">
        <f>Koond_kulud!G964</f>
        <v>postikulu</v>
      </c>
      <c r="H926">
        <f>Koond_kulud!H964</f>
        <v>250</v>
      </c>
      <c r="I926" t="str">
        <f>Koond_kulud!I964</f>
        <v xml:space="preserve">aruanded jne </v>
      </c>
      <c r="J926">
        <f>Koond_kulud!J964</f>
        <v>5500</v>
      </c>
      <c r="K926" t="str">
        <f>Koond_kulud!K964</f>
        <v>Administreerimiskulud</v>
      </c>
      <c r="L926">
        <f>Koond_kulud!L964</f>
        <v>55</v>
      </c>
      <c r="M926" t="str">
        <f>Koond_kulud!M964</f>
        <v>55</v>
      </c>
      <c r="N926" t="str">
        <f>Koond_kulud!N964</f>
        <v>Muud tegevuskulud</v>
      </c>
      <c r="O926" t="str">
        <f>Koond_kulud!O964</f>
        <v>Majandamiskulud</v>
      </c>
      <c r="P926" t="str">
        <f>Koond_kulud!P964</f>
        <v>Põhitegevuse kulu</v>
      </c>
      <c r="Q926">
        <f>Koond_kulud!Q964</f>
        <v>0</v>
      </c>
    </row>
    <row r="927" spans="1:17" hidden="1" x14ac:dyDescent="0.25">
      <c r="A927" t="str">
        <f>Koond_kulud!A965</f>
        <v>09</v>
      </c>
      <c r="B927" t="str">
        <f>Koond_kulud!B965</f>
        <v xml:space="preserve">0921205         </v>
      </c>
      <c r="C927" t="str">
        <f>Koond_kulud!C965</f>
        <v xml:space="preserve"> Vinni-Pajusti Gümnaasium</v>
      </c>
      <c r="D927" t="str">
        <f>Koond_kulud!D965</f>
        <v>Põhihariduse otsekulud</v>
      </c>
      <c r="E927" t="str">
        <f>Koond_kulud!E965</f>
        <v>Haridus</v>
      </c>
      <c r="F927" t="str">
        <f>Koond_kulud!F965</f>
        <v>Vinni-Pajusti Gümnaasium</v>
      </c>
      <c r="G927" t="str">
        <f>Koond_kulud!G965</f>
        <v>ajalehed ja muu teabekirjandus</v>
      </c>
      <c r="H927">
        <f>Koond_kulud!H965</f>
        <v>750</v>
      </c>
      <c r="I927" t="str">
        <f>Koond_kulud!I965</f>
        <v>päevaleht,õpetajate leht,virumaa teataja</v>
      </c>
      <c r="J927">
        <f>Koond_kulud!J965</f>
        <v>5500</v>
      </c>
      <c r="K927" t="str">
        <f>Koond_kulud!K965</f>
        <v>Administreerimiskulud</v>
      </c>
      <c r="L927">
        <f>Koond_kulud!L965</f>
        <v>55</v>
      </c>
      <c r="M927" t="str">
        <f>Koond_kulud!M965</f>
        <v>55</v>
      </c>
      <c r="N927" t="str">
        <f>Koond_kulud!N965</f>
        <v>Muud tegevuskulud</v>
      </c>
      <c r="O927" t="str">
        <f>Koond_kulud!O965</f>
        <v>Majandamiskulud</v>
      </c>
      <c r="P927" t="str">
        <f>Koond_kulud!P965</f>
        <v>Põhitegevuse kulu</v>
      </c>
      <c r="Q927">
        <f>Koond_kulud!Q965</f>
        <v>0</v>
      </c>
    </row>
    <row r="928" spans="1:17" hidden="1" x14ac:dyDescent="0.25">
      <c r="A928" t="str">
        <f>Koond_kulud!A966</f>
        <v>09</v>
      </c>
      <c r="B928" t="str">
        <f>Koond_kulud!B966</f>
        <v xml:space="preserve">0921205         </v>
      </c>
      <c r="C928" t="str">
        <f>Koond_kulud!C966</f>
        <v xml:space="preserve"> Vinni-Pajusti Gümnaasium</v>
      </c>
      <c r="D928" t="str">
        <f>Koond_kulud!D966</f>
        <v>Põhihariduse otsekulud</v>
      </c>
      <c r="E928" t="str">
        <f>Koond_kulud!E966</f>
        <v>Haridus</v>
      </c>
      <c r="F928" t="str">
        <f>Koond_kulud!F966</f>
        <v>Vinni-Pajusti Gümnaasium</v>
      </c>
      <c r="G928" t="str">
        <f>Koond_kulud!G966</f>
        <v>raamatukogutarvikud</v>
      </c>
      <c r="H928">
        <f>Koond_kulud!H966</f>
        <v>350</v>
      </c>
      <c r="I928" t="str">
        <f>Koond_kulud!I966</f>
        <v>Deltmar(rmtk programm), raamatukile</v>
      </c>
      <c r="J928">
        <f>Koond_kulud!J966</f>
        <v>5500</v>
      </c>
      <c r="K928" t="str">
        <f>Koond_kulud!K966</f>
        <v>Administreerimiskulud</v>
      </c>
      <c r="L928">
        <f>Koond_kulud!L966</f>
        <v>55</v>
      </c>
      <c r="M928" t="str">
        <f>Koond_kulud!M966</f>
        <v>55</v>
      </c>
      <c r="N928" t="str">
        <f>Koond_kulud!N966</f>
        <v>Muud tegevuskulud</v>
      </c>
      <c r="O928" t="str">
        <f>Koond_kulud!O966</f>
        <v>Majandamiskulud</v>
      </c>
      <c r="P928" t="str">
        <f>Koond_kulud!P966</f>
        <v>Põhitegevuse kulu</v>
      </c>
      <c r="Q928">
        <f>Koond_kulud!Q966</f>
        <v>0</v>
      </c>
    </row>
    <row r="929" spans="1:17" hidden="1" x14ac:dyDescent="0.25">
      <c r="A929" t="str">
        <f>Koond_kulud!A967</f>
        <v>09</v>
      </c>
      <c r="B929" t="str">
        <f>Koond_kulud!B967</f>
        <v xml:space="preserve">0921205         </v>
      </c>
      <c r="C929" t="str">
        <f>Koond_kulud!C967</f>
        <v xml:space="preserve"> Vinni-Pajusti Gümnaasium</v>
      </c>
      <c r="D929" t="str">
        <f>Koond_kulud!D967</f>
        <v>Põhihariduse otsekulud</v>
      </c>
      <c r="E929" t="str">
        <f>Koond_kulud!E967</f>
        <v>Haridus</v>
      </c>
      <c r="F929" t="str">
        <f>Koond_kulud!F967</f>
        <v>Vinni-Pajusti Gümnaasium</v>
      </c>
      <c r="G929" t="str">
        <f>Koond_kulud!G967</f>
        <v>veebimajutus</v>
      </c>
      <c r="H929">
        <f>Koond_kulud!H967</f>
        <v>1320</v>
      </c>
      <c r="I929" t="str">
        <f>Koond_kulud!I967</f>
        <v>andmesidevõrk 110 x 12</v>
      </c>
      <c r="J929">
        <f>Koond_kulud!J967</f>
        <v>5500</v>
      </c>
      <c r="K929" t="str">
        <f>Koond_kulud!K967</f>
        <v>Administreerimiskulud</v>
      </c>
      <c r="L929">
        <f>Koond_kulud!L967</f>
        <v>55</v>
      </c>
      <c r="M929" t="str">
        <f>Koond_kulud!M967</f>
        <v>55</v>
      </c>
      <c r="N929" t="str">
        <f>Koond_kulud!N967</f>
        <v>Muud tegevuskulud</v>
      </c>
      <c r="O929" t="str">
        <f>Koond_kulud!O967</f>
        <v>Majandamiskulud</v>
      </c>
      <c r="P929" t="str">
        <f>Koond_kulud!P967</f>
        <v>Põhitegevuse kulu</v>
      </c>
      <c r="Q929">
        <f>Koond_kulud!Q967</f>
        <v>0</v>
      </c>
    </row>
    <row r="930" spans="1:17" hidden="1" x14ac:dyDescent="0.25">
      <c r="A930" t="str">
        <f>Koond_kulud!A968</f>
        <v>09</v>
      </c>
      <c r="B930" t="str">
        <f>Koond_kulud!B968</f>
        <v xml:space="preserve">0921205         </v>
      </c>
      <c r="C930" t="str">
        <f>Koond_kulud!C968</f>
        <v xml:space="preserve"> Vinni-Pajusti Gümnaasium</v>
      </c>
      <c r="D930" t="str">
        <f>Koond_kulud!D968</f>
        <v>Põhihariduse otsekulud</v>
      </c>
      <c r="E930" t="str">
        <f>Koond_kulud!E968</f>
        <v>Haridus</v>
      </c>
      <c r="F930" t="str">
        <f>Koond_kulud!F968</f>
        <v>Vinni-Pajusti Gümnaasium</v>
      </c>
      <c r="G930" t="str">
        <f>Koond_kulud!G968</f>
        <v>kuulutused</v>
      </c>
      <c r="H930">
        <f>Koond_kulud!H968</f>
        <v>550</v>
      </c>
      <c r="I930" t="str">
        <f>Koond_kulud!I968</f>
        <v>kaastunne, tööpakkumine</v>
      </c>
      <c r="J930">
        <f>Koond_kulud!J968</f>
        <v>5500</v>
      </c>
      <c r="K930" t="str">
        <f>Koond_kulud!K968</f>
        <v>Administreerimiskulud</v>
      </c>
      <c r="L930">
        <f>Koond_kulud!L968</f>
        <v>55</v>
      </c>
      <c r="M930" t="str">
        <f>Koond_kulud!M968</f>
        <v>55</v>
      </c>
      <c r="N930" t="str">
        <f>Koond_kulud!N968</f>
        <v>Muud tegevuskulud</v>
      </c>
      <c r="O930" t="str">
        <f>Koond_kulud!O968</f>
        <v>Majandamiskulud</v>
      </c>
      <c r="P930" t="str">
        <f>Koond_kulud!P968</f>
        <v>Põhitegevuse kulu</v>
      </c>
      <c r="Q930">
        <f>Koond_kulud!Q968</f>
        <v>0</v>
      </c>
    </row>
    <row r="931" spans="1:17" hidden="1" x14ac:dyDescent="0.25">
      <c r="A931" t="str">
        <f>Koond_kulud!A969</f>
        <v>09</v>
      </c>
      <c r="B931" t="str">
        <f>Koond_kulud!B969</f>
        <v xml:space="preserve">0921205         </v>
      </c>
      <c r="C931" t="str">
        <f>Koond_kulud!C969</f>
        <v xml:space="preserve"> Vinni-Pajusti Gümnaasium</v>
      </c>
      <c r="D931" t="str">
        <f>Koond_kulud!D969</f>
        <v>Põhihariduse otsekulud</v>
      </c>
      <c r="E931" t="str">
        <f>Koond_kulud!E969</f>
        <v>Haridus</v>
      </c>
      <c r="F931" t="str">
        <f>Koond_kulud!F969</f>
        <v>Vinni-Pajusti Gümnaasium</v>
      </c>
      <c r="G931" t="str">
        <f>Koond_kulud!G969</f>
        <v>kantseleikaup</v>
      </c>
      <c r="H931">
        <f>Koond_kulud!H969</f>
        <v>4000</v>
      </c>
      <c r="I931" t="str">
        <f>Koond_kulud!I969</f>
        <v>paljundused, paber, pliiats jne</v>
      </c>
      <c r="J931">
        <f>Koond_kulud!J969</f>
        <v>5500</v>
      </c>
      <c r="K931" t="str">
        <f>Koond_kulud!K969</f>
        <v>Administreerimiskulud</v>
      </c>
      <c r="L931">
        <f>Koond_kulud!L969</f>
        <v>55</v>
      </c>
      <c r="M931" t="str">
        <f>Koond_kulud!M969</f>
        <v>55</v>
      </c>
      <c r="N931" t="str">
        <f>Koond_kulud!N969</f>
        <v>Muud tegevuskulud</v>
      </c>
      <c r="O931" t="str">
        <f>Koond_kulud!O969</f>
        <v>Majandamiskulud</v>
      </c>
      <c r="P931" t="str">
        <f>Koond_kulud!P969</f>
        <v>Põhitegevuse kulu</v>
      </c>
      <c r="Q931">
        <f>Koond_kulud!Q969</f>
        <v>0</v>
      </c>
    </row>
    <row r="932" spans="1:17" hidden="1" x14ac:dyDescent="0.25">
      <c r="A932" t="str">
        <f>Koond_kulud!A970</f>
        <v>09</v>
      </c>
      <c r="B932" t="str">
        <f>Koond_kulud!B970</f>
        <v xml:space="preserve">0921205         </v>
      </c>
      <c r="C932" t="str">
        <f>Koond_kulud!C970</f>
        <v xml:space="preserve"> Vinni-Pajusti Gümnaasium</v>
      </c>
      <c r="D932" t="str">
        <f>Koond_kulud!D970</f>
        <v>Põhihariduse otsekulud</v>
      </c>
      <c r="E932" t="str">
        <f>Koond_kulud!E970</f>
        <v>Haridus</v>
      </c>
      <c r="F932" t="str">
        <f>Koond_kulud!F970</f>
        <v>Vinni-Pajusti Gümnaasium</v>
      </c>
      <c r="G932" t="str">
        <f>Koond_kulud!G970</f>
        <v>eKool</v>
      </c>
      <c r="H932">
        <f>Koond_kulud!H970</f>
        <v>960</v>
      </c>
      <c r="I932" t="str">
        <f>Koond_kulud!I970</f>
        <v>eKool 80 x 12</v>
      </c>
      <c r="J932">
        <f>Koond_kulud!J970</f>
        <v>5500</v>
      </c>
      <c r="K932" t="str">
        <f>Koond_kulud!K970</f>
        <v>Administreerimiskulud</v>
      </c>
      <c r="L932">
        <f>Koond_kulud!L970</f>
        <v>55</v>
      </c>
      <c r="M932" t="str">
        <f>Koond_kulud!M970</f>
        <v>55</v>
      </c>
      <c r="N932" t="str">
        <f>Koond_kulud!N970</f>
        <v>Muud tegevuskulud</v>
      </c>
      <c r="O932" t="str">
        <f>Koond_kulud!O970</f>
        <v>Majandamiskulud</v>
      </c>
      <c r="P932" t="str">
        <f>Koond_kulud!P970</f>
        <v>Põhitegevuse kulu</v>
      </c>
      <c r="Q932">
        <f>Koond_kulud!Q970</f>
        <v>0</v>
      </c>
    </row>
    <row r="933" spans="1:17" hidden="1" x14ac:dyDescent="0.25">
      <c r="A933" t="str">
        <f>Koond_kulud!A971</f>
        <v>09</v>
      </c>
      <c r="B933" t="str">
        <f>Koond_kulud!B971</f>
        <v xml:space="preserve">0921205         </v>
      </c>
      <c r="C933" t="str">
        <f>Koond_kulud!C971</f>
        <v xml:space="preserve"> Vinni-Pajusti Gümnaasium</v>
      </c>
      <c r="D933" t="str">
        <f>Koond_kulud!D971</f>
        <v>Põhihariduse otsekulud</v>
      </c>
      <c r="E933" t="str">
        <f>Koond_kulud!E971</f>
        <v>Haridus</v>
      </c>
      <c r="F933" t="str">
        <f>Koond_kulud!F971</f>
        <v>Vinni-Pajusti Gümnaasium</v>
      </c>
      <c r="G933" t="str">
        <f>Koond_kulud!G971</f>
        <v>televisioon</v>
      </c>
      <c r="H933">
        <f>Koond_kulud!H971</f>
        <v>150</v>
      </c>
      <c r="I933" t="str">
        <f>Koond_kulud!I971</f>
        <v>kaabel TV, Telia</v>
      </c>
      <c r="J933">
        <f>Koond_kulud!J971</f>
        <v>5500</v>
      </c>
      <c r="K933" t="str">
        <f>Koond_kulud!K971</f>
        <v>Administreerimiskulud</v>
      </c>
      <c r="L933">
        <f>Koond_kulud!L971</f>
        <v>55</v>
      </c>
      <c r="M933" t="str">
        <f>Koond_kulud!M971</f>
        <v>55</v>
      </c>
      <c r="N933" t="str">
        <f>Koond_kulud!N971</f>
        <v>Muud tegevuskulud</v>
      </c>
      <c r="O933" t="str">
        <f>Koond_kulud!O971</f>
        <v>Majandamiskulud</v>
      </c>
      <c r="P933" t="str">
        <f>Koond_kulud!P971</f>
        <v>Põhitegevuse kulu</v>
      </c>
      <c r="Q933">
        <f>Koond_kulud!Q971</f>
        <v>0</v>
      </c>
    </row>
    <row r="934" spans="1:17" hidden="1" x14ac:dyDescent="0.25">
      <c r="A934" t="str">
        <f>Koond_kulud!A972</f>
        <v>09</v>
      </c>
      <c r="B934" t="str">
        <f>Koond_kulud!B972</f>
        <v xml:space="preserve">0921205         </v>
      </c>
      <c r="C934" t="str">
        <f>Koond_kulud!C972</f>
        <v xml:space="preserve"> Vinni-Pajusti Gümnaasium</v>
      </c>
      <c r="D934" t="str">
        <f>Koond_kulud!D972</f>
        <v>Põhihariduse otsekulud</v>
      </c>
      <c r="E934" t="str">
        <f>Koond_kulud!E972</f>
        <v>Haridus</v>
      </c>
      <c r="F934" t="str">
        <f>Koond_kulud!F972</f>
        <v>Vinni-Pajusti Gümnaasium</v>
      </c>
      <c r="G934" t="str">
        <f>Koond_kulud!G972</f>
        <v>koolituste plaan</v>
      </c>
      <c r="H934">
        <f>Koond_kulud!H972</f>
        <v>800</v>
      </c>
      <c r="I934" t="str">
        <f>Koond_kulud!I972</f>
        <v>lisatud eraldi dokumendina</v>
      </c>
      <c r="J934">
        <f>Koond_kulud!J972</f>
        <v>5504</v>
      </c>
      <c r="K934" t="str">
        <f>Koond_kulud!K972</f>
        <v>Koolituskulud</v>
      </c>
      <c r="L934">
        <f>Koond_kulud!L972</f>
        <v>55</v>
      </c>
      <c r="M934" t="str">
        <f>Koond_kulud!M972</f>
        <v>55</v>
      </c>
      <c r="N934" t="str">
        <f>Koond_kulud!N972</f>
        <v>Muud tegevuskulud</v>
      </c>
      <c r="O934" t="str">
        <f>Koond_kulud!O972</f>
        <v>Majandamiskulud</v>
      </c>
      <c r="P934" t="str">
        <f>Koond_kulud!P972</f>
        <v>Põhitegevuse kulu</v>
      </c>
      <c r="Q934">
        <f>Koond_kulud!Q972</f>
        <v>0</v>
      </c>
    </row>
    <row r="935" spans="1:17" hidden="1" x14ac:dyDescent="0.25">
      <c r="A935" t="str">
        <f>Koond_kulud!A973</f>
        <v>09</v>
      </c>
      <c r="B935" t="str">
        <f>Koond_kulud!B973</f>
        <v xml:space="preserve">0921205         </v>
      </c>
      <c r="C935" t="str">
        <f>Koond_kulud!C973</f>
        <v xml:space="preserve"> Vinni-Pajusti Gümnaasium</v>
      </c>
      <c r="D935" t="str">
        <f>Koond_kulud!D973</f>
        <v>Põhihariduse otsekulud</v>
      </c>
      <c r="E935" t="str">
        <f>Koond_kulud!E973</f>
        <v>Haridus</v>
      </c>
      <c r="F935" t="str">
        <f>Koond_kulud!F973</f>
        <v>Vinni-Pajusti Gümnaasium</v>
      </c>
      <c r="G935" t="str">
        <f>Koond_kulud!G973</f>
        <v>Kütus ja isikliku sõiduauto komp.</v>
      </c>
      <c r="H935">
        <f>Koond_kulud!H973</f>
        <v>7000</v>
      </c>
      <c r="I935" t="str">
        <f>Koond_kulud!I973</f>
        <v>Kallaste 135,Albert 185,buss 200 x 12 kuud</v>
      </c>
      <c r="J935">
        <f>Koond_kulud!J973</f>
        <v>5513</v>
      </c>
      <c r="K935" t="str">
        <f>Koond_kulud!K973</f>
        <v>Sõidukite ülalpidamise kulud</v>
      </c>
      <c r="L935">
        <f>Koond_kulud!L973</f>
        <v>55</v>
      </c>
      <c r="M935" t="str">
        <f>Koond_kulud!M973</f>
        <v>55</v>
      </c>
      <c r="N935" t="str">
        <f>Koond_kulud!N973</f>
        <v>Muud tegevuskulud</v>
      </c>
      <c r="O935" t="str">
        <f>Koond_kulud!O973</f>
        <v>Majandamiskulud</v>
      </c>
      <c r="P935" t="str">
        <f>Koond_kulud!P973</f>
        <v>Põhitegevuse kulu</v>
      </c>
      <c r="Q935">
        <f>Koond_kulud!Q973</f>
        <v>0</v>
      </c>
    </row>
    <row r="936" spans="1:17" hidden="1" x14ac:dyDescent="0.25">
      <c r="A936" t="str">
        <f>Koond_kulud!A974</f>
        <v>09</v>
      </c>
      <c r="B936" t="str">
        <f>Koond_kulud!B974</f>
        <v xml:space="preserve">0921205         </v>
      </c>
      <c r="C936" t="str">
        <f>Koond_kulud!C974</f>
        <v xml:space="preserve"> Vinni-Pajusti Gümnaasium</v>
      </c>
      <c r="D936" t="str">
        <f>Koond_kulud!D974</f>
        <v>Põhihariduse otsekulud</v>
      </c>
      <c r="E936" t="str">
        <f>Koond_kulud!E974</f>
        <v>Haridus</v>
      </c>
      <c r="F936" t="str">
        <f>Koond_kulud!F974</f>
        <v>Vinni-Pajusti Gümnaasium</v>
      </c>
      <c r="G936" t="str">
        <f>Koond_kulud!G974</f>
        <v>remont+liising</v>
      </c>
      <c r="H936">
        <f>Koond_kulud!H974</f>
        <v>11000</v>
      </c>
      <c r="I936" t="str">
        <f>Koond_kulud!I974</f>
        <v xml:space="preserve">Kallaste 249,Albert 220,buss 420x12 kuud </v>
      </c>
      <c r="J936">
        <f>Koond_kulud!J974</f>
        <v>5513</v>
      </c>
      <c r="K936" t="str">
        <f>Koond_kulud!K974</f>
        <v>Sõidukite ülalpidamise kulud</v>
      </c>
      <c r="L936">
        <f>Koond_kulud!L974</f>
        <v>55</v>
      </c>
      <c r="M936" t="str">
        <f>Koond_kulud!M974</f>
        <v>55</v>
      </c>
      <c r="N936" t="str">
        <f>Koond_kulud!N974</f>
        <v>Muud tegevuskulud</v>
      </c>
      <c r="O936" t="str">
        <f>Koond_kulud!O974</f>
        <v>Majandamiskulud</v>
      </c>
      <c r="P936" t="str">
        <f>Koond_kulud!P974</f>
        <v>Põhitegevuse kulu</v>
      </c>
      <c r="Q936">
        <f>Koond_kulud!Q974</f>
        <v>0</v>
      </c>
    </row>
    <row r="937" spans="1:17" hidden="1" x14ac:dyDescent="0.25">
      <c r="A937" t="str">
        <f>Koond_kulud!A975</f>
        <v>09</v>
      </c>
      <c r="B937" t="str">
        <f>Koond_kulud!B975</f>
        <v xml:space="preserve">0921205         </v>
      </c>
      <c r="C937" t="str">
        <f>Koond_kulud!C975</f>
        <v xml:space="preserve"> Vinni-Pajusti Gümnaasium</v>
      </c>
      <c r="D937" t="str">
        <f>Koond_kulud!D975</f>
        <v>Põhihariduse otsekulud</v>
      </c>
      <c r="E937" t="str">
        <f>Koond_kulud!E975</f>
        <v>Haridus</v>
      </c>
      <c r="F937" t="str">
        <f>Koond_kulud!F975</f>
        <v>Vinni-Pajusti Gümnaasium</v>
      </c>
      <c r="G937" t="str">
        <f>Koond_kulud!G975</f>
        <v>kindlustus</v>
      </c>
      <c r="H937">
        <f>Koond_kulud!H975</f>
        <v>1750</v>
      </c>
      <c r="I937" t="str">
        <f>Koond_kulud!I975</f>
        <v>liiklus+kasko 3 autot</v>
      </c>
      <c r="J937">
        <f>Koond_kulud!J975</f>
        <v>5513</v>
      </c>
      <c r="K937" t="str">
        <f>Koond_kulud!K975</f>
        <v>Sõidukite ülalpidamise kulud</v>
      </c>
      <c r="L937">
        <f>Koond_kulud!L975</f>
        <v>55</v>
      </c>
      <c r="M937" t="str">
        <f>Koond_kulud!M975</f>
        <v>55</v>
      </c>
      <c r="N937" t="str">
        <f>Koond_kulud!N975</f>
        <v>Muud tegevuskulud</v>
      </c>
      <c r="O937" t="str">
        <f>Koond_kulud!O975</f>
        <v>Majandamiskulud</v>
      </c>
      <c r="P937" t="str">
        <f>Koond_kulud!P975</f>
        <v>Põhitegevuse kulu</v>
      </c>
      <c r="Q937">
        <f>Koond_kulud!Q975</f>
        <v>0</v>
      </c>
    </row>
    <row r="938" spans="1:17" hidden="1" x14ac:dyDescent="0.25">
      <c r="A938" t="str">
        <f>Koond_kulud!A976</f>
        <v>09</v>
      </c>
      <c r="B938" t="str">
        <f>Koond_kulud!B976</f>
        <v xml:space="preserve">0921205         </v>
      </c>
      <c r="C938" t="str">
        <f>Koond_kulud!C976</f>
        <v xml:space="preserve"> Vinni-Pajusti Gümnaasium</v>
      </c>
      <c r="D938" t="str">
        <f>Koond_kulud!D976</f>
        <v>Põhihariduse otsekulud</v>
      </c>
      <c r="E938" t="str">
        <f>Koond_kulud!E976</f>
        <v>Haridus</v>
      </c>
      <c r="F938" t="str">
        <f>Koond_kulud!F976</f>
        <v>Vinni-Pajusti Gümnaasium</v>
      </c>
      <c r="G938" t="str">
        <f>Koond_kulud!G976</f>
        <v>autohüvitus(toiger,reimets)</v>
      </c>
      <c r="H938">
        <f>Koond_kulud!H976</f>
        <v>1900</v>
      </c>
      <c r="I938" t="str">
        <f>Koond_kulud!I976</f>
        <v>(40+150)x10kuud</v>
      </c>
      <c r="J938">
        <f>Koond_kulud!J976</f>
        <v>5513</v>
      </c>
      <c r="K938" t="str">
        <f>Koond_kulud!K976</f>
        <v>Sõidukite ülalpidamise kulud</v>
      </c>
      <c r="L938">
        <f>Koond_kulud!L976</f>
        <v>55</v>
      </c>
      <c r="M938" t="str">
        <f>Koond_kulud!M976</f>
        <v>55</v>
      </c>
      <c r="N938" t="str">
        <f>Koond_kulud!N976</f>
        <v>Muud tegevuskulud</v>
      </c>
      <c r="O938" t="str">
        <f>Koond_kulud!O976</f>
        <v>Majandamiskulud</v>
      </c>
      <c r="P938" t="str">
        <f>Koond_kulud!P976</f>
        <v>Põhitegevuse kulu</v>
      </c>
      <c r="Q938">
        <f>Koond_kulud!Q976</f>
        <v>0</v>
      </c>
    </row>
    <row r="939" spans="1:17" hidden="1" x14ac:dyDescent="0.25">
      <c r="A939" t="str">
        <f>Koond_kulud!A977</f>
        <v>09</v>
      </c>
      <c r="B939" t="str">
        <f>Koond_kulud!B977</f>
        <v xml:space="preserve">0921205         </v>
      </c>
      <c r="C939" t="str">
        <f>Koond_kulud!C977</f>
        <v xml:space="preserve"> Vinni-Pajusti Gümnaasium</v>
      </c>
      <c r="D939" t="str">
        <f>Koond_kulud!D977</f>
        <v>Põhihariduse otsekulud</v>
      </c>
      <c r="E939" t="str">
        <f>Koond_kulud!E977</f>
        <v>Haridus</v>
      </c>
      <c r="F939" t="str">
        <f>Koond_kulud!F977</f>
        <v>Vinni-Pajusti Gümnaasium</v>
      </c>
      <c r="G939" t="str">
        <f>Koond_kulud!G977</f>
        <v>tehn.hoole</v>
      </c>
      <c r="H939">
        <f>Koond_kulud!H977</f>
        <v>850</v>
      </c>
      <c r="I939" t="str">
        <f>Koond_kulud!I977</f>
        <v>3 autot</v>
      </c>
      <c r="J939">
        <f>Koond_kulud!J977</f>
        <v>5513</v>
      </c>
      <c r="K939" t="str">
        <f>Koond_kulud!K977</f>
        <v>Sõidukite ülalpidamise kulud</v>
      </c>
      <c r="L939">
        <f>Koond_kulud!L977</f>
        <v>55</v>
      </c>
      <c r="M939" t="str">
        <f>Koond_kulud!M977</f>
        <v>55</v>
      </c>
      <c r="N939" t="str">
        <f>Koond_kulud!N977</f>
        <v>Muud tegevuskulud</v>
      </c>
      <c r="O939" t="str">
        <f>Koond_kulud!O977</f>
        <v>Majandamiskulud</v>
      </c>
      <c r="P939" t="str">
        <f>Koond_kulud!P977</f>
        <v>Põhitegevuse kulu</v>
      </c>
      <c r="Q939">
        <f>Koond_kulud!Q977</f>
        <v>0</v>
      </c>
    </row>
    <row r="940" spans="1:17" hidden="1" x14ac:dyDescent="0.25">
      <c r="A940" t="str">
        <f>Koond_kulud!A978</f>
        <v>09</v>
      </c>
      <c r="B940" t="str">
        <f>Koond_kulud!B978</f>
        <v xml:space="preserve">0921205         </v>
      </c>
      <c r="C940" t="str">
        <f>Koond_kulud!C978</f>
        <v xml:space="preserve"> Vinni-Pajusti Gümnaasium</v>
      </c>
      <c r="D940" t="str">
        <f>Koond_kulud!D978</f>
        <v>Põhihariduse otsekulud</v>
      </c>
      <c r="E940" t="str">
        <f>Koond_kulud!E978</f>
        <v>Haridus</v>
      </c>
      <c r="F940" t="str">
        <f>Koond_kulud!F978</f>
        <v>Vinni-Pajusti Gümnaasium</v>
      </c>
      <c r="G940" t="str">
        <f>Koond_kulud!G978</f>
        <v>remonditööd ja hooldus</v>
      </c>
      <c r="H940">
        <f>Koond_kulud!H978</f>
        <v>5000</v>
      </c>
      <c r="I940">
        <f>Koond_kulud!I978</f>
        <v>0</v>
      </c>
      <c r="J940">
        <f>Koond_kulud!J978</f>
        <v>5515</v>
      </c>
      <c r="K940" t="str">
        <f>Koond_kulud!K978</f>
        <v>Inventari kulud, v.a infotehnoloogia ja kaitseotstarbelised kulud</v>
      </c>
      <c r="L940">
        <f>Koond_kulud!L978</f>
        <v>55</v>
      </c>
      <c r="M940" t="str">
        <f>Koond_kulud!M978</f>
        <v>55</v>
      </c>
      <c r="N940" t="str">
        <f>Koond_kulud!N978</f>
        <v>Muud tegevuskulud</v>
      </c>
      <c r="O940" t="str">
        <f>Koond_kulud!O978</f>
        <v>Majandamiskulud</v>
      </c>
      <c r="P940" t="str">
        <f>Koond_kulud!P978</f>
        <v>Põhitegevuse kulu</v>
      </c>
      <c r="Q940">
        <f>Koond_kulud!Q978</f>
        <v>0</v>
      </c>
    </row>
    <row r="941" spans="1:17" hidden="1" x14ac:dyDescent="0.25">
      <c r="A941" t="str">
        <f>Koond_kulud!A979</f>
        <v>09</v>
      </c>
      <c r="B941" t="str">
        <f>Koond_kulud!B979</f>
        <v xml:space="preserve">0921205         </v>
      </c>
      <c r="C941" t="str">
        <f>Koond_kulud!C979</f>
        <v xml:space="preserve"> Vinni-Pajusti Gümnaasium</v>
      </c>
      <c r="D941" t="str">
        <f>Koond_kulud!D979</f>
        <v>Põhihariduse otsekulud</v>
      </c>
      <c r="E941" t="str">
        <f>Koond_kulud!E979</f>
        <v>Haridus</v>
      </c>
      <c r="F941" t="str">
        <f>Koond_kulud!F979</f>
        <v>Vinni-Pajusti Gümnaasium</v>
      </c>
      <c r="G941" t="str">
        <f>Koond_kulud!G979</f>
        <v>esmaabi vahendid,korral.med</v>
      </c>
      <c r="H941">
        <f>Koond_kulud!H979</f>
        <v>1500</v>
      </c>
      <c r="I941" t="str">
        <f>Koond_kulud!I979</f>
        <v>med.tõend, vaktsineerimised,esmaabi vahendid</v>
      </c>
      <c r="J941">
        <f>Koond_kulud!J979</f>
        <v>5522</v>
      </c>
      <c r="K941" t="str">
        <f>Koond_kulud!K979</f>
        <v>Meditsiinikulud ja hügieenitarbed</v>
      </c>
      <c r="L941">
        <f>Koond_kulud!L979</f>
        <v>55</v>
      </c>
      <c r="M941" t="str">
        <f>Koond_kulud!M979</f>
        <v>55</v>
      </c>
      <c r="N941" t="str">
        <f>Koond_kulud!N979</f>
        <v>Muud tegevuskulud</v>
      </c>
      <c r="O941" t="str">
        <f>Koond_kulud!O979</f>
        <v>Majandamiskulud</v>
      </c>
      <c r="P941" t="str">
        <f>Koond_kulud!P979</f>
        <v>Põhitegevuse kulu</v>
      </c>
      <c r="Q941">
        <f>Koond_kulud!Q979</f>
        <v>0</v>
      </c>
    </row>
    <row r="942" spans="1:17" hidden="1" x14ac:dyDescent="0.25">
      <c r="A942" t="str">
        <f>Koond_kulud!A980</f>
        <v>09</v>
      </c>
      <c r="B942" t="str">
        <f>Koond_kulud!B980</f>
        <v xml:space="preserve">0921205         </v>
      </c>
      <c r="C942" t="str">
        <f>Koond_kulud!C980</f>
        <v xml:space="preserve"> Vinni-Pajusti Gümnaasium</v>
      </c>
      <c r="D942" t="str">
        <f>Koond_kulud!D980</f>
        <v>Põhihariduse otsekulud</v>
      </c>
      <c r="E942" t="str">
        <f>Koond_kulud!E980</f>
        <v>Haridus</v>
      </c>
      <c r="F942" t="str">
        <f>Koond_kulud!F980</f>
        <v>Vinni-Pajusti Gümnaasium</v>
      </c>
      <c r="G942" t="str">
        <f>Koond_kulud!G980</f>
        <v>õpik,töövihik,mänguasjad jm</v>
      </c>
      <c r="H942">
        <f>Koond_kulud!H980</f>
        <v>35000</v>
      </c>
      <c r="I942">
        <f>Koond_kulud!I980</f>
        <v>0</v>
      </c>
      <c r="J942">
        <f>Koond_kulud!J980</f>
        <v>5524</v>
      </c>
      <c r="K942" t="str">
        <f>Koond_kulud!K980</f>
        <v>Õppevahendid</v>
      </c>
      <c r="L942">
        <f>Koond_kulud!L980</f>
        <v>55</v>
      </c>
      <c r="M942" t="str">
        <f>Koond_kulud!M980</f>
        <v>55</v>
      </c>
      <c r="N942" t="str">
        <f>Koond_kulud!N980</f>
        <v>Muud tegevuskulud</v>
      </c>
      <c r="O942" t="str">
        <f>Koond_kulud!O980</f>
        <v>Majandamiskulud</v>
      </c>
      <c r="P942" t="str">
        <f>Koond_kulud!P980</f>
        <v>Põhitegevuse kulu</v>
      </c>
      <c r="Q942">
        <f>Koond_kulud!Q980</f>
        <v>0</v>
      </c>
    </row>
    <row r="943" spans="1:17" hidden="1" x14ac:dyDescent="0.25">
      <c r="A943" t="str">
        <f>Koond_kulud!A981</f>
        <v>09</v>
      </c>
      <c r="B943" t="str">
        <f>Koond_kulud!B981</f>
        <v xml:space="preserve">0921205         </v>
      </c>
      <c r="C943" t="str">
        <f>Koond_kulud!C981</f>
        <v xml:space="preserve"> Vinni-Pajusti Gümnaasium</v>
      </c>
      <c r="D943" t="str">
        <f>Koond_kulud!D981</f>
        <v>Põhihariduse otsekulud</v>
      </c>
      <c r="E943" t="str">
        <f>Koond_kulud!E981</f>
        <v>Haridus</v>
      </c>
      <c r="F943" t="str">
        <f>Koond_kulud!F981</f>
        <v>Vinni-Pajusti Gümnaasium</v>
      </c>
      <c r="G943" t="str">
        <f>Koond_kulud!G981</f>
        <v>paljunduspaber</v>
      </c>
      <c r="H943">
        <f>Koond_kulud!H981</f>
        <v>1700</v>
      </c>
      <c r="I943">
        <f>Koond_kulud!I981</f>
        <v>0</v>
      </c>
      <c r="J943">
        <f>Koond_kulud!J981</f>
        <v>5524</v>
      </c>
      <c r="K943" t="str">
        <f>Koond_kulud!K981</f>
        <v>Õppevahendid</v>
      </c>
      <c r="L943">
        <f>Koond_kulud!L981</f>
        <v>55</v>
      </c>
      <c r="M943" t="str">
        <f>Koond_kulud!M981</f>
        <v>55</v>
      </c>
      <c r="N943" t="str">
        <f>Koond_kulud!N981</f>
        <v>Muud tegevuskulud</v>
      </c>
      <c r="O943" t="str">
        <f>Koond_kulud!O981</f>
        <v>Majandamiskulud</v>
      </c>
      <c r="P943" t="str">
        <f>Koond_kulud!P981</f>
        <v>Põhitegevuse kulu</v>
      </c>
      <c r="Q943">
        <f>Koond_kulud!Q981</f>
        <v>0</v>
      </c>
    </row>
    <row r="944" spans="1:17" hidden="1" x14ac:dyDescent="0.25">
      <c r="A944" t="str">
        <f>Koond_kulud!A982</f>
        <v>09</v>
      </c>
      <c r="B944" t="str">
        <f>Koond_kulud!B982</f>
        <v xml:space="preserve">0921205         </v>
      </c>
      <c r="C944" t="str">
        <f>Koond_kulud!C982</f>
        <v xml:space="preserve"> Vinni-Pajusti Gümnaasium</v>
      </c>
      <c r="D944" t="str">
        <f>Koond_kulud!D982</f>
        <v>Põhihariduse otsekulud</v>
      </c>
      <c r="E944" t="str">
        <f>Koond_kulud!E982</f>
        <v>Haridus</v>
      </c>
      <c r="F944" t="str">
        <f>Koond_kulud!F982</f>
        <v>Vinni-Pajusti Gümnaasium</v>
      </c>
      <c r="G944" t="str">
        <f>Koond_kulud!G982</f>
        <v>õppetransport</v>
      </c>
      <c r="H944">
        <f>Koond_kulud!H982</f>
        <v>20000</v>
      </c>
      <c r="I944">
        <f>Koond_kulud!I982</f>
        <v>0</v>
      </c>
      <c r="J944">
        <f>Koond_kulud!J982</f>
        <v>5524</v>
      </c>
      <c r="K944" t="str">
        <f>Koond_kulud!K982</f>
        <v>Õppevahendid</v>
      </c>
      <c r="L944">
        <f>Koond_kulud!L982</f>
        <v>55</v>
      </c>
      <c r="M944" t="str">
        <f>Koond_kulud!M982</f>
        <v>55</v>
      </c>
      <c r="N944" t="str">
        <f>Koond_kulud!N982</f>
        <v>Muud tegevuskulud</v>
      </c>
      <c r="O944" t="str">
        <f>Koond_kulud!O982</f>
        <v>Majandamiskulud</v>
      </c>
      <c r="P944" t="str">
        <f>Koond_kulud!P982</f>
        <v>Põhitegevuse kulu</v>
      </c>
      <c r="Q944">
        <f>Koond_kulud!Q982</f>
        <v>0</v>
      </c>
    </row>
    <row r="945" spans="1:17" hidden="1" x14ac:dyDescent="0.25">
      <c r="A945" t="str">
        <f>Koond_kulud!A983</f>
        <v>09</v>
      </c>
      <c r="B945" t="str">
        <f>Koond_kulud!B983</f>
        <v xml:space="preserve">0921205         </v>
      </c>
      <c r="C945" t="str">
        <f>Koond_kulud!C983</f>
        <v xml:space="preserve"> Vinni-Pajusti Gümnaasium</v>
      </c>
      <c r="D945" t="str">
        <f>Koond_kulud!D983</f>
        <v>Põhihariduse otsekulud</v>
      </c>
      <c r="E945" t="str">
        <f>Koond_kulud!E983</f>
        <v>Haridus</v>
      </c>
      <c r="F945" t="str">
        <f>Koond_kulud!F983</f>
        <v>Vinni-Pajusti Gümnaasium</v>
      </c>
      <c r="G945" t="str">
        <f>Koond_kulud!G983</f>
        <v>mälumängud,spordivõistlused jm</v>
      </c>
      <c r="H945">
        <f>Koond_kulud!H983</f>
        <v>13000</v>
      </c>
      <c r="I945">
        <f>Koond_kulud!I983</f>
        <v>0</v>
      </c>
      <c r="J945">
        <f>Koond_kulud!J983</f>
        <v>5525</v>
      </c>
      <c r="K945" t="str">
        <f>Koond_kulud!K983</f>
        <v>Kommunikatsiooni-, kultuuri- ja vaba aja sisustamise kulud</v>
      </c>
      <c r="L945">
        <f>Koond_kulud!L983</f>
        <v>55</v>
      </c>
      <c r="M945" t="str">
        <f>Koond_kulud!M983</f>
        <v>55</v>
      </c>
      <c r="N945" t="str">
        <f>Koond_kulud!N983</f>
        <v>Muud tegevuskulud</v>
      </c>
      <c r="O945" t="str">
        <f>Koond_kulud!O983</f>
        <v>Majandamiskulud</v>
      </c>
      <c r="P945" t="str">
        <f>Koond_kulud!P983</f>
        <v>Põhitegevuse kulu</v>
      </c>
      <c r="Q945">
        <f>Koond_kulud!Q983</f>
        <v>0</v>
      </c>
    </row>
    <row r="946" spans="1:17" hidden="1" x14ac:dyDescent="0.25">
      <c r="A946" t="str">
        <f>Koond_kulud!A984</f>
        <v>09</v>
      </c>
      <c r="B946" t="str">
        <f>Koond_kulud!B984</f>
        <v xml:space="preserve">0921205         </v>
      </c>
      <c r="C946" t="str">
        <f>Koond_kulud!C984</f>
        <v xml:space="preserve"> Vinni-Pajusti Gümnaasium</v>
      </c>
      <c r="D946" t="str">
        <f>Koond_kulud!D984</f>
        <v>Põhihariduse otsekulud</v>
      </c>
      <c r="E946" t="str">
        <f>Koond_kulud!E984</f>
        <v>Haridus</v>
      </c>
      <c r="F946" t="str">
        <f>Koond_kulud!F984</f>
        <v>Vinni-Pajusti Gümnaasium</v>
      </c>
      <c r="G946" t="str">
        <f>Koond_kulud!G984</f>
        <v>meened</v>
      </c>
      <c r="H946">
        <f>Koond_kulud!H984</f>
        <v>3500</v>
      </c>
      <c r="I946">
        <f>Koond_kulud!I984</f>
        <v>0</v>
      </c>
      <c r="J946">
        <f>Koond_kulud!J984</f>
        <v>5525</v>
      </c>
      <c r="K946" t="str">
        <f>Koond_kulud!K984</f>
        <v>Kommunikatsiooni-, kultuuri- ja vaba aja sisustamise kulud</v>
      </c>
      <c r="L946">
        <f>Koond_kulud!L984</f>
        <v>55</v>
      </c>
      <c r="M946" t="str">
        <f>Koond_kulud!M984</f>
        <v>55</v>
      </c>
      <c r="N946" t="str">
        <f>Koond_kulud!N984</f>
        <v>Muud tegevuskulud</v>
      </c>
      <c r="O946" t="str">
        <f>Koond_kulud!O984</f>
        <v>Majandamiskulud</v>
      </c>
      <c r="P946" t="str">
        <f>Koond_kulud!P984</f>
        <v>Põhitegevuse kulu</v>
      </c>
      <c r="Q946">
        <f>Koond_kulud!Q984</f>
        <v>0</v>
      </c>
    </row>
    <row r="947" spans="1:17" hidden="1" x14ac:dyDescent="0.25">
      <c r="A947" t="str">
        <f>Koond_kulud!A985</f>
        <v>09</v>
      </c>
      <c r="B947" t="str">
        <f>Koond_kulud!B985</f>
        <v xml:space="preserve">0921205         </v>
      </c>
      <c r="C947" t="str">
        <f>Koond_kulud!C985</f>
        <v xml:space="preserve"> Vinni-Pajusti Gümnaasium</v>
      </c>
      <c r="D947" t="str">
        <f>Koond_kulud!D985</f>
        <v>Põhihariduse otsekulud</v>
      </c>
      <c r="E947" t="str">
        <f>Koond_kulud!E985</f>
        <v>Haridus</v>
      </c>
      <c r="F947" t="str">
        <f>Koond_kulud!F985</f>
        <v>Vinni-Pajusti Gümnaasium</v>
      </c>
      <c r="G947" t="str">
        <f>Koond_kulud!G985</f>
        <v>küte</v>
      </c>
      <c r="H947">
        <f>Koond_kulud!H985</f>
        <v>115000</v>
      </c>
      <c r="I947" t="str">
        <f>Koond_kulud!I985</f>
        <v>1200 MWH x ???</v>
      </c>
      <c r="J947">
        <f>Koond_kulud!J985</f>
        <v>5511</v>
      </c>
      <c r="K947" t="str">
        <f>Koond_kulud!K985</f>
        <v>Kinnistute, hoonete ja ruumide majandamiskulud</v>
      </c>
      <c r="L947">
        <f>Koond_kulud!L985</f>
        <v>55</v>
      </c>
      <c r="M947" t="str">
        <f>Koond_kulud!M985</f>
        <v>55</v>
      </c>
      <c r="N947" t="str">
        <f>Koond_kulud!N985</f>
        <v>Muud tegevuskulud</v>
      </c>
      <c r="O947" t="str">
        <f>Koond_kulud!O985</f>
        <v>Majandamiskulud</v>
      </c>
      <c r="P947" t="str">
        <f>Koond_kulud!P985</f>
        <v>Põhitegevuse kulu</v>
      </c>
      <c r="Q947">
        <f>Koond_kulud!Q985</f>
        <v>0</v>
      </c>
    </row>
    <row r="948" spans="1:17" hidden="1" x14ac:dyDescent="0.25">
      <c r="A948" t="str">
        <f>Koond_kulud!A986</f>
        <v>09</v>
      </c>
      <c r="B948" t="str">
        <f>Koond_kulud!B986</f>
        <v xml:space="preserve">0921205         </v>
      </c>
      <c r="C948" t="str">
        <f>Koond_kulud!C986</f>
        <v xml:space="preserve"> Vinni-Pajusti Gümnaasium</v>
      </c>
      <c r="D948" t="str">
        <f>Koond_kulud!D986</f>
        <v>Põhihariduse otsekulud</v>
      </c>
      <c r="E948" t="str">
        <f>Koond_kulud!E986</f>
        <v>Haridus</v>
      </c>
      <c r="F948" t="str">
        <f>Koond_kulud!F986</f>
        <v>Vinni-Pajusti Gümnaasium</v>
      </c>
      <c r="G948" t="str">
        <f>Koond_kulud!G986</f>
        <v>elekter</v>
      </c>
      <c r="H948">
        <f>Koond_kulud!H986</f>
        <v>37894</v>
      </c>
      <c r="I948" t="str">
        <f>Koond_kulud!I986</f>
        <v>24000 Kwa x</v>
      </c>
      <c r="J948">
        <f>Koond_kulud!J986</f>
        <v>5511</v>
      </c>
      <c r="K948" t="str">
        <f>Koond_kulud!K986</f>
        <v>Kinnistute, hoonete ja ruumide majandamiskulud</v>
      </c>
      <c r="L948">
        <f>Koond_kulud!L986</f>
        <v>55</v>
      </c>
      <c r="M948" t="str">
        <f>Koond_kulud!M986</f>
        <v>55</v>
      </c>
      <c r="N948" t="str">
        <f>Koond_kulud!N986</f>
        <v>Muud tegevuskulud</v>
      </c>
      <c r="O948" t="str">
        <f>Koond_kulud!O986</f>
        <v>Majandamiskulud</v>
      </c>
      <c r="P948" t="str">
        <f>Koond_kulud!P986</f>
        <v>Põhitegevuse kulu</v>
      </c>
      <c r="Q948">
        <f>Koond_kulud!Q986</f>
        <v>0</v>
      </c>
    </row>
    <row r="949" spans="1:17" hidden="1" x14ac:dyDescent="0.25">
      <c r="A949" t="str">
        <f>Koond_kulud!A987</f>
        <v>09</v>
      </c>
      <c r="B949" t="str">
        <f>Koond_kulud!B987</f>
        <v xml:space="preserve">0921205         </v>
      </c>
      <c r="C949" t="str">
        <f>Koond_kulud!C987</f>
        <v xml:space="preserve"> Vinni-Pajusti Gümnaasium</v>
      </c>
      <c r="D949" t="str">
        <f>Koond_kulud!D987</f>
        <v>Põhihariduse otsekulud</v>
      </c>
      <c r="E949" t="str">
        <f>Koond_kulud!E987</f>
        <v>Haridus</v>
      </c>
      <c r="F949" t="str">
        <f>Koond_kulud!F987</f>
        <v>Vinni-Pajusti Gümnaasium</v>
      </c>
      <c r="G949" t="str">
        <f>Koond_kulud!G987</f>
        <v>vesi- ja kanalisatsioon</v>
      </c>
      <c r="H949">
        <f>Koond_kulud!H987</f>
        <v>11000</v>
      </c>
      <c r="I949" t="str">
        <f>Koond_kulud!I987</f>
        <v>aasta tarbimine 2800m3 x ???</v>
      </c>
      <c r="J949">
        <f>Koond_kulud!J987</f>
        <v>5511</v>
      </c>
      <c r="K949" t="str">
        <f>Koond_kulud!K987</f>
        <v>Kinnistute, hoonete ja ruumide majandamiskulud</v>
      </c>
      <c r="L949">
        <f>Koond_kulud!L987</f>
        <v>55</v>
      </c>
      <c r="M949" t="str">
        <f>Koond_kulud!M987</f>
        <v>55</v>
      </c>
      <c r="N949" t="str">
        <f>Koond_kulud!N987</f>
        <v>Muud tegevuskulud</v>
      </c>
      <c r="O949" t="str">
        <f>Koond_kulud!O987</f>
        <v>Majandamiskulud</v>
      </c>
      <c r="P949" t="str">
        <f>Koond_kulud!P987</f>
        <v>Põhitegevuse kulu</v>
      </c>
      <c r="Q949">
        <f>Koond_kulud!Q987</f>
        <v>0</v>
      </c>
    </row>
    <row r="950" spans="1:17" hidden="1" x14ac:dyDescent="0.25">
      <c r="A950" t="str">
        <f>Koond_kulud!A988</f>
        <v>09</v>
      </c>
      <c r="B950" t="str">
        <f>Koond_kulud!B988</f>
        <v xml:space="preserve">0921205         </v>
      </c>
      <c r="C950" t="str">
        <f>Koond_kulud!C988</f>
        <v xml:space="preserve"> Vinni-Pajusti Gümnaasium</v>
      </c>
      <c r="D950" t="str">
        <f>Koond_kulud!D988</f>
        <v>Põhihariduse otsekulud</v>
      </c>
      <c r="E950" t="str">
        <f>Koond_kulud!E988</f>
        <v>Haridus</v>
      </c>
      <c r="F950" t="str">
        <f>Koond_kulud!F988</f>
        <v>Vinni-Pajusti Gümnaasium</v>
      </c>
      <c r="G950" t="str">
        <f>Koond_kulud!G988</f>
        <v>korrashoiuvahendid</v>
      </c>
      <c r="H950">
        <f>Koond_kulud!H988</f>
        <v>10000</v>
      </c>
      <c r="I950" t="str">
        <f>Koond_kulud!I988</f>
        <v>puh.vahendid, paber jne</v>
      </c>
      <c r="J950">
        <f>Koond_kulud!J988</f>
        <v>5511</v>
      </c>
      <c r="K950" t="str">
        <f>Koond_kulud!K988</f>
        <v>Kinnistute, hoonete ja ruumide majandamiskulud</v>
      </c>
      <c r="L950">
        <f>Koond_kulud!L988</f>
        <v>55</v>
      </c>
      <c r="M950" t="str">
        <f>Koond_kulud!M988</f>
        <v>55</v>
      </c>
      <c r="N950" t="str">
        <f>Koond_kulud!N988</f>
        <v>Muud tegevuskulud</v>
      </c>
      <c r="O950" t="str">
        <f>Koond_kulud!O988</f>
        <v>Majandamiskulud</v>
      </c>
      <c r="P950" t="str">
        <f>Koond_kulud!P988</f>
        <v>Põhitegevuse kulu</v>
      </c>
      <c r="Q950">
        <f>Koond_kulud!Q988</f>
        <v>0</v>
      </c>
    </row>
    <row r="951" spans="1:17" hidden="1" x14ac:dyDescent="0.25">
      <c r="A951" t="str">
        <f>Koond_kulud!A989</f>
        <v>09</v>
      </c>
      <c r="B951" t="str">
        <f>Koond_kulud!B989</f>
        <v xml:space="preserve">0921205         </v>
      </c>
      <c r="C951" t="str">
        <f>Koond_kulud!C989</f>
        <v xml:space="preserve"> Vinni-Pajusti Gümnaasium</v>
      </c>
      <c r="D951" t="str">
        <f>Koond_kulud!D989</f>
        <v>Põhihariduse otsekulud</v>
      </c>
      <c r="E951" t="str">
        <f>Koond_kulud!E989</f>
        <v>Haridus</v>
      </c>
      <c r="F951" t="str">
        <f>Koond_kulud!F989</f>
        <v>Vinni-Pajusti Gümnaasium</v>
      </c>
      <c r="G951" t="str">
        <f>Koond_kulud!G989</f>
        <v>prügivedu</v>
      </c>
      <c r="H951">
        <f>Koond_kulud!H989</f>
        <v>850</v>
      </c>
      <c r="I951">
        <f>Koond_kulud!I989</f>
        <v>0</v>
      </c>
      <c r="J951">
        <f>Koond_kulud!J989</f>
        <v>5511</v>
      </c>
      <c r="K951" t="str">
        <f>Koond_kulud!K989</f>
        <v>Kinnistute, hoonete ja ruumide majandamiskulud</v>
      </c>
      <c r="L951">
        <f>Koond_kulud!L989</f>
        <v>55</v>
      </c>
      <c r="M951" t="str">
        <f>Koond_kulud!M989</f>
        <v>55</v>
      </c>
      <c r="N951" t="str">
        <f>Koond_kulud!N989</f>
        <v>Muud tegevuskulud</v>
      </c>
      <c r="O951" t="str">
        <f>Koond_kulud!O989</f>
        <v>Majandamiskulud</v>
      </c>
      <c r="P951" t="str">
        <f>Koond_kulud!P989</f>
        <v>Põhitegevuse kulu</v>
      </c>
      <c r="Q951">
        <f>Koond_kulud!Q989</f>
        <v>0</v>
      </c>
    </row>
    <row r="952" spans="1:17" hidden="1" x14ac:dyDescent="0.25">
      <c r="A952" t="str">
        <f>Koond_kulud!A990</f>
        <v>09</v>
      </c>
      <c r="B952" t="str">
        <f>Koond_kulud!B990</f>
        <v xml:space="preserve">0921205         </v>
      </c>
      <c r="C952" t="str">
        <f>Koond_kulud!C990</f>
        <v xml:space="preserve"> Vinni-Pajusti Gümnaasium</v>
      </c>
      <c r="D952" t="str">
        <f>Koond_kulud!D990</f>
        <v>Põhihariduse otsekulud</v>
      </c>
      <c r="E952" t="str">
        <f>Koond_kulud!E990</f>
        <v>Haridus</v>
      </c>
      <c r="F952" t="str">
        <f>Koond_kulud!F990</f>
        <v>Vinni-Pajusti Gümnaasium</v>
      </c>
      <c r="G952" t="str">
        <f>Koond_kulud!G990</f>
        <v>Lindström vaipade pesu</v>
      </c>
      <c r="H952">
        <f>Koond_kulud!H990</f>
        <v>986</v>
      </c>
      <c r="I952">
        <f>Koond_kulud!I990</f>
        <v>0</v>
      </c>
      <c r="J952">
        <f>Koond_kulud!J990</f>
        <v>5511</v>
      </c>
      <c r="K952" t="str">
        <f>Koond_kulud!K990</f>
        <v>Kinnistute, hoonete ja ruumide majandamiskulud</v>
      </c>
      <c r="L952">
        <f>Koond_kulud!L990</f>
        <v>55</v>
      </c>
      <c r="M952" t="str">
        <f>Koond_kulud!M990</f>
        <v>55</v>
      </c>
      <c r="N952" t="str">
        <f>Koond_kulud!N990</f>
        <v>Muud tegevuskulud</v>
      </c>
      <c r="O952" t="str">
        <f>Koond_kulud!O990</f>
        <v>Majandamiskulud</v>
      </c>
      <c r="P952" t="str">
        <f>Koond_kulud!P990</f>
        <v>Põhitegevuse kulu</v>
      </c>
      <c r="Q952">
        <f>Koond_kulud!Q990</f>
        <v>0</v>
      </c>
    </row>
    <row r="953" spans="1:17" hidden="1" x14ac:dyDescent="0.25">
      <c r="A953" t="str">
        <f>Koond_kulud!A991</f>
        <v>09</v>
      </c>
      <c r="B953" t="str">
        <f>Koond_kulud!B991</f>
        <v xml:space="preserve">0921205         </v>
      </c>
      <c r="C953" t="str">
        <f>Koond_kulud!C991</f>
        <v xml:space="preserve"> Vinni-Pajusti Gümnaasium</v>
      </c>
      <c r="D953" t="str">
        <f>Koond_kulud!D991</f>
        <v>Põhihariduse otsekulud</v>
      </c>
      <c r="E953" t="str">
        <f>Koond_kulud!E991</f>
        <v>Haridus</v>
      </c>
      <c r="F953" t="str">
        <f>Koond_kulud!F991</f>
        <v>Vinni-Pajusti Gümnaasium</v>
      </c>
      <c r="G953" t="str">
        <f>Koond_kulud!G991</f>
        <v>ATS hooldus</v>
      </c>
      <c r="H953">
        <f>Koond_kulud!H991</f>
        <v>1420</v>
      </c>
      <c r="I953" t="str">
        <f>Koond_kulud!I991</f>
        <v>KEK Elekter</v>
      </c>
      <c r="J953">
        <f>Koond_kulud!J991</f>
        <v>5511</v>
      </c>
      <c r="K953" t="str">
        <f>Koond_kulud!K991</f>
        <v>Kinnistute, hoonete ja ruumide majandamiskulud</v>
      </c>
      <c r="L953">
        <f>Koond_kulud!L991</f>
        <v>55</v>
      </c>
      <c r="M953" t="str">
        <f>Koond_kulud!M991</f>
        <v>55</v>
      </c>
      <c r="N953" t="str">
        <f>Koond_kulud!N991</f>
        <v>Muud tegevuskulud</v>
      </c>
      <c r="O953" t="str">
        <f>Koond_kulud!O991</f>
        <v>Majandamiskulud</v>
      </c>
      <c r="P953" t="str">
        <f>Koond_kulud!P991</f>
        <v>Põhitegevuse kulu</v>
      </c>
      <c r="Q953">
        <f>Koond_kulud!Q991</f>
        <v>0</v>
      </c>
    </row>
    <row r="954" spans="1:17" hidden="1" x14ac:dyDescent="0.25">
      <c r="A954" t="str">
        <f>Koond_kulud!A992</f>
        <v>09</v>
      </c>
      <c r="B954" t="str">
        <f>Koond_kulud!B992</f>
        <v xml:space="preserve">0921205         </v>
      </c>
      <c r="C954" t="str">
        <f>Koond_kulud!C992</f>
        <v xml:space="preserve"> Vinni-Pajusti Gümnaasium</v>
      </c>
      <c r="D954" t="str">
        <f>Koond_kulud!D992</f>
        <v>Põhihariduse otsekulud</v>
      </c>
      <c r="E954" t="str">
        <f>Koond_kulud!E992</f>
        <v>Haridus</v>
      </c>
      <c r="F954" t="str">
        <f>Koond_kulud!F992</f>
        <v>Vinni-Pajusti Gümnaasium</v>
      </c>
      <c r="G954" t="str">
        <f>Koond_kulud!G992</f>
        <v>KH ENERGIA KONSULT</v>
      </c>
      <c r="H954">
        <f>Koond_kulud!H992</f>
        <v>922</v>
      </c>
      <c r="I954">
        <f>Koond_kulud!I992</f>
        <v>0</v>
      </c>
      <c r="J954">
        <f>Koond_kulud!J992</f>
        <v>5511</v>
      </c>
      <c r="K954" t="str">
        <f>Koond_kulud!K992</f>
        <v>Kinnistute, hoonete ja ruumide majandamiskulud</v>
      </c>
      <c r="L954">
        <f>Koond_kulud!L992</f>
        <v>55</v>
      </c>
      <c r="M954" t="str">
        <f>Koond_kulud!M992</f>
        <v>55</v>
      </c>
      <c r="N954" t="str">
        <f>Koond_kulud!N992</f>
        <v>Muud tegevuskulud</v>
      </c>
      <c r="O954" t="str">
        <f>Koond_kulud!O992</f>
        <v>Majandamiskulud</v>
      </c>
      <c r="P954" t="str">
        <f>Koond_kulud!P992</f>
        <v>Põhitegevuse kulu</v>
      </c>
      <c r="Q954">
        <f>Koond_kulud!Q992</f>
        <v>0</v>
      </c>
    </row>
    <row r="955" spans="1:17" hidden="1" x14ac:dyDescent="0.25">
      <c r="A955" t="str">
        <f>Koond_kulud!A993</f>
        <v>09</v>
      </c>
      <c r="B955" t="str">
        <f>Koond_kulud!B993</f>
        <v xml:space="preserve">0921205         </v>
      </c>
      <c r="C955" t="str">
        <f>Koond_kulud!C993</f>
        <v xml:space="preserve"> Vinni-Pajusti Gümnaasium</v>
      </c>
      <c r="D955" t="str">
        <f>Koond_kulud!D993</f>
        <v>Põhihariduse otsekulud</v>
      </c>
      <c r="E955" t="str">
        <f>Koond_kulud!E993</f>
        <v>Haridus</v>
      </c>
      <c r="F955" t="str">
        <f>Koond_kulud!F993</f>
        <v>Vinni-Pajusti Gümnaasium</v>
      </c>
      <c r="G955" t="str">
        <f>Koond_kulud!G993</f>
        <v>G4S AS</v>
      </c>
      <c r="H955">
        <f>Koond_kulud!H993</f>
        <v>940</v>
      </c>
      <c r="I955">
        <f>Koond_kulud!I993</f>
        <v>0</v>
      </c>
      <c r="J955">
        <f>Koond_kulud!J993</f>
        <v>5511</v>
      </c>
      <c r="K955" t="str">
        <f>Koond_kulud!K993</f>
        <v>Kinnistute, hoonete ja ruumide majandamiskulud</v>
      </c>
      <c r="L955">
        <f>Koond_kulud!L993</f>
        <v>55</v>
      </c>
      <c r="M955" t="str">
        <f>Koond_kulud!M993</f>
        <v>55</v>
      </c>
      <c r="N955" t="str">
        <f>Koond_kulud!N993</f>
        <v>Muud tegevuskulud</v>
      </c>
      <c r="O955" t="str">
        <f>Koond_kulud!O993</f>
        <v>Majandamiskulud</v>
      </c>
      <c r="P955" t="str">
        <f>Koond_kulud!P993</f>
        <v>Põhitegevuse kulu</v>
      </c>
      <c r="Q955">
        <f>Koond_kulud!Q993</f>
        <v>0</v>
      </c>
    </row>
    <row r="956" spans="1:17" hidden="1" x14ac:dyDescent="0.25">
      <c r="A956" t="str">
        <f>Koond_kulud!A994</f>
        <v>09</v>
      </c>
      <c r="B956" t="str">
        <f>Koond_kulud!B994</f>
        <v xml:space="preserve">0921205         </v>
      </c>
      <c r="C956" t="str">
        <f>Koond_kulud!C994</f>
        <v xml:space="preserve"> Vinni-Pajusti Gümnaasium</v>
      </c>
      <c r="D956" t="str">
        <f>Koond_kulud!D994</f>
        <v>Põhihariduse otsekulud</v>
      </c>
      <c r="E956" t="str">
        <f>Koond_kulud!E994</f>
        <v>Haridus</v>
      </c>
      <c r="F956" t="str">
        <f>Koond_kulud!F994</f>
        <v>Vinni-Pajusti Gümnaasium</v>
      </c>
      <c r="G956" t="str">
        <f>Koond_kulud!G994</f>
        <v>USS Securiry</v>
      </c>
      <c r="H956">
        <f>Koond_kulud!H994</f>
        <v>385</v>
      </c>
      <c r="I956">
        <f>Koond_kulud!I994</f>
        <v>0</v>
      </c>
      <c r="J956">
        <f>Koond_kulud!J994</f>
        <v>5511</v>
      </c>
      <c r="K956" t="str">
        <f>Koond_kulud!K994</f>
        <v>Kinnistute, hoonete ja ruumide majandamiskulud</v>
      </c>
      <c r="L956">
        <f>Koond_kulud!L994</f>
        <v>55</v>
      </c>
      <c r="M956" t="str">
        <f>Koond_kulud!M994</f>
        <v>55</v>
      </c>
      <c r="N956" t="str">
        <f>Koond_kulud!N994</f>
        <v>Muud tegevuskulud</v>
      </c>
      <c r="O956" t="str">
        <f>Koond_kulud!O994</f>
        <v>Majandamiskulud</v>
      </c>
      <c r="P956" t="str">
        <f>Koond_kulud!P994</f>
        <v>Põhitegevuse kulu</v>
      </c>
      <c r="Q956">
        <f>Koond_kulud!Q994</f>
        <v>0</v>
      </c>
    </row>
    <row r="957" spans="1:17" hidden="1" x14ac:dyDescent="0.25">
      <c r="A957" t="str">
        <f>Koond_kulud!A995</f>
        <v>09</v>
      </c>
      <c r="B957" t="str">
        <f>Koond_kulud!B995</f>
        <v xml:space="preserve">0921205         </v>
      </c>
      <c r="C957" t="str">
        <f>Koond_kulud!C995</f>
        <v xml:space="preserve"> Vinni-Pajusti Gümnaasium</v>
      </c>
      <c r="D957" t="str">
        <f>Koond_kulud!D995</f>
        <v>Põhihariduse otsekulud</v>
      </c>
      <c r="E957" t="str">
        <f>Koond_kulud!E995</f>
        <v>Haridus</v>
      </c>
      <c r="F957" t="str">
        <f>Koond_kulud!F995</f>
        <v>Vinni-Pajusti Gümnaasium</v>
      </c>
      <c r="G957" t="str">
        <f>Koond_kulud!G995</f>
        <v>Rentokil-kahjuritõrjeteenus</v>
      </c>
      <c r="H957">
        <f>Koond_kulud!H995</f>
        <v>260</v>
      </c>
      <c r="I957">
        <f>Koond_kulud!I995</f>
        <v>0</v>
      </c>
      <c r="J957">
        <f>Koond_kulud!J995</f>
        <v>5511</v>
      </c>
      <c r="K957" t="str">
        <f>Koond_kulud!K995</f>
        <v>Kinnistute, hoonete ja ruumide majandamiskulud</v>
      </c>
      <c r="L957">
        <f>Koond_kulud!L995</f>
        <v>55</v>
      </c>
      <c r="M957" t="str">
        <f>Koond_kulud!M995</f>
        <v>55</v>
      </c>
      <c r="N957" t="str">
        <f>Koond_kulud!N995</f>
        <v>Muud tegevuskulud</v>
      </c>
      <c r="O957" t="str">
        <f>Koond_kulud!O995</f>
        <v>Majandamiskulud</v>
      </c>
      <c r="P957" t="str">
        <f>Koond_kulud!P995</f>
        <v>Põhitegevuse kulu</v>
      </c>
      <c r="Q957">
        <f>Koond_kulud!Q995</f>
        <v>0</v>
      </c>
    </row>
    <row r="958" spans="1:17" hidden="1" x14ac:dyDescent="0.25">
      <c r="A958" t="str">
        <f>Koond_kulud!A996</f>
        <v>09</v>
      </c>
      <c r="B958" t="str">
        <f>Koond_kulud!B996</f>
        <v xml:space="preserve">0921205         </v>
      </c>
      <c r="C958" t="str">
        <f>Koond_kulud!C996</f>
        <v xml:space="preserve"> Vinni-Pajusti Gümnaasium</v>
      </c>
      <c r="D958" t="str">
        <f>Koond_kulud!D996</f>
        <v>Põhihariduse otsekulud</v>
      </c>
      <c r="E958" t="str">
        <f>Koond_kulud!E996</f>
        <v>Haridus</v>
      </c>
      <c r="F958" t="str">
        <f>Koond_kulud!F996</f>
        <v>Vinni-Pajusti Gümnaasium</v>
      </c>
      <c r="G958" t="str">
        <f>Koond_kulud!G996</f>
        <v>ventilatsiooni hooldus</v>
      </c>
      <c r="H958">
        <f>Koond_kulud!H996</f>
        <v>2500</v>
      </c>
      <c r="I958" t="str">
        <f>Koond_kulud!I996</f>
        <v>hooldus+filtrid</v>
      </c>
      <c r="J958">
        <f>Koond_kulud!J996</f>
        <v>5511</v>
      </c>
      <c r="K958" t="str">
        <f>Koond_kulud!K996</f>
        <v>Kinnistute, hoonete ja ruumide majandamiskulud</v>
      </c>
      <c r="L958">
        <f>Koond_kulud!L996</f>
        <v>55</v>
      </c>
      <c r="M958" t="str">
        <f>Koond_kulud!M996</f>
        <v>55</v>
      </c>
      <c r="N958" t="str">
        <f>Koond_kulud!N996</f>
        <v>Muud tegevuskulud</v>
      </c>
      <c r="O958" t="str">
        <f>Koond_kulud!O996</f>
        <v>Majandamiskulud</v>
      </c>
      <c r="P958" t="str">
        <f>Koond_kulud!P996</f>
        <v>Põhitegevuse kulu</v>
      </c>
      <c r="Q958">
        <f>Koond_kulud!Q996</f>
        <v>0</v>
      </c>
    </row>
    <row r="959" spans="1:17" hidden="1" x14ac:dyDescent="0.25">
      <c r="A959" t="str">
        <f>Koond_kulud!A997</f>
        <v>09</v>
      </c>
      <c r="B959" t="str">
        <f>Koond_kulud!B997</f>
        <v xml:space="preserve">0921205         </v>
      </c>
      <c r="C959" t="str">
        <f>Koond_kulud!C997</f>
        <v xml:space="preserve"> Vinni-Pajusti Gümnaasium</v>
      </c>
      <c r="D959" t="str">
        <f>Koond_kulud!D997</f>
        <v>Põhihariduse otsekulud</v>
      </c>
      <c r="E959" t="str">
        <f>Koond_kulud!E997</f>
        <v>Haridus</v>
      </c>
      <c r="F959" t="str">
        <f>Koond_kulud!F997</f>
        <v>Vinni-Pajusti Gümnaasium</v>
      </c>
      <c r="G959" t="str">
        <f>Koond_kulud!G997</f>
        <v>remont</v>
      </c>
      <c r="H959">
        <f>Koond_kulud!H997</f>
        <v>10000</v>
      </c>
      <c r="I959" t="str">
        <f>Koond_kulud!I997</f>
        <v>pisiremont(san.remont)</v>
      </c>
      <c r="J959">
        <f>Koond_kulud!J997</f>
        <v>5511</v>
      </c>
      <c r="K959" t="str">
        <f>Koond_kulud!K997</f>
        <v>Kinnistute, hoonete ja ruumide majandamiskulud</v>
      </c>
      <c r="L959">
        <f>Koond_kulud!L997</f>
        <v>55</v>
      </c>
      <c r="M959" t="str">
        <f>Koond_kulud!M997</f>
        <v>55</v>
      </c>
      <c r="N959" t="str">
        <f>Koond_kulud!N997</f>
        <v>Muud tegevuskulud</v>
      </c>
      <c r="O959" t="str">
        <f>Koond_kulud!O997</f>
        <v>Majandamiskulud</v>
      </c>
      <c r="P959" t="str">
        <f>Koond_kulud!P997</f>
        <v>Põhitegevuse kulu</v>
      </c>
      <c r="Q959">
        <f>Koond_kulud!Q997</f>
        <v>0</v>
      </c>
    </row>
    <row r="960" spans="1:17" hidden="1" x14ac:dyDescent="0.25">
      <c r="A960" t="str">
        <f>Koond_kulud!A998</f>
        <v>09</v>
      </c>
      <c r="B960" t="str">
        <f>Koond_kulud!B998</f>
        <v xml:space="preserve">0921205         </v>
      </c>
      <c r="C960" t="str">
        <f>Koond_kulud!C998</f>
        <v xml:space="preserve"> Vinni-Pajusti Gümnaasium</v>
      </c>
      <c r="D960" t="str">
        <f>Koond_kulud!D998</f>
        <v>Põhihariduse otsekulud</v>
      </c>
      <c r="E960" t="str">
        <f>Koond_kulud!E998</f>
        <v>Haridus</v>
      </c>
      <c r="F960" t="str">
        <f>Koond_kulud!F998</f>
        <v>Vinni-Pajusti Gümnaasium</v>
      </c>
      <c r="G960" t="str">
        <f>Koond_kulud!G998</f>
        <v>arvutite värskendus(mälu,kõvaketad</v>
      </c>
      <c r="H960">
        <f>Koond_kulud!H998</f>
        <v>2000</v>
      </c>
      <c r="I960">
        <f>Koond_kulud!I998</f>
        <v>0</v>
      </c>
      <c r="J960">
        <f>Koond_kulud!J998</f>
        <v>5514</v>
      </c>
      <c r="K960" t="str">
        <f>Koond_kulud!K998</f>
        <v>Info- ja kommunikatsioonitehnoliigised kulud</v>
      </c>
      <c r="L960">
        <f>Koond_kulud!L998</f>
        <v>55</v>
      </c>
      <c r="M960" t="str">
        <f>Koond_kulud!M998</f>
        <v>55</v>
      </c>
      <c r="N960" t="str">
        <f>Koond_kulud!N998</f>
        <v>Muud tegevuskulud</v>
      </c>
      <c r="O960" t="str">
        <f>Koond_kulud!O998</f>
        <v>Majandamiskulud</v>
      </c>
      <c r="P960" t="str">
        <f>Koond_kulud!P998</f>
        <v>Põhitegevuse kulu</v>
      </c>
      <c r="Q960">
        <f>Koond_kulud!Q998</f>
        <v>0</v>
      </c>
    </row>
    <row r="961" spans="1:17" hidden="1" x14ac:dyDescent="0.25">
      <c r="A961" t="str">
        <f>Koond_kulud!A999</f>
        <v>09</v>
      </c>
      <c r="B961" t="str">
        <f>Koond_kulud!B999</f>
        <v xml:space="preserve">0921205         </v>
      </c>
      <c r="C961" t="str">
        <f>Koond_kulud!C999</f>
        <v xml:space="preserve"> Vinni-Pajusti Gümnaasium</v>
      </c>
      <c r="D961" t="str">
        <f>Koond_kulud!D999</f>
        <v>Põhihariduse otsekulud</v>
      </c>
      <c r="E961" t="str">
        <f>Koond_kulud!E999</f>
        <v>Haridus</v>
      </c>
      <c r="F961" t="str">
        <f>Koond_kulud!F999</f>
        <v>Vinni-Pajusti Gümnaasium</v>
      </c>
      <c r="G961" t="str">
        <f>Koond_kulud!G999</f>
        <v>tarkvara litsensid</v>
      </c>
      <c r="H961">
        <f>Koond_kulud!H999</f>
        <v>2500</v>
      </c>
      <c r="I961">
        <f>Koond_kulud!I999</f>
        <v>0</v>
      </c>
      <c r="J961">
        <f>Koond_kulud!J999</f>
        <v>5514</v>
      </c>
      <c r="K961" t="str">
        <f>Koond_kulud!K999</f>
        <v>Info- ja kommunikatsioonitehnoliigised kulud</v>
      </c>
      <c r="L961">
        <f>Koond_kulud!L999</f>
        <v>55</v>
      </c>
      <c r="M961" t="str">
        <f>Koond_kulud!M999</f>
        <v>55</v>
      </c>
      <c r="N961" t="str">
        <f>Koond_kulud!N999</f>
        <v>Muud tegevuskulud</v>
      </c>
      <c r="O961" t="str">
        <f>Koond_kulud!O999</f>
        <v>Majandamiskulud</v>
      </c>
      <c r="P961" t="str">
        <f>Koond_kulud!P999</f>
        <v>Põhitegevuse kulu</v>
      </c>
      <c r="Q961">
        <f>Koond_kulud!Q999</f>
        <v>0</v>
      </c>
    </row>
    <row r="962" spans="1:17" hidden="1" x14ac:dyDescent="0.25">
      <c r="A962" t="str">
        <f>Koond_kulud!A1001</f>
        <v>09</v>
      </c>
      <c r="B962" t="str">
        <f>Koond_kulud!B1001</f>
        <v xml:space="preserve">0921205         </v>
      </c>
      <c r="C962" t="str">
        <f>Koond_kulud!C1001</f>
        <v xml:space="preserve"> Vinni-Pajusti Gümnaasium</v>
      </c>
      <c r="D962" t="str">
        <f>Koond_kulud!D1001</f>
        <v>Põhihariduse otsekulud</v>
      </c>
      <c r="E962" t="str">
        <f>Koond_kulud!E1001</f>
        <v>Haridus</v>
      </c>
      <c r="F962" t="str">
        <f>Koond_kulud!F1001</f>
        <v>Vinni-Pajusti Gümnaasium</v>
      </c>
      <c r="G962" t="str">
        <f>Koond_kulud!G1001</f>
        <v>Toiduained</v>
      </c>
      <c r="H962">
        <f>Koond_kulud!H1001</f>
        <v>70525</v>
      </c>
      <c r="I962" t="str">
        <f>Koond_kulud!I1001</f>
        <v>Ped.</v>
      </c>
      <c r="J962">
        <f>Koond_kulud!J1001</f>
        <v>5521</v>
      </c>
      <c r="K962" t="str">
        <f>Koond_kulud!K1001</f>
        <v>Toiduained ja toitlustusteenused</v>
      </c>
      <c r="L962">
        <f>Koond_kulud!L1001</f>
        <v>55</v>
      </c>
      <c r="M962" t="str">
        <f>Koond_kulud!M1001</f>
        <v>55</v>
      </c>
      <c r="N962" t="str">
        <f>Koond_kulud!N1001</f>
        <v>Muud tegevuskulud</v>
      </c>
      <c r="O962" t="str">
        <f>Koond_kulud!O1001</f>
        <v>Majandamiskulud</v>
      </c>
      <c r="P962" t="str">
        <f>Koond_kulud!P1001</f>
        <v>Põhitegevuse kulu</v>
      </c>
      <c r="Q962">
        <f>Koond_kulud!Q1001</f>
        <v>0</v>
      </c>
    </row>
    <row r="963" spans="1:17" hidden="1" x14ac:dyDescent="0.25">
      <c r="A963" t="str">
        <f>Koond_kulud!A1002</f>
        <v>09</v>
      </c>
      <c r="B963" t="str">
        <f>Koond_kulud!B1002</f>
        <v xml:space="preserve">0921205         </v>
      </c>
      <c r="C963" t="str">
        <f>Koond_kulud!C1002</f>
        <v xml:space="preserve"> Vinni-Pajusti Gümnaasium</v>
      </c>
      <c r="D963" t="str">
        <f>Koond_kulud!D1002</f>
        <v>Põhihariduse otsekulud</v>
      </c>
      <c r="E963" t="str">
        <f>Koond_kulud!E1002</f>
        <v>Haridus</v>
      </c>
      <c r="F963" t="str">
        <f>Koond_kulud!F1002</f>
        <v>Vinni-Pajusti Gümnaasium</v>
      </c>
      <c r="G963" t="str">
        <f>Koond_kulud!G1002</f>
        <v>Spordiinventaar</v>
      </c>
      <c r="H963">
        <f>Koond_kulud!H1002</f>
        <v>10000</v>
      </c>
      <c r="I963" t="str">
        <f>Koond_kulud!I1002</f>
        <v>Matid on vanad ja vajavad vahetamist ning uuendamist,</v>
      </c>
      <c r="J963">
        <f>Koond_kulud!J1002</f>
        <v>5515</v>
      </c>
      <c r="K963" t="str">
        <f>Koond_kulud!K1002</f>
        <v>Inventari kulud, v.a infotehnoloogia ja kaitseotstarbelised kulud</v>
      </c>
      <c r="L963">
        <f>Koond_kulud!L1002</f>
        <v>55</v>
      </c>
      <c r="M963" t="str">
        <f>Koond_kulud!M1002</f>
        <v>55</v>
      </c>
      <c r="N963" t="str">
        <f>Koond_kulud!N1002</f>
        <v>Muud tegevuskulud</v>
      </c>
      <c r="O963" t="str">
        <f>Koond_kulud!O1002</f>
        <v>Majandamiskulud</v>
      </c>
      <c r="P963" t="str">
        <f>Koond_kulud!P1002</f>
        <v>Põhitegevuse kulu</v>
      </c>
      <c r="Q963">
        <f>Koond_kulud!Q1002</f>
        <v>0</v>
      </c>
    </row>
    <row r="964" spans="1:17" hidden="1" x14ac:dyDescent="0.25">
      <c r="A964" t="str">
        <f>Koond_kulud!A1003</f>
        <v>09</v>
      </c>
      <c r="B964" t="str">
        <f>Koond_kulud!B1003</f>
        <v xml:space="preserve">0921205         </v>
      </c>
      <c r="C964" t="str">
        <f>Koond_kulud!C1003</f>
        <v xml:space="preserve"> Vinni-Pajusti Gümnaasium</v>
      </c>
      <c r="D964" t="str">
        <f>Koond_kulud!D1003</f>
        <v>Põhihariduse otsekulud</v>
      </c>
      <c r="E964" t="str">
        <f>Koond_kulud!E1003</f>
        <v>Haridus</v>
      </c>
      <c r="F964" t="str">
        <f>Koond_kulud!F1003</f>
        <v>Vinni-Pajusti Gümnaasium</v>
      </c>
      <c r="G964" t="str">
        <f>Koond_kulud!G1003</f>
        <v>Projektorid</v>
      </c>
      <c r="H964">
        <f>Koond_kulud!H1003</f>
        <v>2500</v>
      </c>
      <c r="I964" t="str">
        <f>Koond_kulud!I1003</f>
        <v>5 projektorit vajavad vahetamist</v>
      </c>
      <c r="J964">
        <f>Koond_kulud!J1003</f>
        <v>5515</v>
      </c>
      <c r="K964" t="str">
        <f>Koond_kulud!K1003</f>
        <v>Inventari kulud, v.a infotehnoloogia ja kaitseotstarbelised kulud</v>
      </c>
      <c r="L964">
        <f>Koond_kulud!L1003</f>
        <v>55</v>
      </c>
      <c r="M964" t="str">
        <f>Koond_kulud!M1003</f>
        <v>55</v>
      </c>
      <c r="N964" t="str">
        <f>Koond_kulud!N1003</f>
        <v>Muud tegevuskulud</v>
      </c>
      <c r="O964" t="str">
        <f>Koond_kulud!O1003</f>
        <v>Majandamiskulud</v>
      </c>
      <c r="P964" t="str">
        <f>Koond_kulud!P1003</f>
        <v>Põhitegevuse kulu</v>
      </c>
      <c r="Q964">
        <f>Koond_kulud!Q1003</f>
        <v>0</v>
      </c>
    </row>
    <row r="965" spans="1:17" hidden="1" x14ac:dyDescent="0.25">
      <c r="A965" t="str">
        <f>Koond_kulud!A1004</f>
        <v>09</v>
      </c>
      <c r="B965" t="str">
        <f>Koond_kulud!B1004</f>
        <v xml:space="preserve">0921205         </v>
      </c>
      <c r="C965" t="str">
        <f>Koond_kulud!C1004</f>
        <v xml:space="preserve"> Vinni-Pajusti Gümnaasium</v>
      </c>
      <c r="D965" t="str">
        <f>Koond_kulud!D1004</f>
        <v>Põhihariduse otsekulud</v>
      </c>
      <c r="E965" t="str">
        <f>Koond_kulud!E1004</f>
        <v>Haridus</v>
      </c>
      <c r="F965" t="str">
        <f>Koond_kulud!F1004</f>
        <v>Vinni-Pajusti Gümnaasium</v>
      </c>
      <c r="G965" t="str">
        <f>Koond_kulud!G1004</f>
        <v>Võrguseadmed</v>
      </c>
      <c r="H965">
        <f>Koond_kulud!H1004</f>
        <v>1000</v>
      </c>
      <c r="I965" t="str">
        <f>Koond_kulud!I1004</f>
        <v>Sisevõrgu korrastamine ja uuendamine</v>
      </c>
      <c r="J965">
        <f>Koond_kulud!J1004</f>
        <v>5514</v>
      </c>
      <c r="K965" t="str">
        <f>Koond_kulud!K1004</f>
        <v>Info- ja kommunikatsioonitehnoliigised kulud</v>
      </c>
      <c r="L965">
        <f>Koond_kulud!L1004</f>
        <v>55</v>
      </c>
      <c r="M965" t="str">
        <f>Koond_kulud!M1004</f>
        <v>55</v>
      </c>
      <c r="N965" t="str">
        <f>Koond_kulud!N1004</f>
        <v>Muud tegevuskulud</v>
      </c>
      <c r="O965" t="str">
        <f>Koond_kulud!O1004</f>
        <v>Majandamiskulud</v>
      </c>
      <c r="P965" t="str">
        <f>Koond_kulud!P1004</f>
        <v>Põhitegevuse kulu</v>
      </c>
      <c r="Q965">
        <f>Koond_kulud!Q1004</f>
        <v>0</v>
      </c>
    </row>
    <row r="966" spans="1:17" hidden="1" x14ac:dyDescent="0.25">
      <c r="A966" t="str">
        <f>Koond_kulud!A1005</f>
        <v>09</v>
      </c>
      <c r="B966" t="str">
        <f>Koond_kulud!B1005</f>
        <v xml:space="preserve">0921205         </v>
      </c>
      <c r="C966" t="str">
        <f>Koond_kulud!C1005</f>
        <v xml:space="preserve"> Vinni-Pajusti Gümnaasium</v>
      </c>
      <c r="D966" t="str">
        <f>Koond_kulud!D1005</f>
        <v>Põhihariduse otsekulud</v>
      </c>
      <c r="E966" t="str">
        <f>Koond_kulud!E1005</f>
        <v>Haridus</v>
      </c>
      <c r="F966" t="str">
        <f>Koond_kulud!F1005</f>
        <v>Vinni-Pajusti Gümnaasium</v>
      </c>
      <c r="G966" t="str">
        <f>Koond_kulud!G1005</f>
        <v>Klassimööbel</v>
      </c>
      <c r="H966">
        <f>Koond_kulud!H1005</f>
        <v>8500</v>
      </c>
      <c r="I966" t="str">
        <f>Koond_kulud!I1005</f>
        <v>Õppevahendite hoiustamise kapid (6 klassi)</v>
      </c>
      <c r="J966">
        <f>Koond_kulud!J1005</f>
        <v>5515</v>
      </c>
      <c r="K966" t="str">
        <f>Koond_kulud!K1005</f>
        <v>Inventari kulud, v.a infotehnoloogia ja kaitseotstarbelised kulud</v>
      </c>
      <c r="L966">
        <f>Koond_kulud!L1005</f>
        <v>55</v>
      </c>
      <c r="M966" t="str">
        <f>Koond_kulud!M1005</f>
        <v>55</v>
      </c>
      <c r="N966" t="str">
        <f>Koond_kulud!N1005</f>
        <v>Muud tegevuskulud</v>
      </c>
      <c r="O966" t="str">
        <f>Koond_kulud!O1005</f>
        <v>Majandamiskulud</v>
      </c>
      <c r="P966" t="str">
        <f>Koond_kulud!P1005</f>
        <v>Põhitegevuse kulu</v>
      </c>
      <c r="Q966">
        <f>Koond_kulud!Q1005</f>
        <v>0</v>
      </c>
    </row>
    <row r="967" spans="1:17" hidden="1" x14ac:dyDescent="0.25">
      <c r="A967" t="str">
        <f>Koond_kulud!A1006</f>
        <v>09</v>
      </c>
      <c r="B967" t="str">
        <f>Koond_kulud!B1006</f>
        <v xml:space="preserve">0921205         </v>
      </c>
      <c r="C967" t="str">
        <f>Koond_kulud!C1006</f>
        <v xml:space="preserve"> Vinni-Pajusti Gümnaasium</v>
      </c>
      <c r="D967" t="str">
        <f>Koond_kulud!D1006</f>
        <v>Põhihariduse otsekulud</v>
      </c>
      <c r="E967" t="str">
        <f>Koond_kulud!E1006</f>
        <v>Haridus</v>
      </c>
      <c r="F967" t="str">
        <f>Koond_kulud!F1006</f>
        <v>Vinni-Pajusti Gümnaasium</v>
      </c>
      <c r="G967" t="str">
        <f>Koond_kulud!G1006</f>
        <v>Arvutipargi uuendus</v>
      </c>
      <c r="H967">
        <f>Koond_kulud!H1006</f>
        <v>2500</v>
      </c>
      <c r="I967" t="str">
        <f>Koond_kulud!I1006</f>
        <v xml:space="preserve">Vananevad arvutid vajavad uuendust ja vahetamist </v>
      </c>
      <c r="J967">
        <f>Koond_kulud!J1006</f>
        <v>5514</v>
      </c>
      <c r="K967" t="str">
        <f>Koond_kulud!K1006</f>
        <v>Info- ja kommunikatsioonitehnoliigised kulud</v>
      </c>
      <c r="L967">
        <f>Koond_kulud!L1006</f>
        <v>55</v>
      </c>
      <c r="M967" t="str">
        <f>Koond_kulud!M1006</f>
        <v>55</v>
      </c>
      <c r="N967" t="str">
        <f>Koond_kulud!N1006</f>
        <v>Muud tegevuskulud</v>
      </c>
      <c r="O967" t="str">
        <f>Koond_kulud!O1006</f>
        <v>Majandamiskulud</v>
      </c>
      <c r="P967" t="str">
        <f>Koond_kulud!P1006</f>
        <v>Põhitegevuse kulu</v>
      </c>
      <c r="Q967">
        <f>Koond_kulud!Q1006</f>
        <v>0</v>
      </c>
    </row>
    <row r="968" spans="1:17" hidden="1" x14ac:dyDescent="0.25">
      <c r="A968" t="str">
        <f>Koond_kulud!A1007</f>
        <v>09</v>
      </c>
      <c r="B968" t="str">
        <f>Koond_kulud!B1007</f>
        <v xml:space="preserve">0921205         </v>
      </c>
      <c r="C968" t="str">
        <f>Koond_kulud!C1007</f>
        <v xml:space="preserve"> Vinni-Pajusti Gümnaasium</v>
      </c>
      <c r="D968" t="str">
        <f>Koond_kulud!D1007</f>
        <v>Põhihariduse otsekulud</v>
      </c>
      <c r="E968" t="str">
        <f>Koond_kulud!E1007</f>
        <v>Haridus</v>
      </c>
      <c r="F968" t="str">
        <f>Koond_kulud!F1007</f>
        <v>Vinni-Pajusti Gümnaasium</v>
      </c>
      <c r="G968" t="str">
        <f>Koond_kulud!G1007</f>
        <v>Valveseadmed</v>
      </c>
      <c r="H968">
        <f>Koond_kulud!H1007</f>
        <v>1000</v>
      </c>
      <c r="I968" t="str">
        <f>Koond_kulud!I1007</f>
        <v>Valveseadmete korrastamine ja uuendamine</v>
      </c>
      <c r="J968">
        <f>Koond_kulud!J1007</f>
        <v>5511</v>
      </c>
      <c r="K968" t="str">
        <f>Koond_kulud!K1007</f>
        <v>Kinnistute, hoonete ja ruumide majandamiskulud</v>
      </c>
      <c r="L968">
        <f>Koond_kulud!L1007</f>
        <v>55</v>
      </c>
      <c r="M968" t="str">
        <f>Koond_kulud!M1007</f>
        <v>55</v>
      </c>
      <c r="N968" t="str">
        <f>Koond_kulud!N1007</f>
        <v>Muud tegevuskulud</v>
      </c>
      <c r="O968" t="str">
        <f>Koond_kulud!O1007</f>
        <v>Majandamiskulud</v>
      </c>
      <c r="P968" t="str">
        <f>Koond_kulud!P1007</f>
        <v>Põhitegevuse kulu</v>
      </c>
      <c r="Q968">
        <f>Koond_kulud!Q1007</f>
        <v>0</v>
      </c>
    </row>
    <row r="969" spans="1:17" hidden="1" x14ac:dyDescent="0.25">
      <c r="A969" t="str">
        <f>Koond_kulud!A1008</f>
        <v>09</v>
      </c>
      <c r="B969" t="str">
        <f>Koond_kulud!B1008</f>
        <v xml:space="preserve">0921205         </v>
      </c>
      <c r="C969" t="str">
        <f>Koond_kulud!C1008</f>
        <v xml:space="preserve"> Vinni-Pajusti Gümnaasium</v>
      </c>
      <c r="D969" t="str">
        <f>Koond_kulud!D1008</f>
        <v>Põhihariduse otsekulud</v>
      </c>
      <c r="E969" t="str">
        <f>Koond_kulud!E1008</f>
        <v>Haridus</v>
      </c>
      <c r="F969" t="str">
        <f>Koond_kulud!F1008</f>
        <v>Vinni-Pajusti Gümnaasium</v>
      </c>
      <c r="G969" t="str">
        <f>Koond_kulud!G1008</f>
        <v>Infotabloo</v>
      </c>
      <c r="H969">
        <f>Koond_kulud!H1008</f>
        <v>8000</v>
      </c>
      <c r="I969" t="str">
        <f>Koond_kulud!I1008</f>
        <v>Info edastamine õpilastele, õpetajatele ja vanematele</v>
      </c>
      <c r="J969">
        <f>Koond_kulud!J1008</f>
        <v>5515</v>
      </c>
      <c r="K969" t="str">
        <f>Koond_kulud!K1008</f>
        <v>Inventari kulud, v.a infotehnoloogia ja kaitseotstarbelised kulud</v>
      </c>
      <c r="L969">
        <f>Koond_kulud!L1008</f>
        <v>55</v>
      </c>
      <c r="M969" t="str">
        <f>Koond_kulud!M1008</f>
        <v>55</v>
      </c>
      <c r="N969" t="str">
        <f>Koond_kulud!N1008</f>
        <v>Muud tegevuskulud</v>
      </c>
      <c r="O969" t="str">
        <f>Koond_kulud!O1008</f>
        <v>Majandamiskulud</v>
      </c>
      <c r="P969" t="str">
        <f>Koond_kulud!P1008</f>
        <v>Põhitegevuse kulu</v>
      </c>
      <c r="Q969">
        <f>Koond_kulud!Q1008</f>
        <v>0</v>
      </c>
    </row>
    <row r="970" spans="1:17" hidden="1" x14ac:dyDescent="0.25">
      <c r="A970" t="str">
        <f>Koond_kulud!A1009</f>
        <v>09</v>
      </c>
      <c r="B970" t="str">
        <f>Koond_kulud!B1009</f>
        <v xml:space="preserve">0921205         </v>
      </c>
      <c r="C970" t="str">
        <f>Koond_kulud!C1009</f>
        <v xml:space="preserve"> Vinni-Pajusti Gümnaasium</v>
      </c>
      <c r="D970" t="str">
        <f>Koond_kulud!D1009</f>
        <v>Põhihariduse otsekulud</v>
      </c>
      <c r="E970" t="str">
        <f>Koond_kulud!E1009</f>
        <v>Haridus</v>
      </c>
      <c r="F970" t="str">
        <f>Koond_kulud!F1009</f>
        <v>Vinni-Pajusti Gümnaasium</v>
      </c>
      <c r="G970" t="str">
        <f>Koond_kulud!G1009</f>
        <v>Pedagoogilised koolitused</v>
      </c>
      <c r="H970">
        <f>Koond_kulud!H1009</f>
        <v>7036</v>
      </c>
      <c r="I970" t="str">
        <f>Koond_kulud!I1009</f>
        <v>Ped.</v>
      </c>
      <c r="J970">
        <f>Koond_kulud!J1009</f>
        <v>5504</v>
      </c>
      <c r="K970" t="str">
        <f>Koond_kulud!K1009</f>
        <v>Koolituskulud</v>
      </c>
      <c r="L970">
        <f>Koond_kulud!L1009</f>
        <v>55</v>
      </c>
      <c r="M970" t="str">
        <f>Koond_kulud!M1009</f>
        <v>55</v>
      </c>
      <c r="N970" t="str">
        <f>Koond_kulud!N1009</f>
        <v>Muud tegevuskulud</v>
      </c>
      <c r="O970" t="str">
        <f>Koond_kulud!O1009</f>
        <v>Majandamiskulud</v>
      </c>
      <c r="P970" t="str">
        <f>Koond_kulud!P1009</f>
        <v>Põhitegevuse kulu</v>
      </c>
      <c r="Q970">
        <f>Koond_kulud!Q1009</f>
        <v>0</v>
      </c>
    </row>
    <row r="971" spans="1:17" hidden="1" x14ac:dyDescent="0.25">
      <c r="A971" t="str">
        <f>Koond_kulud!A1010</f>
        <v>09</v>
      </c>
      <c r="B971" t="str">
        <f>Koond_kulud!B1010</f>
        <v xml:space="preserve">0921205         </v>
      </c>
      <c r="C971" t="str">
        <f>Koond_kulud!C1010</f>
        <v xml:space="preserve"> Vinni-Pajusti Gümnaasium</v>
      </c>
      <c r="D971" t="str">
        <f>Koond_kulud!D1010</f>
        <v>Põhihariduse otsekulud</v>
      </c>
      <c r="E971" t="str">
        <f>Koond_kulud!E1010</f>
        <v>Haridus</v>
      </c>
      <c r="F971" t="str">
        <f>Koond_kulud!F1010</f>
        <v>Vinni-Pajusti Gümnaasium</v>
      </c>
      <c r="G971" t="str">
        <f>Koond_kulud!G1010</f>
        <v>Pedagoogilised õppevahendid</v>
      </c>
      <c r="H971">
        <f>Koond_kulud!H1010</f>
        <v>22971</v>
      </c>
      <c r="I971" t="str">
        <f>Koond_kulud!I1010</f>
        <v>Ped.</v>
      </c>
      <c r="J971">
        <f>Koond_kulud!J1010</f>
        <v>5524</v>
      </c>
      <c r="K971" t="str">
        <f>Koond_kulud!K1010</f>
        <v>Õppevahendid</v>
      </c>
      <c r="L971">
        <f>Koond_kulud!L1010</f>
        <v>55</v>
      </c>
      <c r="M971" t="str">
        <f>Koond_kulud!M1010</f>
        <v>55</v>
      </c>
      <c r="N971" t="str">
        <f>Koond_kulud!N1010</f>
        <v>Muud tegevuskulud</v>
      </c>
      <c r="O971" t="str">
        <f>Koond_kulud!O1010</f>
        <v>Majandamiskulud</v>
      </c>
      <c r="P971" t="str">
        <f>Koond_kulud!P1010</f>
        <v>Põhitegevuse kulu</v>
      </c>
      <c r="Q971">
        <f>Koond_kulud!Q1010</f>
        <v>0</v>
      </c>
    </row>
    <row r="972" spans="1:17" hidden="1" x14ac:dyDescent="0.25">
      <c r="A972" t="str">
        <f>Koond_kulud!A1011</f>
        <v>09</v>
      </c>
      <c r="B972" t="str">
        <f>Koond_kulud!B1011</f>
        <v xml:space="preserve">0921206         </v>
      </c>
      <c r="C972" t="str">
        <f>Koond_kulud!C1011</f>
        <v xml:space="preserve"> Kohatasud</v>
      </c>
      <c r="D972" t="str">
        <f>Koond_kulud!D1011</f>
        <v>Põhihariduse otsekulud</v>
      </c>
      <c r="E972" t="str">
        <f>Koond_kulud!E1011</f>
        <v>Haridus</v>
      </c>
      <c r="F972" t="str">
        <f>Koond_kulud!F1011</f>
        <v>Haridusnõunik</v>
      </c>
      <c r="G972" t="str">
        <f>Koond_kulud!G1011</f>
        <v xml:space="preserve">Kohatasud </v>
      </c>
      <c r="H972">
        <f>Koond_kulud!H1011</f>
        <v>87579</v>
      </c>
      <c r="I972" t="str">
        <f>Koond_kulud!I1011</f>
        <v>põhikool</v>
      </c>
      <c r="J972">
        <f>Koond_kulud!J1011</f>
        <v>5524</v>
      </c>
      <c r="K972" t="str">
        <f>Koond_kulud!K1011</f>
        <v>Õppevahendid</v>
      </c>
      <c r="L972">
        <f>Koond_kulud!L1011</f>
        <v>55</v>
      </c>
      <c r="M972" t="str">
        <f>Koond_kulud!M1011</f>
        <v>55</v>
      </c>
      <c r="N972" t="str">
        <f>Koond_kulud!N1011</f>
        <v>Muud tegevuskulud</v>
      </c>
      <c r="O972" t="str">
        <f>Koond_kulud!O1011</f>
        <v>Majandamiskulud</v>
      </c>
      <c r="P972" t="str">
        <f>Koond_kulud!P1011</f>
        <v>Põhitegevuse kulu</v>
      </c>
      <c r="Q972">
        <f>Koond_kulud!Q1011</f>
        <v>0</v>
      </c>
    </row>
    <row r="973" spans="1:17" hidden="1" x14ac:dyDescent="0.25">
      <c r="A973" t="str">
        <f>Koond_kulud!A1014</f>
        <v>09</v>
      </c>
      <c r="B973" t="str">
        <f>Koond_kulud!B1014</f>
        <v xml:space="preserve">0921207         </v>
      </c>
      <c r="C973" t="str">
        <f>Koond_kulud!C1014</f>
        <v xml:space="preserve"> Põlula kool</v>
      </c>
      <c r="D973" t="str">
        <f>Koond_kulud!D1014</f>
        <v>Põhihariduse otsekulud</v>
      </c>
      <c r="E973" t="str">
        <f>Koond_kulud!E1014</f>
        <v>Haridus</v>
      </c>
      <c r="F973" t="str">
        <f>Koond_kulud!F1014</f>
        <v>Põlula kool</v>
      </c>
      <c r="G973" t="str">
        <f>Koond_kulud!G1014</f>
        <v>kontoritarbed</v>
      </c>
      <c r="H973">
        <f>Koond_kulud!H1014</f>
        <v>500</v>
      </c>
      <c r="I973">
        <f>Koond_kulud!I1014</f>
        <v>0</v>
      </c>
      <c r="J973">
        <f>Koond_kulud!J1014</f>
        <v>5500</v>
      </c>
      <c r="K973" t="str">
        <f>Koond_kulud!K1014</f>
        <v>Administreerimiskulud</v>
      </c>
      <c r="L973">
        <f>Koond_kulud!L1014</f>
        <v>55</v>
      </c>
      <c r="M973" t="str">
        <f>Koond_kulud!M1014</f>
        <v>55</v>
      </c>
      <c r="N973" t="str">
        <f>Koond_kulud!N1014</f>
        <v>Muud tegevuskulud</v>
      </c>
      <c r="O973" t="str">
        <f>Koond_kulud!O1014</f>
        <v>Majandamiskulud</v>
      </c>
      <c r="P973" t="str">
        <f>Koond_kulud!P1014</f>
        <v>Põhitegevuse kulu</v>
      </c>
      <c r="Q973">
        <f>Koond_kulud!Q1014</f>
        <v>0</v>
      </c>
    </row>
    <row r="974" spans="1:17" hidden="1" x14ac:dyDescent="0.25">
      <c r="A974" t="str">
        <f>Koond_kulud!A1015</f>
        <v>09</v>
      </c>
      <c r="B974" t="str">
        <f>Koond_kulud!B1015</f>
        <v xml:space="preserve">0921207         </v>
      </c>
      <c r="C974" t="str">
        <f>Koond_kulud!C1015</f>
        <v xml:space="preserve"> Põlula kool</v>
      </c>
      <c r="D974" t="str">
        <f>Koond_kulud!D1015</f>
        <v>Põhihariduse otsekulud</v>
      </c>
      <c r="E974" t="str">
        <f>Koond_kulud!E1015</f>
        <v>Haridus</v>
      </c>
      <c r="F974" t="str">
        <f>Koond_kulud!F1015</f>
        <v>Põlula kool</v>
      </c>
      <c r="G974" t="str">
        <f>Koond_kulud!G1015</f>
        <v>koolitused</v>
      </c>
      <c r="H974">
        <f>Koond_kulud!H1015</f>
        <v>1300</v>
      </c>
      <c r="I974">
        <f>Koond_kulud!I1015</f>
        <v>0</v>
      </c>
      <c r="J974">
        <f>Koond_kulud!J1015</f>
        <v>5504</v>
      </c>
      <c r="K974" t="str">
        <f>Koond_kulud!K1015</f>
        <v>Koolituskulud</v>
      </c>
      <c r="L974">
        <f>Koond_kulud!L1015</f>
        <v>55</v>
      </c>
      <c r="M974" t="str">
        <f>Koond_kulud!M1015</f>
        <v>55</v>
      </c>
      <c r="N974" t="str">
        <f>Koond_kulud!N1015</f>
        <v>Muud tegevuskulud</v>
      </c>
      <c r="O974" t="str">
        <f>Koond_kulud!O1015</f>
        <v>Majandamiskulud</v>
      </c>
      <c r="P974" t="str">
        <f>Koond_kulud!P1015</f>
        <v>Põhitegevuse kulu</v>
      </c>
      <c r="Q974">
        <f>Koond_kulud!Q1015</f>
        <v>0</v>
      </c>
    </row>
    <row r="975" spans="1:17" hidden="1" x14ac:dyDescent="0.25">
      <c r="A975" t="str">
        <f>Koond_kulud!A1016</f>
        <v>09</v>
      </c>
      <c r="B975" t="str">
        <f>Koond_kulud!B1016</f>
        <v xml:space="preserve">0921207         </v>
      </c>
      <c r="C975" t="str">
        <f>Koond_kulud!C1016</f>
        <v xml:space="preserve"> Põlula kool</v>
      </c>
      <c r="D975" t="str">
        <f>Koond_kulud!D1016</f>
        <v>Põhihariduse otsekulud</v>
      </c>
      <c r="E975" t="str">
        <f>Koond_kulud!E1016</f>
        <v>Haridus</v>
      </c>
      <c r="F975" t="str">
        <f>Koond_kulud!F1016</f>
        <v>Põlula kool</v>
      </c>
      <c r="G975" t="str">
        <f>Koond_kulud!G1016</f>
        <v>Pedagoogilised koolitused</v>
      </c>
      <c r="H975">
        <f>Koond_kulud!H1016</f>
        <v>200</v>
      </c>
      <c r="I975" t="str">
        <f>Koond_kulud!I1016</f>
        <v>Ped.</v>
      </c>
      <c r="J975">
        <f>Koond_kulud!J1016</f>
        <v>5504</v>
      </c>
      <c r="K975" t="str">
        <f>Koond_kulud!K1016</f>
        <v>Koolituskulud</v>
      </c>
      <c r="L975">
        <f>Koond_kulud!L1016</f>
        <v>55</v>
      </c>
      <c r="M975" t="str">
        <f>Koond_kulud!M1016</f>
        <v>55</v>
      </c>
      <c r="N975" t="str">
        <f>Koond_kulud!N1016</f>
        <v>Muud tegevuskulud</v>
      </c>
      <c r="O975" t="str">
        <f>Koond_kulud!O1016</f>
        <v>Majandamiskulud</v>
      </c>
      <c r="P975" t="str">
        <f>Koond_kulud!P1016</f>
        <v>Põhitegevuse kulu</v>
      </c>
      <c r="Q975">
        <f>Koond_kulud!Q1016</f>
        <v>0</v>
      </c>
    </row>
    <row r="976" spans="1:17" hidden="1" x14ac:dyDescent="0.25">
      <c r="A976" t="str">
        <f>Koond_kulud!A1017</f>
        <v>09</v>
      </c>
      <c r="B976" t="str">
        <f>Koond_kulud!B1017</f>
        <v xml:space="preserve">0921207         </v>
      </c>
      <c r="C976" t="str">
        <f>Koond_kulud!C1017</f>
        <v xml:space="preserve"> Põlula kool</v>
      </c>
      <c r="D976" t="str">
        <f>Koond_kulud!D1017</f>
        <v>Põhihariduse otsekulud</v>
      </c>
      <c r="E976" t="str">
        <f>Koond_kulud!E1017</f>
        <v>Haridus</v>
      </c>
      <c r="F976" t="str">
        <f>Koond_kulud!F1017</f>
        <v>Põlula kool</v>
      </c>
      <c r="G976" t="str">
        <f>Koond_kulud!G1017</f>
        <v>isikliku auto kasutus</v>
      </c>
      <c r="H976">
        <f>Koond_kulud!H1017</f>
        <v>2750</v>
      </c>
      <c r="I976">
        <f>Koond_kulud!I1017</f>
        <v>0</v>
      </c>
      <c r="J976">
        <f>Koond_kulud!J1017</f>
        <v>5513</v>
      </c>
      <c r="K976" t="str">
        <f>Koond_kulud!K1017</f>
        <v>Sõidukite ülalpidamise kulud</v>
      </c>
      <c r="L976">
        <f>Koond_kulud!L1017</f>
        <v>55</v>
      </c>
      <c r="M976" t="str">
        <f>Koond_kulud!M1017</f>
        <v>55</v>
      </c>
      <c r="N976" t="str">
        <f>Koond_kulud!N1017</f>
        <v>Muud tegevuskulud</v>
      </c>
      <c r="O976" t="str">
        <f>Koond_kulud!O1017</f>
        <v>Majandamiskulud</v>
      </c>
      <c r="P976" t="str">
        <f>Koond_kulud!P1017</f>
        <v>Põhitegevuse kulu</v>
      </c>
      <c r="Q976">
        <f>Koond_kulud!Q1017</f>
        <v>0</v>
      </c>
    </row>
    <row r="977" spans="1:17" hidden="1" x14ac:dyDescent="0.25">
      <c r="A977" t="str">
        <f>Koond_kulud!A1018</f>
        <v>09</v>
      </c>
      <c r="B977" t="str">
        <f>Koond_kulud!B1018</f>
        <v xml:space="preserve">0921207         </v>
      </c>
      <c r="C977" t="str">
        <f>Koond_kulud!C1018</f>
        <v xml:space="preserve"> Põlula kool</v>
      </c>
      <c r="D977" t="str">
        <f>Koond_kulud!D1018</f>
        <v>Põhihariduse otsekulud</v>
      </c>
      <c r="E977" t="str">
        <f>Koond_kulud!E1018</f>
        <v>Haridus</v>
      </c>
      <c r="F977" t="str">
        <f>Koond_kulud!F1018</f>
        <v>Põlula kool</v>
      </c>
      <c r="G977" t="str">
        <f>Koond_kulud!G1018</f>
        <v>autopargi hooldus</v>
      </c>
      <c r="H977">
        <f>Koond_kulud!H1018</f>
        <v>100</v>
      </c>
      <c r="I977">
        <f>Koond_kulud!I1018</f>
        <v>0</v>
      </c>
      <c r="J977">
        <f>Koond_kulud!J1018</f>
        <v>5513</v>
      </c>
      <c r="K977" t="str">
        <f>Koond_kulud!K1018</f>
        <v>Sõidukite ülalpidamise kulud</v>
      </c>
      <c r="L977">
        <f>Koond_kulud!L1018</f>
        <v>55</v>
      </c>
      <c r="M977" t="str">
        <f>Koond_kulud!M1018</f>
        <v>55</v>
      </c>
      <c r="N977" t="str">
        <f>Koond_kulud!N1018</f>
        <v>Muud tegevuskulud</v>
      </c>
      <c r="O977" t="str">
        <f>Koond_kulud!O1018</f>
        <v>Majandamiskulud</v>
      </c>
      <c r="P977" t="str">
        <f>Koond_kulud!P1018</f>
        <v>Põhitegevuse kulu</v>
      </c>
      <c r="Q977">
        <f>Koond_kulud!Q1018</f>
        <v>0</v>
      </c>
    </row>
    <row r="978" spans="1:17" hidden="1" x14ac:dyDescent="0.25">
      <c r="A978" t="str">
        <f>Koond_kulud!A1019</f>
        <v>09</v>
      </c>
      <c r="B978" t="str">
        <f>Koond_kulud!B1019</f>
        <v xml:space="preserve">0921207         </v>
      </c>
      <c r="C978" t="str">
        <f>Koond_kulud!C1019</f>
        <v xml:space="preserve"> Põlula kool</v>
      </c>
      <c r="D978" t="str">
        <f>Koond_kulud!D1019</f>
        <v>Põhihariduse otsekulud</v>
      </c>
      <c r="E978" t="str">
        <f>Koond_kulud!E1019</f>
        <v>Haridus</v>
      </c>
      <c r="F978" t="str">
        <f>Koond_kulud!F1019</f>
        <v>Põlula kool</v>
      </c>
      <c r="G978" t="str">
        <f>Koond_kulud!G1019</f>
        <v>muud ettenägematud kulud 200 eurot</v>
      </c>
      <c r="H978">
        <f>Koond_kulud!H1019</f>
        <v>200</v>
      </c>
      <c r="I978">
        <f>Koond_kulud!I1019</f>
        <v>0</v>
      </c>
      <c r="J978">
        <f>Koond_kulud!J1019</f>
        <v>5515</v>
      </c>
      <c r="K978" t="str">
        <f>Koond_kulud!K1019</f>
        <v>Inventari kulud, v.a infotehnoloogia ja kaitseotstarbelised kulud</v>
      </c>
      <c r="L978">
        <f>Koond_kulud!L1019</f>
        <v>55</v>
      </c>
      <c r="M978" t="str">
        <f>Koond_kulud!M1019</f>
        <v>55</v>
      </c>
      <c r="N978" t="str">
        <f>Koond_kulud!N1019</f>
        <v>Muud tegevuskulud</v>
      </c>
      <c r="O978" t="str">
        <f>Koond_kulud!O1019</f>
        <v>Majandamiskulud</v>
      </c>
      <c r="P978" t="str">
        <f>Koond_kulud!P1019</f>
        <v>Põhitegevuse kulu</v>
      </c>
      <c r="Q978">
        <f>Koond_kulud!Q1019</f>
        <v>0</v>
      </c>
    </row>
    <row r="979" spans="1:17" hidden="1" x14ac:dyDescent="0.25">
      <c r="A979" t="str">
        <f>Koond_kulud!A1020</f>
        <v>09</v>
      </c>
      <c r="B979" t="str">
        <f>Koond_kulud!B1020</f>
        <v xml:space="preserve">0921207         </v>
      </c>
      <c r="C979" t="str">
        <f>Koond_kulud!C1020</f>
        <v xml:space="preserve"> Põlula kool</v>
      </c>
      <c r="D979" t="str">
        <f>Koond_kulud!D1020</f>
        <v>Põhihariduse otsekulud</v>
      </c>
      <c r="E979" t="str">
        <f>Koond_kulud!E1020</f>
        <v>Haridus</v>
      </c>
      <c r="F979" t="str">
        <f>Koond_kulud!F1020</f>
        <v>Põlula kool</v>
      </c>
      <c r="G979" t="str">
        <f>Koond_kulud!G1020</f>
        <v>nõudepesumasina hooldus 200 eurot</v>
      </c>
      <c r="H979">
        <f>Koond_kulud!H1020</f>
        <v>200</v>
      </c>
      <c r="I979">
        <f>Koond_kulud!I1020</f>
        <v>0</v>
      </c>
      <c r="J979">
        <f>Koond_kulud!J1020</f>
        <v>5515</v>
      </c>
      <c r="K979" t="str">
        <f>Koond_kulud!K1020</f>
        <v>Inventari kulud, v.a infotehnoloogia ja kaitseotstarbelised kulud</v>
      </c>
      <c r="L979">
        <f>Koond_kulud!L1020</f>
        <v>55</v>
      </c>
      <c r="M979" t="str">
        <f>Koond_kulud!M1020</f>
        <v>55</v>
      </c>
      <c r="N979" t="str">
        <f>Koond_kulud!N1020</f>
        <v>Muud tegevuskulud</v>
      </c>
      <c r="O979" t="str">
        <f>Koond_kulud!O1020</f>
        <v>Majandamiskulud</v>
      </c>
      <c r="P979" t="str">
        <f>Koond_kulud!P1020</f>
        <v>Põhitegevuse kulu</v>
      </c>
      <c r="Q979">
        <f>Koond_kulud!Q1020</f>
        <v>0</v>
      </c>
    </row>
    <row r="980" spans="1:17" hidden="1" x14ac:dyDescent="0.25">
      <c r="A980" t="str">
        <f>Koond_kulud!A1021</f>
        <v>09</v>
      </c>
      <c r="B980" t="str">
        <f>Koond_kulud!B1021</f>
        <v xml:space="preserve">0921207         </v>
      </c>
      <c r="C980" t="str">
        <f>Koond_kulud!C1021</f>
        <v xml:space="preserve"> Põlula kool</v>
      </c>
      <c r="D980" t="str">
        <f>Koond_kulud!D1021</f>
        <v>Põhihariduse otsekulud</v>
      </c>
      <c r="E980" t="str">
        <f>Koond_kulud!E1021</f>
        <v>Haridus</v>
      </c>
      <c r="F980" t="str">
        <f>Koond_kulud!F1021</f>
        <v>Põlula kool</v>
      </c>
      <c r="G980" t="str">
        <f>Koond_kulud!G1021</f>
        <v>aiakäru soetus tk.1 100 eurot</v>
      </c>
      <c r="H980">
        <f>Koond_kulud!H1021</f>
        <v>100</v>
      </c>
      <c r="I980">
        <f>Koond_kulud!I1021</f>
        <v>0</v>
      </c>
      <c r="J980">
        <f>Koond_kulud!J1021</f>
        <v>5515</v>
      </c>
      <c r="K980" t="str">
        <f>Koond_kulud!K1021</f>
        <v>Inventari kulud, v.a infotehnoloogia ja kaitseotstarbelised kulud</v>
      </c>
      <c r="L980">
        <f>Koond_kulud!L1021</f>
        <v>55</v>
      </c>
      <c r="M980" t="str">
        <f>Koond_kulud!M1021</f>
        <v>55</v>
      </c>
      <c r="N980" t="str">
        <f>Koond_kulud!N1021</f>
        <v>Muud tegevuskulud</v>
      </c>
      <c r="O980" t="str">
        <f>Koond_kulud!O1021</f>
        <v>Majandamiskulud</v>
      </c>
      <c r="P980" t="str">
        <f>Koond_kulud!P1021</f>
        <v>Põhitegevuse kulu</v>
      </c>
      <c r="Q980">
        <f>Koond_kulud!Q1021</f>
        <v>0</v>
      </c>
    </row>
    <row r="981" spans="1:17" hidden="1" x14ac:dyDescent="0.25">
      <c r="A981" t="str">
        <f>Koond_kulud!A1022</f>
        <v>09</v>
      </c>
      <c r="B981" t="str">
        <f>Koond_kulud!B1022</f>
        <v xml:space="preserve">0921207         </v>
      </c>
      <c r="C981" t="str">
        <f>Koond_kulud!C1022</f>
        <v xml:space="preserve"> Põlula kool</v>
      </c>
      <c r="D981" t="str">
        <f>Koond_kulud!D1022</f>
        <v>Põhihariduse otsekulud</v>
      </c>
      <c r="E981" t="str">
        <f>Koond_kulud!E1022</f>
        <v>Haridus</v>
      </c>
      <c r="F981" t="str">
        <f>Koond_kulud!F1022</f>
        <v>Põlula kool</v>
      </c>
      <c r="G981" t="str">
        <f>Koond_kulud!G1022</f>
        <v>murutrimmeri remont 100 eurot</v>
      </c>
      <c r="H981">
        <f>Koond_kulud!H1022</f>
        <v>100</v>
      </c>
      <c r="I981">
        <f>Koond_kulud!I1022</f>
        <v>0</v>
      </c>
      <c r="J981">
        <f>Koond_kulud!J1022</f>
        <v>5515</v>
      </c>
      <c r="K981" t="str">
        <f>Koond_kulud!K1022</f>
        <v>Inventari kulud, v.a infotehnoloogia ja kaitseotstarbelised kulud</v>
      </c>
      <c r="L981">
        <f>Koond_kulud!L1022</f>
        <v>55</v>
      </c>
      <c r="M981" t="str">
        <f>Koond_kulud!M1022</f>
        <v>55</v>
      </c>
      <c r="N981" t="str">
        <f>Koond_kulud!N1022</f>
        <v>Muud tegevuskulud</v>
      </c>
      <c r="O981" t="str">
        <f>Koond_kulud!O1022</f>
        <v>Majandamiskulud</v>
      </c>
      <c r="P981" t="str">
        <f>Koond_kulud!P1022</f>
        <v>Põhitegevuse kulu</v>
      </c>
      <c r="Q981">
        <f>Koond_kulud!Q1022</f>
        <v>0</v>
      </c>
    </row>
    <row r="982" spans="1:17" hidden="1" x14ac:dyDescent="0.25">
      <c r="A982" t="str">
        <f>Koond_kulud!A1023</f>
        <v>09</v>
      </c>
      <c r="B982" t="str">
        <f>Koond_kulud!B1023</f>
        <v xml:space="preserve">0921207         </v>
      </c>
      <c r="C982" t="str">
        <f>Koond_kulud!C1023</f>
        <v xml:space="preserve"> Põlula kool</v>
      </c>
      <c r="D982" t="str">
        <f>Koond_kulud!D1023</f>
        <v>Põhihariduse otsekulud</v>
      </c>
      <c r="E982" t="str">
        <f>Koond_kulud!E1023</f>
        <v>Haridus</v>
      </c>
      <c r="F982" t="str">
        <f>Koond_kulud!F1023</f>
        <v>Põlula kool</v>
      </c>
      <c r="G982" t="str">
        <f>Koond_kulud!G1023</f>
        <v>Toiduained</v>
      </c>
      <c r="H982">
        <f>Koond_kulud!H1023</f>
        <v>3075</v>
      </c>
      <c r="I982">
        <f>Koond_kulud!I1023</f>
        <v>0</v>
      </c>
      <c r="J982">
        <f>Koond_kulud!J1023</f>
        <v>5521</v>
      </c>
      <c r="K982" t="str">
        <f>Koond_kulud!K1023</f>
        <v>Toiduained ja toitlustusteenused</v>
      </c>
      <c r="L982">
        <f>Koond_kulud!L1023</f>
        <v>55</v>
      </c>
      <c r="M982" t="str">
        <f>Koond_kulud!M1023</f>
        <v>55</v>
      </c>
      <c r="N982" t="str">
        <f>Koond_kulud!N1023</f>
        <v>Muud tegevuskulud</v>
      </c>
      <c r="O982" t="str">
        <f>Koond_kulud!O1023</f>
        <v>Majandamiskulud</v>
      </c>
      <c r="P982" t="str">
        <f>Koond_kulud!P1023</f>
        <v>Põhitegevuse kulu</v>
      </c>
      <c r="Q982">
        <f>Koond_kulud!Q1023</f>
        <v>0</v>
      </c>
    </row>
    <row r="983" spans="1:17" hidden="1" x14ac:dyDescent="0.25">
      <c r="A983" t="str">
        <f>Koond_kulud!A1024</f>
        <v>09</v>
      </c>
      <c r="B983" t="str">
        <f>Koond_kulud!B1024</f>
        <v xml:space="preserve">0921207         </v>
      </c>
      <c r="C983" t="str">
        <f>Koond_kulud!C1024</f>
        <v xml:space="preserve"> Põlula kool</v>
      </c>
      <c r="D983" t="str">
        <f>Koond_kulud!D1024</f>
        <v>Põhihariduse otsekulud</v>
      </c>
      <c r="E983" t="str">
        <f>Koond_kulud!E1024</f>
        <v>Haridus</v>
      </c>
      <c r="F983" t="str">
        <f>Koond_kulud!F1024</f>
        <v>Põlula kool</v>
      </c>
      <c r="G983" t="str">
        <f>Koond_kulud!G1024</f>
        <v>Toiduained</v>
      </c>
      <c r="H983">
        <f>Koond_kulud!H1024</f>
        <v>1925</v>
      </c>
      <c r="I983" t="str">
        <f>Koond_kulud!I1024</f>
        <v>Ped.</v>
      </c>
      <c r="J983">
        <f>Koond_kulud!J1024</f>
        <v>5521</v>
      </c>
      <c r="K983" t="str">
        <f>Koond_kulud!K1024</f>
        <v>Toiduained ja toitlustusteenused</v>
      </c>
      <c r="L983">
        <f>Koond_kulud!L1024</f>
        <v>55</v>
      </c>
      <c r="M983" t="str">
        <f>Koond_kulud!M1024</f>
        <v>55</v>
      </c>
      <c r="N983" t="str">
        <f>Koond_kulud!N1024</f>
        <v>Muud tegevuskulud</v>
      </c>
      <c r="O983" t="str">
        <f>Koond_kulud!O1024</f>
        <v>Majandamiskulud</v>
      </c>
      <c r="P983" t="str">
        <f>Koond_kulud!P1024</f>
        <v>Põhitegevuse kulu</v>
      </c>
      <c r="Q983">
        <f>Koond_kulud!Q1024</f>
        <v>0</v>
      </c>
    </row>
    <row r="984" spans="1:17" hidden="1" x14ac:dyDescent="0.25">
      <c r="A984" t="str">
        <f>Koond_kulud!A1025</f>
        <v>09</v>
      </c>
      <c r="B984" t="str">
        <f>Koond_kulud!B1025</f>
        <v xml:space="preserve">0921207         </v>
      </c>
      <c r="C984" t="str">
        <f>Koond_kulud!C1025</f>
        <v xml:space="preserve"> Põlula kool</v>
      </c>
      <c r="D984" t="str">
        <f>Koond_kulud!D1025</f>
        <v>Põhihariduse otsekulud</v>
      </c>
      <c r="E984" t="str">
        <f>Koond_kulud!E1025</f>
        <v>Haridus</v>
      </c>
      <c r="F984" t="str">
        <f>Koond_kulud!F1025</f>
        <v>Põlula kool</v>
      </c>
      <c r="G984" t="str">
        <f>Koond_kulud!G1025</f>
        <v>esmaabivahendid 100 eurot</v>
      </c>
      <c r="H984">
        <f>Koond_kulud!H1025</f>
        <v>100</v>
      </c>
      <c r="I984">
        <f>Koond_kulud!I1025</f>
        <v>0</v>
      </c>
      <c r="J984">
        <f>Koond_kulud!J1025</f>
        <v>5522</v>
      </c>
      <c r="K984" t="str">
        <f>Koond_kulud!K1025</f>
        <v>Meditsiinikulud ja hügieenitarbed</v>
      </c>
      <c r="L984">
        <f>Koond_kulud!L1025</f>
        <v>55</v>
      </c>
      <c r="M984" t="str">
        <f>Koond_kulud!M1025</f>
        <v>55</v>
      </c>
      <c r="N984" t="str">
        <f>Koond_kulud!N1025</f>
        <v>Muud tegevuskulud</v>
      </c>
      <c r="O984" t="str">
        <f>Koond_kulud!O1025</f>
        <v>Majandamiskulud</v>
      </c>
      <c r="P984" t="str">
        <f>Koond_kulud!P1025</f>
        <v>Põhitegevuse kulu</v>
      </c>
      <c r="Q984">
        <f>Koond_kulud!Q1025</f>
        <v>0</v>
      </c>
    </row>
    <row r="985" spans="1:17" hidden="1" x14ac:dyDescent="0.25">
      <c r="A985" t="str">
        <f>Koond_kulud!A1026</f>
        <v>09</v>
      </c>
      <c r="B985" t="str">
        <f>Koond_kulud!B1026</f>
        <v xml:space="preserve">0921207         </v>
      </c>
      <c r="C985" t="str">
        <f>Koond_kulud!C1026</f>
        <v xml:space="preserve"> Põlula kool</v>
      </c>
      <c r="D985" t="str">
        <f>Koond_kulud!D1026</f>
        <v>Põhihariduse otsekulud</v>
      </c>
      <c r="E985" t="str">
        <f>Koond_kulud!E1026</f>
        <v>Haridus</v>
      </c>
      <c r="F985" t="str">
        <f>Koond_kulud!F1026</f>
        <v>Põlula kool</v>
      </c>
      <c r="G985" t="str">
        <f>Koond_kulud!G1026</f>
        <v>muud õppevahendid 300 eurot</v>
      </c>
      <c r="H985">
        <f>Koond_kulud!H1026</f>
        <v>300</v>
      </c>
      <c r="I985">
        <f>Koond_kulud!I1026</f>
        <v>0</v>
      </c>
      <c r="J985">
        <f>Koond_kulud!J1026</f>
        <v>5524</v>
      </c>
      <c r="K985" t="str">
        <f>Koond_kulud!K1026</f>
        <v>Õppevahendid</v>
      </c>
      <c r="L985">
        <f>Koond_kulud!L1026</f>
        <v>55</v>
      </c>
      <c r="M985" t="str">
        <f>Koond_kulud!M1026</f>
        <v>55</v>
      </c>
      <c r="N985" t="str">
        <f>Koond_kulud!N1026</f>
        <v>Muud tegevuskulud</v>
      </c>
      <c r="O985" t="str">
        <f>Koond_kulud!O1026</f>
        <v>Majandamiskulud</v>
      </c>
      <c r="P985" t="str">
        <f>Koond_kulud!P1026</f>
        <v>Põhitegevuse kulu</v>
      </c>
      <c r="Q985">
        <f>Koond_kulud!Q1026</f>
        <v>0</v>
      </c>
    </row>
    <row r="986" spans="1:17" hidden="1" x14ac:dyDescent="0.25">
      <c r="A986" t="str">
        <f>Koond_kulud!A1027</f>
        <v>09</v>
      </c>
      <c r="B986" t="str">
        <f>Koond_kulud!B1027</f>
        <v xml:space="preserve">0921207         </v>
      </c>
      <c r="C986" t="str">
        <f>Koond_kulud!C1027</f>
        <v xml:space="preserve"> Põlula kool</v>
      </c>
      <c r="D986" t="str">
        <f>Koond_kulud!D1027</f>
        <v>Põhihariduse otsekulud</v>
      </c>
      <c r="E986" t="str">
        <f>Koond_kulud!E1027</f>
        <v>Haridus</v>
      </c>
      <c r="F986" t="str">
        <f>Koond_kulud!F1027</f>
        <v>Põlula kool</v>
      </c>
      <c r="G986" t="str">
        <f>Koond_kulud!G1027</f>
        <v>värvitoonerid tk.3 300 eurot</v>
      </c>
      <c r="H986">
        <f>Koond_kulud!H1027</f>
        <v>300</v>
      </c>
      <c r="I986">
        <f>Koond_kulud!I1027</f>
        <v>0</v>
      </c>
      <c r="J986">
        <f>Koond_kulud!J1027</f>
        <v>5500</v>
      </c>
      <c r="K986" t="str">
        <f>Koond_kulud!K1027</f>
        <v>Administreerimiskulud</v>
      </c>
      <c r="L986">
        <f>Koond_kulud!L1027</f>
        <v>55</v>
      </c>
      <c r="M986" t="str">
        <f>Koond_kulud!M1027</f>
        <v>55</v>
      </c>
      <c r="N986" t="str">
        <f>Koond_kulud!N1027</f>
        <v>Muud tegevuskulud</v>
      </c>
      <c r="O986" t="str">
        <f>Koond_kulud!O1027</f>
        <v>Majandamiskulud</v>
      </c>
      <c r="P986" t="str">
        <f>Koond_kulud!P1027</f>
        <v>Põhitegevuse kulu</v>
      </c>
      <c r="Q986">
        <f>Koond_kulud!Q1027</f>
        <v>0</v>
      </c>
    </row>
    <row r="987" spans="1:17" hidden="1" x14ac:dyDescent="0.25">
      <c r="A987" t="str">
        <f>Koond_kulud!A1028</f>
        <v>09</v>
      </c>
      <c r="B987" t="str">
        <f>Koond_kulud!B1028</f>
        <v xml:space="preserve">0921207         </v>
      </c>
      <c r="C987" t="str">
        <f>Koond_kulud!C1028</f>
        <v xml:space="preserve"> Põlula kool</v>
      </c>
      <c r="D987" t="str">
        <f>Koond_kulud!D1028</f>
        <v>Põhihariduse otsekulud</v>
      </c>
      <c r="E987" t="str">
        <f>Koond_kulud!E1028</f>
        <v>Haridus</v>
      </c>
      <c r="F987" t="str">
        <f>Koond_kulud!F1028</f>
        <v>Põlula kool</v>
      </c>
      <c r="G987" t="str">
        <f>Koond_kulud!G1028</f>
        <v>tavatoonerid tk. 5  400 eurot</v>
      </c>
      <c r="H987">
        <f>Koond_kulud!H1028</f>
        <v>400</v>
      </c>
      <c r="I987">
        <f>Koond_kulud!I1028</f>
        <v>0</v>
      </c>
      <c r="J987">
        <f>Koond_kulud!J1028</f>
        <v>5500</v>
      </c>
      <c r="K987" t="str">
        <f>Koond_kulud!K1028</f>
        <v>Administreerimiskulud</v>
      </c>
      <c r="L987">
        <f>Koond_kulud!L1028</f>
        <v>55</v>
      </c>
      <c r="M987" t="str">
        <f>Koond_kulud!M1028</f>
        <v>55</v>
      </c>
      <c r="N987" t="str">
        <f>Koond_kulud!N1028</f>
        <v>Muud tegevuskulud</v>
      </c>
      <c r="O987" t="str">
        <f>Koond_kulud!O1028</f>
        <v>Majandamiskulud</v>
      </c>
      <c r="P987" t="str">
        <f>Koond_kulud!P1028</f>
        <v>Põhitegevuse kulu</v>
      </c>
      <c r="Q987">
        <f>Koond_kulud!Q1028</f>
        <v>0</v>
      </c>
    </row>
    <row r="988" spans="1:17" hidden="1" x14ac:dyDescent="0.25">
      <c r="A988" t="str">
        <f>Koond_kulud!A1029</f>
        <v>09</v>
      </c>
      <c r="B988" t="str">
        <f>Koond_kulud!B1029</f>
        <v xml:space="preserve">0921207         </v>
      </c>
      <c r="C988" t="str">
        <f>Koond_kulud!C1029</f>
        <v xml:space="preserve"> Põlula kool</v>
      </c>
      <c r="D988" t="str">
        <f>Koond_kulud!D1029</f>
        <v>Põhihariduse otsekulud</v>
      </c>
      <c r="E988" t="str">
        <f>Koond_kulud!E1029</f>
        <v>Haridus</v>
      </c>
      <c r="F988" t="str">
        <f>Koond_kulud!F1029</f>
        <v>Põlula kool</v>
      </c>
      <c r="G988" t="str">
        <f>Koond_kulud!G1029</f>
        <v>tööõpetuse abivahendid- 500 eurot</v>
      </c>
      <c r="H988">
        <f>Koond_kulud!H1029</f>
        <v>500</v>
      </c>
      <c r="I988">
        <f>Koond_kulud!I1029</f>
        <v>0</v>
      </c>
      <c r="J988">
        <f>Koond_kulud!J1029</f>
        <v>5524</v>
      </c>
      <c r="K988" t="str">
        <f>Koond_kulud!K1029</f>
        <v>Õppevahendid</v>
      </c>
      <c r="L988">
        <f>Koond_kulud!L1029</f>
        <v>55</v>
      </c>
      <c r="M988" t="str">
        <f>Koond_kulud!M1029</f>
        <v>55</v>
      </c>
      <c r="N988" t="str">
        <f>Koond_kulud!N1029</f>
        <v>Muud tegevuskulud</v>
      </c>
      <c r="O988" t="str">
        <f>Koond_kulud!O1029</f>
        <v>Majandamiskulud</v>
      </c>
      <c r="P988" t="str">
        <f>Koond_kulud!P1029</f>
        <v>Põhitegevuse kulu</v>
      </c>
      <c r="Q988">
        <f>Koond_kulud!Q1029</f>
        <v>0</v>
      </c>
    </row>
    <row r="989" spans="1:17" hidden="1" x14ac:dyDescent="0.25">
      <c r="A989" t="str">
        <f>Koond_kulud!A1030</f>
        <v>09</v>
      </c>
      <c r="B989" t="str">
        <f>Koond_kulud!B1030</f>
        <v xml:space="preserve">0921207         </v>
      </c>
      <c r="C989" t="str">
        <f>Koond_kulud!C1030</f>
        <v xml:space="preserve"> Põlula kool</v>
      </c>
      <c r="D989" t="str">
        <f>Koond_kulud!D1030</f>
        <v>Põhihariduse otsekulud</v>
      </c>
      <c r="E989" t="str">
        <f>Koond_kulud!E1030</f>
        <v>Haridus</v>
      </c>
      <c r="F989" t="str">
        <f>Koond_kulud!F1030</f>
        <v>Põlula kool</v>
      </c>
      <c r="G989" t="str">
        <f>Koond_kulud!G1030</f>
        <v>õpikud, töövihikud  300 eurot</v>
      </c>
      <c r="H989">
        <f>Koond_kulud!H1030</f>
        <v>300</v>
      </c>
      <c r="I989">
        <f>Koond_kulud!I1030</f>
        <v>0</v>
      </c>
      <c r="J989">
        <f>Koond_kulud!J1030</f>
        <v>5524</v>
      </c>
      <c r="K989" t="str">
        <f>Koond_kulud!K1030</f>
        <v>Õppevahendid</v>
      </c>
      <c r="L989">
        <f>Koond_kulud!L1030</f>
        <v>55</v>
      </c>
      <c r="M989" t="str">
        <f>Koond_kulud!M1030</f>
        <v>55</v>
      </c>
      <c r="N989" t="str">
        <f>Koond_kulud!N1030</f>
        <v>Muud tegevuskulud</v>
      </c>
      <c r="O989" t="str">
        <f>Koond_kulud!O1030</f>
        <v>Majandamiskulud</v>
      </c>
      <c r="P989" t="str">
        <f>Koond_kulud!P1030</f>
        <v>Põhitegevuse kulu</v>
      </c>
      <c r="Q989">
        <f>Koond_kulud!Q1030</f>
        <v>0</v>
      </c>
    </row>
    <row r="990" spans="1:17" hidden="1" x14ac:dyDescent="0.25">
      <c r="A990" t="str">
        <f>Koond_kulud!A1031</f>
        <v>09</v>
      </c>
      <c r="B990" t="str">
        <f>Koond_kulud!B1031</f>
        <v xml:space="preserve">0921207         </v>
      </c>
      <c r="C990" t="str">
        <f>Koond_kulud!C1031</f>
        <v xml:space="preserve"> Põlula kool</v>
      </c>
      <c r="D990" t="str">
        <f>Koond_kulud!D1031</f>
        <v>Põhihariduse otsekulud</v>
      </c>
      <c r="E990" t="str">
        <f>Koond_kulud!E1031</f>
        <v>Haridus</v>
      </c>
      <c r="F990" t="str">
        <f>Koond_kulud!F1031</f>
        <v>Põlula kool</v>
      </c>
      <c r="G990" t="str">
        <f>Koond_kulud!G1031</f>
        <v>koopiapaber 100 eurot, värviline paber 100 eurot, kunstitarbed 600 eurot</v>
      </c>
      <c r="H990">
        <f>Koond_kulud!H1031</f>
        <v>800</v>
      </c>
      <c r="I990">
        <f>Koond_kulud!I1031</f>
        <v>0</v>
      </c>
      <c r="J990">
        <f>Koond_kulud!J1031</f>
        <v>5524</v>
      </c>
      <c r="K990" t="str">
        <f>Koond_kulud!K1031</f>
        <v>Õppevahendid</v>
      </c>
      <c r="L990">
        <f>Koond_kulud!L1031</f>
        <v>55</v>
      </c>
      <c r="M990" t="str">
        <f>Koond_kulud!M1031</f>
        <v>55</v>
      </c>
      <c r="N990" t="str">
        <f>Koond_kulud!N1031</f>
        <v>Muud tegevuskulud</v>
      </c>
      <c r="O990" t="str">
        <f>Koond_kulud!O1031</f>
        <v>Majandamiskulud</v>
      </c>
      <c r="P990" t="str">
        <f>Koond_kulud!P1031</f>
        <v>Põhitegevuse kulu</v>
      </c>
      <c r="Q990">
        <f>Koond_kulud!Q1031</f>
        <v>0</v>
      </c>
    </row>
    <row r="991" spans="1:17" hidden="1" x14ac:dyDescent="0.25">
      <c r="A991" t="str">
        <f>Koond_kulud!A1032</f>
        <v>09</v>
      </c>
      <c r="B991" t="str">
        <f>Koond_kulud!B1032</f>
        <v xml:space="preserve">0921207         </v>
      </c>
      <c r="C991" t="str">
        <f>Koond_kulud!C1032</f>
        <v xml:space="preserve"> Põlula kool</v>
      </c>
      <c r="D991" t="str">
        <f>Koond_kulud!D1032</f>
        <v>Põhihariduse otsekulud</v>
      </c>
      <c r="E991" t="str">
        <f>Koond_kulud!E1032</f>
        <v>Haridus</v>
      </c>
      <c r="F991" t="str">
        <f>Koond_kulud!F1032</f>
        <v>Põlula kool</v>
      </c>
      <c r="G991" t="str">
        <f>Koond_kulud!G1032</f>
        <v>Ürituste transport</v>
      </c>
      <c r="H991">
        <f>Koond_kulud!H1032</f>
        <v>1000</v>
      </c>
      <c r="I991">
        <f>Koond_kulud!I1032</f>
        <v>0</v>
      </c>
      <c r="J991">
        <f>Koond_kulud!J1032</f>
        <v>5525</v>
      </c>
      <c r="K991" t="str">
        <f>Koond_kulud!K1032</f>
        <v>Kommunikatsiooni-, kultuuri- ja vaba aja sisustamise kulud</v>
      </c>
      <c r="L991">
        <f>Koond_kulud!L1032</f>
        <v>55</v>
      </c>
      <c r="M991" t="str">
        <f>Koond_kulud!M1032</f>
        <v>55</v>
      </c>
      <c r="N991" t="str">
        <f>Koond_kulud!N1032</f>
        <v>Muud tegevuskulud</v>
      </c>
      <c r="O991" t="str">
        <f>Koond_kulud!O1032</f>
        <v>Majandamiskulud</v>
      </c>
      <c r="P991" t="str">
        <f>Koond_kulud!P1032</f>
        <v>Põhitegevuse kulu</v>
      </c>
      <c r="Q991">
        <f>Koond_kulud!Q1032</f>
        <v>0</v>
      </c>
    </row>
    <row r="992" spans="1:17" hidden="1" x14ac:dyDescent="0.25">
      <c r="A992" t="str">
        <f>Koond_kulud!A1033</f>
        <v>09</v>
      </c>
      <c r="B992" t="str">
        <f>Koond_kulud!B1033</f>
        <v xml:space="preserve">0921207         </v>
      </c>
      <c r="C992" t="str">
        <f>Koond_kulud!C1033</f>
        <v xml:space="preserve"> Põlula kool</v>
      </c>
      <c r="D992" t="str">
        <f>Koond_kulud!D1033</f>
        <v>Põhihariduse otsekulud</v>
      </c>
      <c r="E992" t="str">
        <f>Koond_kulud!E1033</f>
        <v>Haridus</v>
      </c>
      <c r="F992" t="str">
        <f>Koond_kulud!F1033</f>
        <v>Põlula kool</v>
      </c>
      <c r="G992" t="str">
        <f>Koond_kulud!G1033</f>
        <v>hoonete kindlustus</v>
      </c>
      <c r="H992">
        <f>Koond_kulud!H1033</f>
        <v>600</v>
      </c>
      <c r="I992">
        <f>Koond_kulud!I1033</f>
        <v>0</v>
      </c>
      <c r="J992">
        <f>Koond_kulud!J1033</f>
        <v>5511</v>
      </c>
      <c r="K992" t="str">
        <f>Koond_kulud!K1033</f>
        <v>Kinnistute, hoonete ja ruumide majandamiskulud</v>
      </c>
      <c r="L992">
        <f>Koond_kulud!L1033</f>
        <v>55</v>
      </c>
      <c r="M992" t="str">
        <f>Koond_kulud!M1033</f>
        <v>55</v>
      </c>
      <c r="N992" t="str">
        <f>Koond_kulud!N1033</f>
        <v>Muud tegevuskulud</v>
      </c>
      <c r="O992" t="str">
        <f>Koond_kulud!O1033</f>
        <v>Majandamiskulud</v>
      </c>
      <c r="P992" t="str">
        <f>Koond_kulud!P1033</f>
        <v>Põhitegevuse kulu</v>
      </c>
      <c r="Q992">
        <f>Koond_kulud!Q1033</f>
        <v>0</v>
      </c>
    </row>
    <row r="993" spans="1:17" hidden="1" x14ac:dyDescent="0.25">
      <c r="A993" t="str">
        <f>Koond_kulud!A1034</f>
        <v>09</v>
      </c>
      <c r="B993" t="str">
        <f>Koond_kulud!B1034</f>
        <v xml:space="preserve">0921207         </v>
      </c>
      <c r="C993" t="str">
        <f>Koond_kulud!C1034</f>
        <v xml:space="preserve"> Põlula kool</v>
      </c>
      <c r="D993" t="str">
        <f>Koond_kulud!D1034</f>
        <v>Põhihariduse otsekulud</v>
      </c>
      <c r="E993" t="str">
        <f>Koond_kulud!E1034</f>
        <v>Haridus</v>
      </c>
      <c r="F993" t="str">
        <f>Koond_kulud!F1034</f>
        <v>Põlula kool</v>
      </c>
      <c r="G993" t="str">
        <f>Koond_kulud!G1034</f>
        <v>majanduskaup kooli ja sööklasse</v>
      </c>
      <c r="H993">
        <f>Koond_kulud!H1034</f>
        <v>3000</v>
      </c>
      <c r="I993">
        <f>Koond_kulud!I1034</f>
        <v>0</v>
      </c>
      <c r="J993">
        <f>Koond_kulud!J1034</f>
        <v>5511</v>
      </c>
      <c r="K993" t="str">
        <f>Koond_kulud!K1034</f>
        <v>Kinnistute, hoonete ja ruumide majandamiskulud</v>
      </c>
      <c r="L993">
        <f>Koond_kulud!L1034</f>
        <v>55</v>
      </c>
      <c r="M993" t="str">
        <f>Koond_kulud!M1034</f>
        <v>55</v>
      </c>
      <c r="N993" t="str">
        <f>Koond_kulud!N1034</f>
        <v>Muud tegevuskulud</v>
      </c>
      <c r="O993" t="str">
        <f>Koond_kulud!O1034</f>
        <v>Majandamiskulud</v>
      </c>
      <c r="P993" t="str">
        <f>Koond_kulud!P1034</f>
        <v>Põhitegevuse kulu</v>
      </c>
      <c r="Q993">
        <f>Koond_kulud!Q1034</f>
        <v>0</v>
      </c>
    </row>
    <row r="994" spans="1:17" hidden="1" x14ac:dyDescent="0.25">
      <c r="A994" t="str">
        <f>Koond_kulud!A1035</f>
        <v>09</v>
      </c>
      <c r="B994" t="str">
        <f>Koond_kulud!B1035</f>
        <v xml:space="preserve">0921207         </v>
      </c>
      <c r="C994" t="str">
        <f>Koond_kulud!C1035</f>
        <v xml:space="preserve"> Põlula kool</v>
      </c>
      <c r="D994" t="str">
        <f>Koond_kulud!D1035</f>
        <v>Põhihariduse otsekulud</v>
      </c>
      <c r="E994" t="str">
        <f>Koond_kulud!E1035</f>
        <v>Haridus</v>
      </c>
      <c r="F994" t="str">
        <f>Koond_kulud!F1035</f>
        <v>Põlula kool</v>
      </c>
      <c r="G994" t="str">
        <f>Koond_kulud!G1035</f>
        <v>elekter</v>
      </c>
      <c r="H994">
        <f>Koond_kulud!H1035</f>
        <v>17000</v>
      </c>
      <c r="I994">
        <f>Koond_kulud!I1035</f>
        <v>0</v>
      </c>
      <c r="J994">
        <f>Koond_kulud!J1035</f>
        <v>5511</v>
      </c>
      <c r="K994" t="str">
        <f>Koond_kulud!K1035</f>
        <v>Kinnistute, hoonete ja ruumide majandamiskulud</v>
      </c>
      <c r="L994">
        <f>Koond_kulud!L1035</f>
        <v>55</v>
      </c>
      <c r="M994" t="str">
        <f>Koond_kulud!M1035</f>
        <v>55</v>
      </c>
      <c r="N994" t="str">
        <f>Koond_kulud!N1035</f>
        <v>Muud tegevuskulud</v>
      </c>
      <c r="O994" t="str">
        <f>Koond_kulud!O1035</f>
        <v>Majandamiskulud</v>
      </c>
      <c r="P994" t="str">
        <f>Koond_kulud!P1035</f>
        <v>Põhitegevuse kulu</v>
      </c>
      <c r="Q994">
        <f>Koond_kulud!Q1035</f>
        <v>0</v>
      </c>
    </row>
    <row r="995" spans="1:17" hidden="1" x14ac:dyDescent="0.25">
      <c r="A995" t="str">
        <f>Koond_kulud!A1036</f>
        <v>09</v>
      </c>
      <c r="B995" t="str">
        <f>Koond_kulud!B1036</f>
        <v xml:space="preserve">0921207         </v>
      </c>
      <c r="C995" t="str">
        <f>Koond_kulud!C1036</f>
        <v xml:space="preserve"> Põlula kool</v>
      </c>
      <c r="D995" t="str">
        <f>Koond_kulud!D1036</f>
        <v>Põhihariduse otsekulud</v>
      </c>
      <c r="E995" t="str">
        <f>Koond_kulud!E1036</f>
        <v>Haridus</v>
      </c>
      <c r="F995" t="str">
        <f>Koond_kulud!F1036</f>
        <v>Põlula kool</v>
      </c>
      <c r="G995" t="str">
        <f>Koond_kulud!G1036</f>
        <v>valvesignalisatsioon</v>
      </c>
      <c r="H995">
        <f>Koond_kulud!H1036</f>
        <v>1500</v>
      </c>
      <c r="I995">
        <f>Koond_kulud!I1036</f>
        <v>0</v>
      </c>
      <c r="J995">
        <f>Koond_kulud!J1036</f>
        <v>5511</v>
      </c>
      <c r="K995" t="str">
        <f>Koond_kulud!K1036</f>
        <v>Kinnistute, hoonete ja ruumide majandamiskulud</v>
      </c>
      <c r="L995">
        <f>Koond_kulud!L1036</f>
        <v>55</v>
      </c>
      <c r="M995" t="str">
        <f>Koond_kulud!M1036</f>
        <v>55</v>
      </c>
      <c r="N995" t="str">
        <f>Koond_kulud!N1036</f>
        <v>Muud tegevuskulud</v>
      </c>
      <c r="O995" t="str">
        <f>Koond_kulud!O1036</f>
        <v>Majandamiskulud</v>
      </c>
      <c r="P995" t="str">
        <f>Koond_kulud!P1036</f>
        <v>Põhitegevuse kulu</v>
      </c>
      <c r="Q995">
        <f>Koond_kulud!Q1036</f>
        <v>0</v>
      </c>
    </row>
    <row r="996" spans="1:17" hidden="1" x14ac:dyDescent="0.25">
      <c r="A996" t="str">
        <f>Koond_kulud!A1037</f>
        <v>09</v>
      </c>
      <c r="B996" t="str">
        <f>Koond_kulud!B1037</f>
        <v xml:space="preserve">0921207         </v>
      </c>
      <c r="C996" t="str">
        <f>Koond_kulud!C1037</f>
        <v xml:space="preserve"> Põlula kool</v>
      </c>
      <c r="D996" t="str">
        <f>Koond_kulud!D1037</f>
        <v>Põhihariduse otsekulud</v>
      </c>
      <c r="E996" t="str">
        <f>Koond_kulud!E1037</f>
        <v>Haridus</v>
      </c>
      <c r="F996" t="str">
        <f>Koond_kulud!F1037</f>
        <v>Põlula kool</v>
      </c>
      <c r="G996" t="str">
        <f>Koond_kulud!G1037</f>
        <v>prügi vedu</v>
      </c>
      <c r="H996">
        <f>Koond_kulud!H1037</f>
        <v>600</v>
      </c>
      <c r="I996">
        <f>Koond_kulud!I1037</f>
        <v>0</v>
      </c>
      <c r="J996">
        <f>Koond_kulud!J1037</f>
        <v>5511</v>
      </c>
      <c r="K996" t="str">
        <f>Koond_kulud!K1037</f>
        <v>Kinnistute, hoonete ja ruumide majandamiskulud</v>
      </c>
      <c r="L996">
        <f>Koond_kulud!L1037</f>
        <v>55</v>
      </c>
      <c r="M996" t="str">
        <f>Koond_kulud!M1037</f>
        <v>55</v>
      </c>
      <c r="N996" t="str">
        <f>Koond_kulud!N1037</f>
        <v>Muud tegevuskulud</v>
      </c>
      <c r="O996" t="str">
        <f>Koond_kulud!O1037</f>
        <v>Majandamiskulud</v>
      </c>
      <c r="P996" t="str">
        <f>Koond_kulud!P1037</f>
        <v>Põhitegevuse kulu</v>
      </c>
      <c r="Q996">
        <f>Koond_kulud!Q1037</f>
        <v>0</v>
      </c>
    </row>
    <row r="997" spans="1:17" hidden="1" x14ac:dyDescent="0.25">
      <c r="A997" t="str">
        <f>Koond_kulud!A1038</f>
        <v>09</v>
      </c>
      <c r="B997" t="str">
        <f>Koond_kulud!B1038</f>
        <v xml:space="preserve">0921207         </v>
      </c>
      <c r="C997" t="str">
        <f>Koond_kulud!C1038</f>
        <v xml:space="preserve"> Põlula kool</v>
      </c>
      <c r="D997" t="str">
        <f>Koond_kulud!D1038</f>
        <v>Põhihariduse otsekulud</v>
      </c>
      <c r="E997" t="str">
        <f>Koond_kulud!E1038</f>
        <v>Haridus</v>
      </c>
      <c r="F997" t="str">
        <f>Koond_kulud!F1038</f>
        <v>Põlula kool</v>
      </c>
      <c r="G997" t="str">
        <f>Koond_kulud!G1038</f>
        <v>laboratoorsed analüüsid</v>
      </c>
      <c r="H997">
        <f>Koond_kulud!H1038</f>
        <v>500</v>
      </c>
      <c r="I997">
        <f>Koond_kulud!I1038</f>
        <v>0</v>
      </c>
      <c r="J997">
        <f>Koond_kulud!J1038</f>
        <v>5511</v>
      </c>
      <c r="K997" t="str">
        <f>Koond_kulud!K1038</f>
        <v>Kinnistute, hoonete ja ruumide majandamiskulud</v>
      </c>
      <c r="L997">
        <f>Koond_kulud!L1038</f>
        <v>55</v>
      </c>
      <c r="M997" t="str">
        <f>Koond_kulud!M1038</f>
        <v>55</v>
      </c>
      <c r="N997" t="str">
        <f>Koond_kulud!N1038</f>
        <v>Muud tegevuskulud</v>
      </c>
      <c r="O997" t="str">
        <f>Koond_kulud!O1038</f>
        <v>Majandamiskulud</v>
      </c>
      <c r="P997" t="str">
        <f>Koond_kulud!P1038</f>
        <v>Põhitegevuse kulu</v>
      </c>
      <c r="Q997">
        <f>Koond_kulud!Q1038</f>
        <v>0</v>
      </c>
    </row>
    <row r="998" spans="1:17" hidden="1" x14ac:dyDescent="0.25">
      <c r="A998" t="str">
        <f>Koond_kulud!A1039</f>
        <v>09</v>
      </c>
      <c r="B998" t="str">
        <f>Koond_kulud!B1039</f>
        <v xml:space="preserve">0921207         </v>
      </c>
      <c r="C998" t="str">
        <f>Koond_kulud!C1039</f>
        <v xml:space="preserve"> Põlula kool</v>
      </c>
      <c r="D998" t="str">
        <f>Koond_kulud!D1039</f>
        <v>Põhihariduse otsekulud</v>
      </c>
      <c r="E998" t="str">
        <f>Koond_kulud!E1039</f>
        <v>Haridus</v>
      </c>
      <c r="F998" t="str">
        <f>Koond_kulud!F1039</f>
        <v>Põlula kool</v>
      </c>
      <c r="G998" t="str">
        <f>Koond_kulud!G1039</f>
        <v>käiduteenus</v>
      </c>
      <c r="H998">
        <f>Koond_kulud!H1039</f>
        <v>500</v>
      </c>
      <c r="I998">
        <f>Koond_kulud!I1039</f>
        <v>0</v>
      </c>
      <c r="J998">
        <f>Koond_kulud!J1039</f>
        <v>5511</v>
      </c>
      <c r="K998" t="str">
        <f>Koond_kulud!K1039</f>
        <v>Kinnistute, hoonete ja ruumide majandamiskulud</v>
      </c>
      <c r="L998">
        <f>Koond_kulud!L1039</f>
        <v>55</v>
      </c>
      <c r="M998" t="str">
        <f>Koond_kulud!M1039</f>
        <v>55</v>
      </c>
      <c r="N998" t="str">
        <f>Koond_kulud!N1039</f>
        <v>Muud tegevuskulud</v>
      </c>
      <c r="O998" t="str">
        <f>Koond_kulud!O1039</f>
        <v>Majandamiskulud</v>
      </c>
      <c r="P998" t="str">
        <f>Koond_kulud!P1039</f>
        <v>Põhitegevuse kulu</v>
      </c>
      <c r="Q998">
        <f>Koond_kulud!Q1039</f>
        <v>0</v>
      </c>
    </row>
    <row r="999" spans="1:17" hidden="1" x14ac:dyDescent="0.25">
      <c r="A999" t="str">
        <f>Koond_kulud!A1040</f>
        <v>09</v>
      </c>
      <c r="B999" t="str">
        <f>Koond_kulud!B1040</f>
        <v xml:space="preserve">0921207         </v>
      </c>
      <c r="C999" t="str">
        <f>Koond_kulud!C1040</f>
        <v xml:space="preserve"> Põlula kool</v>
      </c>
      <c r="D999" t="str">
        <f>Koond_kulud!D1040</f>
        <v>Põhihariduse otsekulud</v>
      </c>
      <c r="E999" t="str">
        <f>Koond_kulud!E1040</f>
        <v>Haridus</v>
      </c>
      <c r="F999" t="str">
        <f>Koond_kulud!F1040</f>
        <v>Põlula kool</v>
      </c>
      <c r="G999" t="str">
        <f>Koond_kulud!G1040</f>
        <v>IT alased hooldustööd</v>
      </c>
      <c r="H999">
        <f>Koond_kulud!H1040</f>
        <v>2500</v>
      </c>
      <c r="I999">
        <f>Koond_kulud!I1040</f>
        <v>0</v>
      </c>
      <c r="J999">
        <f>Koond_kulud!J1040</f>
        <v>5514</v>
      </c>
      <c r="K999" t="str">
        <f>Koond_kulud!K1040</f>
        <v>Info- ja kommunikatsioonitehnoliigised kulud</v>
      </c>
      <c r="L999">
        <f>Koond_kulud!L1040</f>
        <v>55</v>
      </c>
      <c r="M999" t="str">
        <f>Koond_kulud!M1040</f>
        <v>55</v>
      </c>
      <c r="N999" t="str">
        <f>Koond_kulud!N1040</f>
        <v>Muud tegevuskulud</v>
      </c>
      <c r="O999" t="str">
        <f>Koond_kulud!O1040</f>
        <v>Majandamiskulud</v>
      </c>
      <c r="P999" t="str">
        <f>Koond_kulud!P1040</f>
        <v>Põhitegevuse kulu</v>
      </c>
      <c r="Q999">
        <f>Koond_kulud!Q1040</f>
        <v>0</v>
      </c>
    </row>
    <row r="1000" spans="1:17" hidden="1" x14ac:dyDescent="0.25">
      <c r="A1000" t="str">
        <f>Koond_kulud!A1041</f>
        <v>09</v>
      </c>
      <c r="B1000" t="str">
        <f>Koond_kulud!B1041</f>
        <v xml:space="preserve">0921207         </v>
      </c>
      <c r="C1000" t="str">
        <f>Koond_kulud!C1041</f>
        <v xml:space="preserve"> Põlula kool</v>
      </c>
      <c r="D1000" t="str">
        <f>Koond_kulud!D1041</f>
        <v>Põhihariduse otsekulud</v>
      </c>
      <c r="E1000" t="str">
        <f>Koond_kulud!E1041</f>
        <v>Haridus</v>
      </c>
      <c r="F1000" t="str">
        <f>Koond_kulud!F1041</f>
        <v>Põlula kool</v>
      </c>
      <c r="G1000" t="str">
        <f>Koond_kulud!G1041</f>
        <v>Pedagoogilised õppevahendid</v>
      </c>
      <c r="H1000">
        <f>Koond_kulud!H1041</f>
        <v>627</v>
      </c>
      <c r="I1000" t="str">
        <f>Koond_kulud!I1041</f>
        <v>Ped.</v>
      </c>
      <c r="J1000">
        <f>Koond_kulud!J1041</f>
        <v>5524</v>
      </c>
      <c r="K1000" t="str">
        <f>Koond_kulud!K1041</f>
        <v>Õppevahendid</v>
      </c>
      <c r="L1000">
        <f>Koond_kulud!L1041</f>
        <v>55</v>
      </c>
      <c r="M1000" t="str">
        <f>Koond_kulud!M1041</f>
        <v>55</v>
      </c>
      <c r="N1000" t="str">
        <f>Koond_kulud!N1041</f>
        <v>Muud tegevuskulud</v>
      </c>
      <c r="O1000" t="str">
        <f>Koond_kulud!O1041</f>
        <v>Majandamiskulud</v>
      </c>
      <c r="P1000" t="str">
        <f>Koond_kulud!P1041</f>
        <v>Põhitegevuse kulu</v>
      </c>
      <c r="Q1000">
        <f>Koond_kulud!Q1041</f>
        <v>0</v>
      </c>
    </row>
    <row r="1001" spans="1:17" hidden="1" x14ac:dyDescent="0.25">
      <c r="A1001" t="str">
        <f>Koond_kulud!A1042</f>
        <v>09</v>
      </c>
      <c r="B1001" t="str">
        <f>Koond_kulud!B1042</f>
        <v xml:space="preserve">0921302         </v>
      </c>
      <c r="C1001" t="str">
        <f>Koond_kulud!C1042</f>
        <v xml:space="preserve"> Kohatasud</v>
      </c>
      <c r="D1001" t="str">
        <f>Koond_kulud!D1042</f>
        <v>Üldkeskhariduse otsekulud</v>
      </c>
      <c r="E1001" t="str">
        <f>Koond_kulud!E1042</f>
        <v>Haridus</v>
      </c>
      <c r="F1001" t="str">
        <f>Koond_kulud!F1042</f>
        <v>Haridusnõunik</v>
      </c>
      <c r="G1001" t="str">
        <f>Koond_kulud!G1042</f>
        <v xml:space="preserve">Kohatasud </v>
      </c>
      <c r="H1001">
        <f>Koond_kulud!H1042</f>
        <v>64104.399999999994</v>
      </c>
      <c r="I1001" t="str">
        <f>Koond_kulud!I1042</f>
        <v>gümnaasium</v>
      </c>
      <c r="J1001">
        <f>Koond_kulud!J1042</f>
        <v>5524</v>
      </c>
      <c r="K1001" t="str">
        <f>Koond_kulud!K1042</f>
        <v>Õppevahendid</v>
      </c>
      <c r="L1001">
        <f>Koond_kulud!L1042</f>
        <v>55</v>
      </c>
      <c r="M1001" t="str">
        <f>Koond_kulud!M1042</f>
        <v>55</v>
      </c>
      <c r="N1001" t="str">
        <f>Koond_kulud!N1042</f>
        <v>Muud tegevuskulud</v>
      </c>
      <c r="O1001" t="str">
        <f>Koond_kulud!O1042</f>
        <v>Majandamiskulud</v>
      </c>
      <c r="P1001" t="str">
        <f>Koond_kulud!P1042</f>
        <v>Põhitegevuse kulu</v>
      </c>
      <c r="Q1001">
        <f>Koond_kulud!Q1042</f>
        <v>0</v>
      </c>
    </row>
    <row r="1002" spans="1:17" hidden="1" x14ac:dyDescent="0.25">
      <c r="A1002" t="str">
        <f>Koond_kulud!A1044</f>
        <v>09</v>
      </c>
      <c r="B1002" t="str">
        <f>Koond_kulud!B1044</f>
        <v xml:space="preserve">09510           </v>
      </c>
      <c r="C1002" t="str">
        <f>Koond_kulud!C1044</f>
        <v xml:space="preserve"> Noorte huviharidus ja huvitegevus</v>
      </c>
      <c r="D1002" t="str">
        <f>Koond_kulud!D1044</f>
        <v>Noorte huviharidus ja huvitegevus</v>
      </c>
      <c r="E1002" t="str">
        <f>Koond_kulud!E1044</f>
        <v>Haridus</v>
      </c>
      <c r="F1002" t="str">
        <f>Koond_kulud!F1044</f>
        <v>Haridusnõunik</v>
      </c>
      <c r="G1002" t="str">
        <f>Koond_kulud!G1044</f>
        <v>huvitegevuse kompensatsioon lastevanematele</v>
      </c>
      <c r="H1002">
        <f>Koond_kulud!H1044</f>
        <v>0</v>
      </c>
      <c r="I1002">
        <f>Koond_kulud!I1044</f>
        <v>0</v>
      </c>
      <c r="J1002">
        <f>Koond_kulud!J1044</f>
        <v>5524</v>
      </c>
      <c r="K1002" t="str">
        <f>Koond_kulud!K1044</f>
        <v>Õppevahendid</v>
      </c>
      <c r="L1002">
        <f>Koond_kulud!L1044</f>
        <v>55</v>
      </c>
      <c r="M1002" t="str">
        <f>Koond_kulud!M1044</f>
        <v>55</v>
      </c>
      <c r="N1002" t="str">
        <f>Koond_kulud!N1044</f>
        <v>Muud tegevuskulud</v>
      </c>
      <c r="O1002" t="str">
        <f>Koond_kulud!O1044</f>
        <v>Majandamiskulud</v>
      </c>
      <c r="P1002" t="str">
        <f>Koond_kulud!P1044</f>
        <v>Põhitegevuse kulu</v>
      </c>
      <c r="Q1002">
        <f>Koond_kulud!Q1044</f>
        <v>0</v>
      </c>
    </row>
    <row r="1003" spans="1:17" hidden="1" x14ac:dyDescent="0.25">
      <c r="A1003" t="str">
        <f>Koond_kulud!A1045</f>
        <v>09</v>
      </c>
      <c r="B1003" t="str">
        <f>Koond_kulud!B1045</f>
        <v xml:space="preserve">09510           </v>
      </c>
      <c r="C1003" t="str">
        <f>Koond_kulud!C1045</f>
        <v xml:space="preserve"> Noorte huviharidus ja huvitegevus</v>
      </c>
      <c r="D1003" t="str">
        <f>Koond_kulud!D1045</f>
        <v>Noorte huviharidus ja huvitegevus</v>
      </c>
      <c r="E1003" t="str">
        <f>Koond_kulud!E1045</f>
        <v>Haridus</v>
      </c>
      <c r="F1003" t="str">
        <f>Koond_kulud!F1045</f>
        <v>Haridusnõunik</v>
      </c>
      <c r="G1003" t="str">
        <f>Koond_kulud!G1045</f>
        <v>arvlemine muusikakoolidega</v>
      </c>
      <c r="H1003">
        <f>Koond_kulud!H1045</f>
        <v>35000</v>
      </c>
      <c r="I1003">
        <f>Koond_kulud!I1045</f>
        <v>0</v>
      </c>
      <c r="J1003">
        <f>Koond_kulud!J1045</f>
        <v>5524</v>
      </c>
      <c r="K1003" t="str">
        <f>Koond_kulud!K1045</f>
        <v>Õppevahendid</v>
      </c>
      <c r="L1003">
        <f>Koond_kulud!L1045</f>
        <v>55</v>
      </c>
      <c r="M1003" t="str">
        <f>Koond_kulud!M1045</f>
        <v>55</v>
      </c>
      <c r="N1003" t="str">
        <f>Koond_kulud!N1045</f>
        <v>Muud tegevuskulud</v>
      </c>
      <c r="O1003" t="str">
        <f>Koond_kulud!O1045</f>
        <v>Majandamiskulud</v>
      </c>
      <c r="P1003" t="str">
        <f>Koond_kulud!P1045</f>
        <v>Põhitegevuse kulu</v>
      </c>
      <c r="Q1003">
        <f>Koond_kulud!Q1045</f>
        <v>0</v>
      </c>
    </row>
    <row r="1004" spans="1:17" hidden="1" x14ac:dyDescent="0.25">
      <c r="A1004" t="str">
        <f>Koond_kulud!A1046</f>
        <v>09</v>
      </c>
      <c r="B1004" t="str">
        <f>Koond_kulud!B1046</f>
        <v xml:space="preserve">09510           </v>
      </c>
      <c r="C1004" t="str">
        <f>Koond_kulud!C1046</f>
        <v xml:space="preserve"> Noorte huviharidus ja huvitegevus</v>
      </c>
      <c r="D1004" t="str">
        <f>Koond_kulud!D1046</f>
        <v>Noorte huviharidus ja huvitegevus</v>
      </c>
      <c r="E1004" t="str">
        <f>Koond_kulud!E1046</f>
        <v>Haridus</v>
      </c>
      <c r="F1004" t="str">
        <f>Koond_kulud!F1046</f>
        <v>Haridusnõunik</v>
      </c>
      <c r="G1004" t="str">
        <f>Koond_kulud!G1046</f>
        <v>huvitegevusinventari soetus, arenguprojektid jms</v>
      </c>
      <c r="H1004">
        <f>Koond_kulud!H1046</f>
        <v>20000</v>
      </c>
      <c r="I1004">
        <f>Koond_kulud!I1046</f>
        <v>0</v>
      </c>
      <c r="J1004">
        <f>Koond_kulud!J1046</f>
        <v>5540</v>
      </c>
      <c r="K1004" t="str">
        <f>Koond_kulud!K1046</f>
        <v>Mitmesugused majanduskulud</v>
      </c>
      <c r="L1004">
        <f>Koond_kulud!L1046</f>
        <v>55</v>
      </c>
      <c r="M1004" t="str">
        <f>Koond_kulud!M1046</f>
        <v>55</v>
      </c>
      <c r="N1004" t="str">
        <f>Koond_kulud!N1046</f>
        <v>Muud tegevuskulud</v>
      </c>
      <c r="O1004" t="str">
        <f>Koond_kulud!O1046</f>
        <v>Majandamiskulud</v>
      </c>
      <c r="P1004" t="str">
        <f>Koond_kulud!P1046</f>
        <v>Põhitegevuse kulu</v>
      </c>
      <c r="Q1004">
        <f>Koond_kulud!Q1046</f>
        <v>0</v>
      </c>
    </row>
    <row r="1005" spans="1:17" hidden="1" x14ac:dyDescent="0.25">
      <c r="A1005" t="str">
        <f>Koond_kulud!A1049</f>
        <v>09</v>
      </c>
      <c r="B1005" t="str">
        <f>Koond_kulud!B1049</f>
        <v xml:space="preserve">09510           </v>
      </c>
      <c r="C1005" t="str">
        <f>Koond_kulud!C1049</f>
        <v xml:space="preserve"> Noorte huviharidus ja huvitegevus</v>
      </c>
      <c r="D1005" t="str">
        <f>Koond_kulud!D1049</f>
        <v>Noorte huviharidus ja huvitegevus</v>
      </c>
      <c r="E1005" t="str">
        <f>Koond_kulud!E1049</f>
        <v>Haridus</v>
      </c>
      <c r="F1005" t="str">
        <f>Koond_kulud!F1049</f>
        <v>Noorsoo- ja spordinõunik</v>
      </c>
      <c r="G1005" t="str">
        <f>Koond_kulud!G1049</f>
        <v>Transport(buss)</v>
      </c>
      <c r="H1005">
        <f>Koond_kulud!H1049</f>
        <v>4020</v>
      </c>
      <c r="I1005" t="str">
        <f>Koond_kulud!I1049</f>
        <v>huviharidus-ujumistreeningud Vinni Spordikompleksis 2020. - Tudu, Roela, V-Jaagupi, Pajusti, Vinni lapsed 7-26 a.</v>
      </c>
      <c r="J1005">
        <f>Koond_kulud!J1049</f>
        <v>5540</v>
      </c>
      <c r="K1005" t="str">
        <f>Koond_kulud!K1049</f>
        <v>Mitmesugused majanduskulud</v>
      </c>
      <c r="L1005">
        <f>Koond_kulud!L1049</f>
        <v>55</v>
      </c>
      <c r="M1005" t="str">
        <f>Koond_kulud!M1049</f>
        <v>55</v>
      </c>
      <c r="N1005" t="str">
        <f>Koond_kulud!N1049</f>
        <v>Muud tegevuskulud</v>
      </c>
      <c r="O1005" t="str">
        <f>Koond_kulud!O1049</f>
        <v>Majandamiskulud</v>
      </c>
      <c r="P1005" t="str">
        <f>Koond_kulud!P1049</f>
        <v>Põhitegevuse kulu</v>
      </c>
      <c r="Q1005">
        <f>Koond_kulud!Q1049</f>
        <v>0</v>
      </c>
    </row>
    <row r="1006" spans="1:17" hidden="1" x14ac:dyDescent="0.25">
      <c r="A1006" t="str">
        <f>Koond_kulud!A1050</f>
        <v>09</v>
      </c>
      <c r="B1006" t="str">
        <f>Koond_kulud!B1050</f>
        <v xml:space="preserve">09510           </v>
      </c>
      <c r="C1006" t="str">
        <f>Koond_kulud!C1050</f>
        <v xml:space="preserve"> Noorte huviharidus ja huvitegevus</v>
      </c>
      <c r="D1006" t="str">
        <f>Koond_kulud!D1050</f>
        <v>Noorte huviharidus ja huvitegevus</v>
      </c>
      <c r="E1006" t="str">
        <f>Koond_kulud!E1050</f>
        <v>Haridus</v>
      </c>
      <c r="F1006" t="str">
        <f>Koond_kulud!F1050</f>
        <v>Noorsoo- ja spordinõunik</v>
      </c>
      <c r="G1006" t="str">
        <f>Koond_kulud!G1050</f>
        <v>Ujula kasutus</v>
      </c>
      <c r="H1006">
        <f>Koond_kulud!H1050</f>
        <v>4540</v>
      </c>
      <c r="I1006" t="str">
        <f>Koond_kulud!I1050</f>
        <v>huviharidus-ujumistreeningud Vinni Spordikompleksis 2020. - Tudu, Roela, V-Jaagupi, Pajusti, Vinni lapsed 7-26 a.</v>
      </c>
      <c r="J1006">
        <f>Koond_kulud!J1050</f>
        <v>5540</v>
      </c>
      <c r="K1006" t="str">
        <f>Koond_kulud!K1050</f>
        <v>Mitmesugused majanduskulud</v>
      </c>
      <c r="L1006">
        <f>Koond_kulud!L1050</f>
        <v>55</v>
      </c>
      <c r="M1006" t="str">
        <f>Koond_kulud!M1050</f>
        <v>55</v>
      </c>
      <c r="N1006" t="str">
        <f>Koond_kulud!N1050</f>
        <v>Muud tegevuskulud</v>
      </c>
      <c r="O1006" t="str">
        <f>Koond_kulud!O1050</f>
        <v>Majandamiskulud</v>
      </c>
      <c r="P1006" t="str">
        <f>Koond_kulud!P1050</f>
        <v>Põhitegevuse kulu</v>
      </c>
      <c r="Q1006">
        <f>Koond_kulud!Q1050</f>
        <v>0</v>
      </c>
    </row>
    <row r="1007" spans="1:17" hidden="1" x14ac:dyDescent="0.25">
      <c r="A1007" t="str">
        <f>Koond_kulud!A1051</f>
        <v>09</v>
      </c>
      <c r="B1007" t="str">
        <f>Koond_kulud!B1051</f>
        <v xml:space="preserve">09510           </v>
      </c>
      <c r="C1007" t="str">
        <f>Koond_kulud!C1051</f>
        <v xml:space="preserve"> Noorte huviharidus ja huvitegevus</v>
      </c>
      <c r="D1007" t="str">
        <f>Koond_kulud!D1051</f>
        <v>Noorte huviharidus ja huvitegevus</v>
      </c>
      <c r="E1007" t="str">
        <f>Koond_kulud!E1051</f>
        <v>Haridus</v>
      </c>
      <c r="F1007" t="str">
        <f>Koond_kulud!F1051</f>
        <v>Noorsoo- ja spordinõunik</v>
      </c>
      <c r="G1007" t="str">
        <f>Koond_kulud!G1051</f>
        <v>Transport(buss)</v>
      </c>
      <c r="H1007">
        <f>Koond_kulud!H1051</f>
        <v>2450</v>
      </c>
      <c r="I1007" t="str">
        <f>Koond_kulud!I1051</f>
        <v>huviharidus-ujumistreeningud Vinni Spordikompleksis 2020. - Laekvere, Muuga lapsed 7-26a.</v>
      </c>
      <c r="J1007">
        <f>Koond_kulud!J1051</f>
        <v>5540</v>
      </c>
      <c r="K1007" t="str">
        <f>Koond_kulud!K1051</f>
        <v>Mitmesugused majanduskulud</v>
      </c>
      <c r="L1007">
        <f>Koond_kulud!L1051</f>
        <v>55</v>
      </c>
      <c r="M1007" t="str">
        <f>Koond_kulud!M1051</f>
        <v>55</v>
      </c>
      <c r="N1007" t="str">
        <f>Koond_kulud!N1051</f>
        <v>Muud tegevuskulud</v>
      </c>
      <c r="O1007" t="str">
        <f>Koond_kulud!O1051</f>
        <v>Majandamiskulud</v>
      </c>
      <c r="P1007" t="str">
        <f>Koond_kulud!P1051</f>
        <v>Põhitegevuse kulu</v>
      </c>
      <c r="Q1007">
        <f>Koond_kulud!Q1051</f>
        <v>0</v>
      </c>
    </row>
    <row r="1008" spans="1:17" hidden="1" x14ac:dyDescent="0.25">
      <c r="A1008" t="str">
        <f>Koond_kulud!A1052</f>
        <v>09</v>
      </c>
      <c r="B1008" t="str">
        <f>Koond_kulud!B1052</f>
        <v xml:space="preserve">09510           </v>
      </c>
      <c r="C1008" t="str">
        <f>Koond_kulud!C1052</f>
        <v xml:space="preserve"> Noorte huviharidus ja huvitegevus</v>
      </c>
      <c r="D1008" t="str">
        <f>Koond_kulud!D1052</f>
        <v>Noorte huviharidus ja huvitegevus</v>
      </c>
      <c r="E1008" t="str">
        <f>Koond_kulud!E1052</f>
        <v>Haridus</v>
      </c>
      <c r="F1008" t="str">
        <f>Koond_kulud!F1052</f>
        <v>Noorsoo- ja spordinõunik</v>
      </c>
      <c r="G1008" t="str">
        <f>Koond_kulud!G1052</f>
        <v>Ujula kasutus</v>
      </c>
      <c r="H1008">
        <f>Koond_kulud!H1052</f>
        <v>2110</v>
      </c>
      <c r="I1008" t="str">
        <f>Koond_kulud!I1052</f>
        <v>huviharidus-ujumistreeningud Vinni Spordikompleksis 2020. - Laekvere, Muuga lapsed 7-26a.</v>
      </c>
      <c r="J1008">
        <f>Koond_kulud!J1052</f>
        <v>5540</v>
      </c>
      <c r="K1008" t="str">
        <f>Koond_kulud!K1052</f>
        <v>Mitmesugused majanduskulud</v>
      </c>
      <c r="L1008">
        <f>Koond_kulud!L1052</f>
        <v>55</v>
      </c>
      <c r="M1008" t="str">
        <f>Koond_kulud!M1052</f>
        <v>55</v>
      </c>
      <c r="N1008" t="str">
        <f>Koond_kulud!N1052</f>
        <v>Muud tegevuskulud</v>
      </c>
      <c r="O1008" t="str">
        <f>Koond_kulud!O1052</f>
        <v>Majandamiskulud</v>
      </c>
      <c r="P1008" t="str">
        <f>Koond_kulud!P1052</f>
        <v>Põhitegevuse kulu</v>
      </c>
      <c r="Q1008">
        <f>Koond_kulud!Q1052</f>
        <v>0</v>
      </c>
    </row>
    <row r="1009" spans="1:17" hidden="1" x14ac:dyDescent="0.25">
      <c r="A1009" t="str">
        <f>Koond_kulud!A1053</f>
        <v>09</v>
      </c>
      <c r="B1009" t="str">
        <f>Koond_kulud!B1053</f>
        <v xml:space="preserve">09600           </v>
      </c>
      <c r="C1009" t="str">
        <f>Koond_kulud!C1053</f>
        <v xml:space="preserve"> Koolitransport</v>
      </c>
      <c r="D1009" t="str">
        <f>Koond_kulud!D1053</f>
        <v>Koolitransport</v>
      </c>
      <c r="E1009" t="str">
        <f>Koond_kulud!E1053</f>
        <v>Haridus</v>
      </c>
      <c r="F1009" t="str">
        <f>Koond_kulud!F1053</f>
        <v>Teede- ja ühistranspordinõunik</v>
      </c>
      <c r="G1009" t="str">
        <f>Koond_kulud!G1053</f>
        <v xml:space="preserve">Liising </v>
      </c>
      <c r="H1009">
        <f>Koond_kulud!H1053</f>
        <v>37152</v>
      </c>
      <c r="I1009" t="str">
        <f>Koond_kulud!I1053</f>
        <v>12x3096</v>
      </c>
      <c r="J1009">
        <f>Koond_kulud!J1053</f>
        <v>5513</v>
      </c>
      <c r="K1009" t="str">
        <f>Koond_kulud!K1053</f>
        <v>Sõidukite ülalpidamise kulud</v>
      </c>
      <c r="L1009">
        <f>Koond_kulud!L1053</f>
        <v>55</v>
      </c>
      <c r="M1009" t="str">
        <f>Koond_kulud!M1053</f>
        <v>55</v>
      </c>
      <c r="N1009" t="str">
        <f>Koond_kulud!N1053</f>
        <v>Muud tegevuskulud</v>
      </c>
      <c r="O1009" t="str">
        <f>Koond_kulud!O1053</f>
        <v>Majandamiskulud</v>
      </c>
      <c r="P1009" t="str">
        <f>Koond_kulud!P1053</f>
        <v>Põhitegevuse kulu</v>
      </c>
      <c r="Q1009">
        <f>Koond_kulud!Q1053</f>
        <v>0</v>
      </c>
    </row>
    <row r="1010" spans="1:17" hidden="1" x14ac:dyDescent="0.25">
      <c r="A1010" t="str">
        <f>Koond_kulud!A1054</f>
        <v>09</v>
      </c>
      <c r="B1010" t="str">
        <f>Koond_kulud!B1054</f>
        <v xml:space="preserve">09600           </v>
      </c>
      <c r="C1010" t="str">
        <f>Koond_kulud!C1054</f>
        <v xml:space="preserve"> Koolitransport</v>
      </c>
      <c r="D1010" t="str">
        <f>Koond_kulud!D1054</f>
        <v>Koolitransport</v>
      </c>
      <c r="E1010" t="str">
        <f>Koond_kulud!E1054</f>
        <v>Haridus</v>
      </c>
      <c r="F1010" t="str">
        <f>Koond_kulud!F1054</f>
        <v>Teede- ja ühistranspordinõunik</v>
      </c>
      <c r="G1010" t="str">
        <f>Koond_kulud!G1054</f>
        <v>Kasko ja liikluskindlustus</v>
      </c>
      <c r="H1010">
        <f>Koond_kulud!H1054</f>
        <v>3100</v>
      </c>
      <c r="I1010" t="str">
        <f>Koond_kulud!I1054</f>
        <v>2600+450 käesoleval aastal</v>
      </c>
      <c r="J1010">
        <f>Koond_kulud!J1054</f>
        <v>5513</v>
      </c>
      <c r="K1010" t="str">
        <f>Koond_kulud!K1054</f>
        <v>Sõidukite ülalpidamise kulud</v>
      </c>
      <c r="L1010">
        <f>Koond_kulud!L1054</f>
        <v>55</v>
      </c>
      <c r="M1010" t="str">
        <f>Koond_kulud!M1054</f>
        <v>55</v>
      </c>
      <c r="N1010" t="str">
        <f>Koond_kulud!N1054</f>
        <v>Muud tegevuskulud</v>
      </c>
      <c r="O1010" t="str">
        <f>Koond_kulud!O1054</f>
        <v>Majandamiskulud</v>
      </c>
      <c r="P1010" t="str">
        <f>Koond_kulud!P1054</f>
        <v>Põhitegevuse kulu</v>
      </c>
      <c r="Q1010">
        <f>Koond_kulud!Q1054</f>
        <v>0</v>
      </c>
    </row>
    <row r="1011" spans="1:17" hidden="1" x14ac:dyDescent="0.25">
      <c r="A1011" t="str">
        <f>Koond_kulud!A1055</f>
        <v>09</v>
      </c>
      <c r="B1011" t="str">
        <f>Koond_kulud!B1055</f>
        <v xml:space="preserve">09600           </v>
      </c>
      <c r="C1011" t="str">
        <f>Koond_kulud!C1055</f>
        <v xml:space="preserve"> Koolitransport</v>
      </c>
      <c r="D1011" t="str">
        <f>Koond_kulud!D1055</f>
        <v>Koolitransport</v>
      </c>
      <c r="E1011" t="str">
        <f>Koond_kulud!E1055</f>
        <v>Haridus</v>
      </c>
      <c r="F1011" t="str">
        <f>Koond_kulud!F1055</f>
        <v>Teede- ja ühistranspordinõunik</v>
      </c>
      <c r="G1011" t="str">
        <f>Koond_kulud!G1055</f>
        <v>Remont ja hooldus</v>
      </c>
      <c r="H1011">
        <f>Koond_kulud!H1055</f>
        <v>3000</v>
      </c>
      <c r="I1011">
        <f>Koond_kulud!I1055</f>
        <v>0</v>
      </c>
      <c r="J1011">
        <f>Koond_kulud!J1055</f>
        <v>5513</v>
      </c>
      <c r="K1011" t="str">
        <f>Koond_kulud!K1055</f>
        <v>Sõidukite ülalpidamise kulud</v>
      </c>
      <c r="L1011">
        <f>Koond_kulud!L1055</f>
        <v>55</v>
      </c>
      <c r="M1011" t="str">
        <f>Koond_kulud!M1055</f>
        <v>55</v>
      </c>
      <c r="N1011" t="str">
        <f>Koond_kulud!N1055</f>
        <v>Muud tegevuskulud</v>
      </c>
      <c r="O1011" t="str">
        <f>Koond_kulud!O1055</f>
        <v>Majandamiskulud</v>
      </c>
      <c r="P1011" t="str">
        <f>Koond_kulud!P1055</f>
        <v>Põhitegevuse kulu</v>
      </c>
      <c r="Q1011">
        <f>Koond_kulud!Q1055</f>
        <v>0</v>
      </c>
    </row>
    <row r="1012" spans="1:17" hidden="1" x14ac:dyDescent="0.25">
      <c r="A1012" t="str">
        <f>Koond_kulud!A1056</f>
        <v>09</v>
      </c>
      <c r="B1012" t="str">
        <f>Koond_kulud!B1056</f>
        <v xml:space="preserve">09600           </v>
      </c>
      <c r="C1012" t="str">
        <f>Koond_kulud!C1056</f>
        <v xml:space="preserve"> Koolitransport</v>
      </c>
      <c r="D1012" t="str">
        <f>Koond_kulud!D1056</f>
        <v>Koolitransport</v>
      </c>
      <c r="E1012" t="str">
        <f>Koond_kulud!E1056</f>
        <v>Haridus</v>
      </c>
      <c r="F1012" t="str">
        <f>Koond_kulud!F1056</f>
        <v>Teede- ja ühistranspordinõunik</v>
      </c>
      <c r="G1012" t="str">
        <f>Koond_kulud!G1056</f>
        <v>Navigaatori või tahvelarvuti soetamine</v>
      </c>
      <c r="H1012">
        <f>Koond_kulud!H1056</f>
        <v>300</v>
      </c>
      <c r="I1012" t="str">
        <f>Koond_kulud!I1056</f>
        <v>On olnud plaanis, aga pole sellel aastal tehtud</v>
      </c>
      <c r="J1012">
        <f>Koond_kulud!J1056</f>
        <v>5515</v>
      </c>
      <c r="K1012" t="str">
        <f>Koond_kulud!K1056</f>
        <v>Inventari kulud, v.a infotehnoloogia ja kaitseotstarbelised kulud</v>
      </c>
      <c r="L1012">
        <f>Koond_kulud!L1056</f>
        <v>55</v>
      </c>
      <c r="M1012" t="str">
        <f>Koond_kulud!M1056</f>
        <v>55</v>
      </c>
      <c r="N1012" t="str">
        <f>Koond_kulud!N1056</f>
        <v>Muud tegevuskulud</v>
      </c>
      <c r="O1012" t="str">
        <f>Koond_kulud!O1056</f>
        <v>Majandamiskulud</v>
      </c>
      <c r="P1012" t="str">
        <f>Koond_kulud!P1056</f>
        <v>Põhitegevuse kulu</v>
      </c>
      <c r="Q1012">
        <f>Koond_kulud!Q1056</f>
        <v>0</v>
      </c>
    </row>
    <row r="1013" spans="1:17" hidden="1" x14ac:dyDescent="0.25">
      <c r="A1013" t="str">
        <f>Koond_kulud!A1057</f>
        <v>09</v>
      </c>
      <c r="B1013" t="str">
        <f>Koond_kulud!B1057</f>
        <v xml:space="preserve">09600           </v>
      </c>
      <c r="C1013" t="str">
        <f>Koond_kulud!C1057</f>
        <v xml:space="preserve"> Koolitransport</v>
      </c>
      <c r="D1013" t="str">
        <f>Koond_kulud!D1057</f>
        <v>Koolitransport</v>
      </c>
      <c r="E1013" t="str">
        <f>Koond_kulud!E1057</f>
        <v>Haridus</v>
      </c>
      <c r="F1013" t="str">
        <f>Koond_kulud!F1057</f>
        <v>Teede- ja ühistranspordinõunik</v>
      </c>
      <c r="G1013" t="str">
        <f>Koond_kulud!G1057</f>
        <v>Tervise- ja spordiarendamise hüvitis</v>
      </c>
      <c r="H1013">
        <f>Koond_kulud!H1057</f>
        <v>400</v>
      </c>
      <c r="I1013">
        <f>Koond_kulud!I1057</f>
        <v>0</v>
      </c>
      <c r="J1013">
        <f>Koond_kulud!J1057</f>
        <v>5540</v>
      </c>
      <c r="K1013" t="str">
        <f>Koond_kulud!K1057</f>
        <v>Mitmesugused majanduskulud</v>
      </c>
      <c r="L1013">
        <f>Koond_kulud!L1057</f>
        <v>55</v>
      </c>
      <c r="M1013" t="str">
        <f>Koond_kulud!M1057</f>
        <v>55</v>
      </c>
      <c r="N1013" t="str">
        <f>Koond_kulud!N1057</f>
        <v>Muud tegevuskulud</v>
      </c>
      <c r="O1013" t="str">
        <f>Koond_kulud!O1057</f>
        <v>Majandamiskulud</v>
      </c>
      <c r="P1013" t="str">
        <f>Koond_kulud!P1057</f>
        <v>Põhitegevuse kulu</v>
      </c>
      <c r="Q1013">
        <f>Koond_kulud!Q1057</f>
        <v>0</v>
      </c>
    </row>
    <row r="1014" spans="1:17" hidden="1" x14ac:dyDescent="0.25">
      <c r="A1014" t="str">
        <f>Koond_kulud!A1058</f>
        <v>09</v>
      </c>
      <c r="B1014" t="str">
        <f>Koond_kulud!B1058</f>
        <v xml:space="preserve">09600           </v>
      </c>
      <c r="C1014" t="str">
        <f>Koond_kulud!C1058</f>
        <v xml:space="preserve"> Koolitransport</v>
      </c>
      <c r="D1014" t="str">
        <f>Koond_kulud!D1058</f>
        <v>Koolitransport</v>
      </c>
      <c r="E1014" t="str">
        <f>Koond_kulud!E1058</f>
        <v>Haridus</v>
      </c>
      <c r="F1014" t="str">
        <f>Koond_kulud!F1058</f>
        <v>Teede- ja ühistranspordinõunik</v>
      </c>
      <c r="G1014" t="str">
        <f>Koond_kulud!G1058</f>
        <v>Sideteenused</v>
      </c>
      <c r="H1014">
        <f>Koond_kulud!H1058</f>
        <v>120</v>
      </c>
      <c r="I1014" t="str">
        <f>Koond_kulud!I1058</f>
        <v>bussijuhi mobiil</v>
      </c>
      <c r="J1014">
        <f>Koond_kulud!J1058</f>
        <v>5500</v>
      </c>
      <c r="K1014" t="str">
        <f>Koond_kulud!K1058</f>
        <v>Administreerimiskulud</v>
      </c>
      <c r="L1014">
        <f>Koond_kulud!L1058</f>
        <v>55</v>
      </c>
      <c r="M1014" t="str">
        <f>Koond_kulud!M1058</f>
        <v>55</v>
      </c>
      <c r="N1014" t="str">
        <f>Koond_kulud!N1058</f>
        <v>Muud tegevuskulud</v>
      </c>
      <c r="O1014" t="str">
        <f>Koond_kulud!O1058</f>
        <v>Majandamiskulud</v>
      </c>
      <c r="P1014" t="str">
        <f>Koond_kulud!P1058</f>
        <v>Põhitegevuse kulu</v>
      </c>
      <c r="Q1014">
        <f>Koond_kulud!Q1058</f>
        <v>0</v>
      </c>
    </row>
    <row r="1015" spans="1:17" hidden="1" x14ac:dyDescent="0.25">
      <c r="A1015" t="str">
        <f>Koond_kulud!A1059</f>
        <v>09</v>
      </c>
      <c r="B1015" t="str">
        <f>Koond_kulud!B1059</f>
        <v xml:space="preserve">09600           </v>
      </c>
      <c r="C1015" t="str">
        <f>Koond_kulud!C1059</f>
        <v xml:space="preserve"> Koolitransport</v>
      </c>
      <c r="D1015" t="str">
        <f>Koond_kulud!D1059</f>
        <v>Koolitransport</v>
      </c>
      <c r="E1015" t="str">
        <f>Koond_kulud!E1059</f>
        <v>Haridus</v>
      </c>
      <c r="F1015" t="str">
        <f>Koond_kulud!F1059</f>
        <v>Teede- ja ühistranspordinõunik</v>
      </c>
      <c r="G1015" t="str">
        <f>Koond_kulud!G1059</f>
        <v>Õpilastranspot Põlula ja VPG (RTX Lines OÜ leping)</v>
      </c>
      <c r="H1015">
        <f>Koond_kulud!H1059</f>
        <v>25000</v>
      </c>
      <c r="I1015">
        <f>Koond_kulud!I1059</f>
        <v>0</v>
      </c>
      <c r="J1015">
        <f>Koond_kulud!J1059</f>
        <v>4134</v>
      </c>
      <c r="K1015" t="str">
        <f>Koond_kulud!K1059</f>
        <v>Õppetoetused</v>
      </c>
      <c r="L1015">
        <f>Koond_kulud!L1059</f>
        <v>413</v>
      </c>
      <c r="M1015" t="str">
        <f>Koond_kulud!M1059</f>
        <v>41</v>
      </c>
      <c r="N1015" t="str">
        <f>Koond_kulud!N1059</f>
        <v>Antavad toetused tegevuskuludeks</v>
      </c>
      <c r="O1015" t="str">
        <f>Koond_kulud!O1059</f>
        <v>Sotsiaalabitoetused ja muud toetused füüsilistele isikutele</v>
      </c>
      <c r="P1015" t="str">
        <f>Koond_kulud!P1059</f>
        <v>Põhitegevuse kulu</v>
      </c>
      <c r="Q1015">
        <f>Koond_kulud!Q1059</f>
        <v>0</v>
      </c>
    </row>
    <row r="1016" spans="1:17" hidden="1" x14ac:dyDescent="0.25">
      <c r="A1016" t="str">
        <f>Koond_kulud!A1060</f>
        <v>09</v>
      </c>
      <c r="B1016" t="str">
        <f>Koond_kulud!B1060</f>
        <v xml:space="preserve">09600           </v>
      </c>
      <c r="C1016" t="str">
        <f>Koond_kulud!C1060</f>
        <v xml:space="preserve"> Koolitransport</v>
      </c>
      <c r="D1016" t="str">
        <f>Koond_kulud!D1060</f>
        <v>Koolitransport</v>
      </c>
      <c r="E1016" t="str">
        <f>Koond_kulud!E1060</f>
        <v>Haridus</v>
      </c>
      <c r="F1016" t="str">
        <f>Koond_kulud!F1060</f>
        <v>Teede- ja ühistranspordinõunik</v>
      </c>
      <c r="G1016" t="str">
        <f>Koond_kulud!G1060</f>
        <v>Õpilastranspot Põlula ja VPG (TA Bussid leping)</v>
      </c>
      <c r="H1016">
        <f>Koond_kulud!H1060</f>
        <v>56000</v>
      </c>
      <c r="I1016">
        <f>Koond_kulud!I1060</f>
        <v>0</v>
      </c>
      <c r="J1016">
        <f>Koond_kulud!J1060</f>
        <v>4134</v>
      </c>
      <c r="K1016" t="str">
        <f>Koond_kulud!K1060</f>
        <v>Õppetoetused</v>
      </c>
      <c r="L1016">
        <f>Koond_kulud!L1060</f>
        <v>413</v>
      </c>
      <c r="M1016" t="str">
        <f>Koond_kulud!M1060</f>
        <v>41</v>
      </c>
      <c r="N1016" t="str">
        <f>Koond_kulud!N1060</f>
        <v>Antavad toetused tegevuskuludeks</v>
      </c>
      <c r="O1016" t="str">
        <f>Koond_kulud!O1060</f>
        <v>Sotsiaalabitoetused ja muud toetused füüsilistele isikutele</v>
      </c>
      <c r="P1016" t="str">
        <f>Koond_kulud!P1060</f>
        <v>Põhitegevuse kulu</v>
      </c>
      <c r="Q1016">
        <f>Koond_kulud!Q1060</f>
        <v>0</v>
      </c>
    </row>
    <row r="1017" spans="1:17" hidden="1" x14ac:dyDescent="0.25">
      <c r="A1017" t="str">
        <f>Koond_kulud!A1061</f>
        <v>09</v>
      </c>
      <c r="B1017" t="str">
        <f>Koond_kulud!B1061</f>
        <v xml:space="preserve">09600           </v>
      </c>
      <c r="C1017" t="str">
        <f>Koond_kulud!C1061</f>
        <v xml:space="preserve"> Koolitransport</v>
      </c>
      <c r="D1017" t="str">
        <f>Koond_kulud!D1061</f>
        <v>Koolitransport</v>
      </c>
      <c r="E1017" t="str">
        <f>Koond_kulud!E1061</f>
        <v>Haridus</v>
      </c>
      <c r="F1017" t="str">
        <f>Koond_kulud!F1061</f>
        <v>Teede- ja ühistranspordinõunik</v>
      </c>
      <c r="G1017" t="str">
        <f>Koond_kulud!G1061</f>
        <v>Õpilastransport Muuga ja Laekvere (MK Reis leping)</v>
      </c>
      <c r="H1017">
        <f>Koond_kulud!H1061</f>
        <v>42000</v>
      </c>
      <c r="I1017">
        <f>Koond_kulud!I1061</f>
        <v>0</v>
      </c>
      <c r="J1017">
        <f>Koond_kulud!J1061</f>
        <v>4134</v>
      </c>
      <c r="K1017" t="str">
        <f>Koond_kulud!K1061</f>
        <v>Õppetoetused</v>
      </c>
      <c r="L1017">
        <f>Koond_kulud!L1061</f>
        <v>413</v>
      </c>
      <c r="M1017" t="str">
        <f>Koond_kulud!M1061</f>
        <v>41</v>
      </c>
      <c r="N1017" t="str">
        <f>Koond_kulud!N1061</f>
        <v>Antavad toetused tegevuskuludeks</v>
      </c>
      <c r="O1017" t="str">
        <f>Koond_kulud!O1061</f>
        <v>Sotsiaalabitoetused ja muud toetused füüsilistele isikutele</v>
      </c>
      <c r="P1017" t="str">
        <f>Koond_kulud!P1061</f>
        <v>Põhitegevuse kulu</v>
      </c>
      <c r="Q1017">
        <f>Koond_kulud!Q1061</f>
        <v>0</v>
      </c>
    </row>
    <row r="1018" spans="1:17" hidden="1" x14ac:dyDescent="0.25">
      <c r="A1018" t="str">
        <f>Koond_kulud!A1062</f>
        <v>09</v>
      </c>
      <c r="B1018" t="str">
        <f>Koond_kulud!B1062</f>
        <v xml:space="preserve">09600           </v>
      </c>
      <c r="C1018" t="str">
        <f>Koond_kulud!C1062</f>
        <v xml:space="preserve"> Koolitransport</v>
      </c>
      <c r="D1018" t="str">
        <f>Koond_kulud!D1062</f>
        <v>Koolitransport</v>
      </c>
      <c r="E1018" t="str">
        <f>Koond_kulud!E1062</f>
        <v>Haridus</v>
      </c>
      <c r="F1018" t="str">
        <f>Koond_kulud!F1062</f>
        <v>Teede- ja ühistranspordinõunik</v>
      </c>
      <c r="G1018" t="str">
        <f>Koond_kulud!G1062</f>
        <v>Kütus</v>
      </c>
      <c r="H1018">
        <f>Koond_kulud!H1062</f>
        <v>23700</v>
      </c>
      <c r="I1018" t="str">
        <f>Koond_kulud!I1062</f>
        <v>50000km*36l/100le*1,3eur/l</v>
      </c>
      <c r="J1018">
        <f>Koond_kulud!J1062</f>
        <v>5513</v>
      </c>
      <c r="K1018" t="str">
        <f>Koond_kulud!K1062</f>
        <v>Sõidukite ülalpidamise kulud</v>
      </c>
      <c r="L1018">
        <f>Koond_kulud!L1062</f>
        <v>55</v>
      </c>
      <c r="M1018" t="str">
        <f>Koond_kulud!M1062</f>
        <v>55</v>
      </c>
      <c r="N1018" t="str">
        <f>Koond_kulud!N1062</f>
        <v>Muud tegevuskulud</v>
      </c>
      <c r="O1018" t="str">
        <f>Koond_kulud!O1062</f>
        <v>Majandamiskulud</v>
      </c>
      <c r="P1018" t="str">
        <f>Koond_kulud!P1062</f>
        <v>Põhitegevuse kulu</v>
      </c>
      <c r="Q1018">
        <f>Koond_kulud!Q1062</f>
        <v>0</v>
      </c>
    </row>
    <row r="1019" spans="1:17" hidden="1" x14ac:dyDescent="0.25">
      <c r="A1019" t="str">
        <f>Koond_kulud!A1063</f>
        <v>09</v>
      </c>
      <c r="B1019" t="str">
        <f>Koond_kulud!B1063</f>
        <v xml:space="preserve">0960201         </v>
      </c>
      <c r="C1019" t="str">
        <f>Koond_kulud!C1063</f>
        <v xml:space="preserve"> Roela Õpilaskodu</v>
      </c>
      <c r="D1019" t="str">
        <f>Koond_kulud!D1063</f>
        <v>Öömaja</v>
      </c>
      <c r="E1019" t="str">
        <f>Koond_kulud!E1063</f>
        <v>Haridus</v>
      </c>
      <c r="F1019" t="str">
        <f>Koond_kulud!F1063</f>
        <v>Roela Õpilaskodu</v>
      </c>
      <c r="G1019" t="str">
        <f>Koond_kulud!G1063</f>
        <v>telefon, internet</v>
      </c>
      <c r="H1019">
        <f>Koond_kulud!H1063</f>
        <v>576</v>
      </c>
      <c r="I1019" t="str">
        <f>Koond_kulud!I1063</f>
        <v>internet 46 x 12 = 552</v>
      </c>
      <c r="J1019">
        <f>Koond_kulud!J1063</f>
        <v>5500</v>
      </c>
      <c r="K1019" t="str">
        <f>Koond_kulud!K1063</f>
        <v>Administreerimiskulud</v>
      </c>
      <c r="L1019">
        <f>Koond_kulud!L1063</f>
        <v>55</v>
      </c>
      <c r="M1019" t="str">
        <f>Koond_kulud!M1063</f>
        <v>55</v>
      </c>
      <c r="N1019" t="str">
        <f>Koond_kulud!N1063</f>
        <v>Muud tegevuskulud</v>
      </c>
      <c r="O1019" t="str">
        <f>Koond_kulud!O1063</f>
        <v>Majandamiskulud</v>
      </c>
      <c r="P1019" t="str">
        <f>Koond_kulud!P1063</f>
        <v>Põhitegevuse kulu</v>
      </c>
      <c r="Q1019">
        <f>Koond_kulud!Q1063</f>
        <v>0</v>
      </c>
    </row>
    <row r="1020" spans="1:17" hidden="1" x14ac:dyDescent="0.25">
      <c r="A1020" t="str">
        <f>Koond_kulud!A1064</f>
        <v>09</v>
      </c>
      <c r="B1020" t="str">
        <f>Koond_kulud!B1064</f>
        <v xml:space="preserve">0960201         </v>
      </c>
      <c r="C1020" t="str">
        <f>Koond_kulud!C1064</f>
        <v xml:space="preserve"> Roela Õpilaskodu</v>
      </c>
      <c r="D1020" t="str">
        <f>Koond_kulud!D1064</f>
        <v>Öömaja</v>
      </c>
      <c r="E1020" t="str">
        <f>Koond_kulud!E1064</f>
        <v>Haridus</v>
      </c>
      <c r="F1020" t="str">
        <f>Koond_kulud!F1064</f>
        <v>Roela Õpilaskodu</v>
      </c>
      <c r="G1020" t="str">
        <f>Koond_kulud!G1064</f>
        <v>mobiili kuulimiit 20 eurot</v>
      </c>
      <c r="H1020">
        <f>Koond_kulud!H1064</f>
        <v>60</v>
      </c>
      <c r="I1020" t="str">
        <f>Koond_kulud!I1064</f>
        <v>20 x 12</v>
      </c>
      <c r="J1020">
        <f>Koond_kulud!J1064</f>
        <v>5500</v>
      </c>
      <c r="K1020" t="str">
        <f>Koond_kulud!K1064</f>
        <v>Administreerimiskulud</v>
      </c>
      <c r="L1020">
        <f>Koond_kulud!L1064</f>
        <v>55</v>
      </c>
      <c r="M1020" t="str">
        <f>Koond_kulud!M1064</f>
        <v>55</v>
      </c>
      <c r="N1020" t="str">
        <f>Koond_kulud!N1064</f>
        <v>Muud tegevuskulud</v>
      </c>
      <c r="O1020" t="str">
        <f>Koond_kulud!O1064</f>
        <v>Majandamiskulud</v>
      </c>
      <c r="P1020" t="str">
        <f>Koond_kulud!P1064</f>
        <v>Põhitegevuse kulu</v>
      </c>
      <c r="Q1020">
        <f>Koond_kulud!Q1064</f>
        <v>0</v>
      </c>
    </row>
    <row r="1021" spans="1:17" hidden="1" x14ac:dyDescent="0.25">
      <c r="A1021" t="str">
        <f>Koond_kulud!A1065</f>
        <v>09</v>
      </c>
      <c r="B1021" t="str">
        <f>Koond_kulud!B1065</f>
        <v xml:space="preserve">0960201         </v>
      </c>
      <c r="C1021" t="str">
        <f>Koond_kulud!C1065</f>
        <v xml:space="preserve"> Roela Õpilaskodu</v>
      </c>
      <c r="D1021" t="str">
        <f>Koond_kulud!D1065</f>
        <v>Öömaja</v>
      </c>
      <c r="E1021" t="str">
        <f>Koond_kulud!E1065</f>
        <v>Haridus</v>
      </c>
      <c r="F1021" t="str">
        <f>Koond_kulud!F1065</f>
        <v>Roela Õpilaskodu</v>
      </c>
      <c r="G1021" t="str">
        <f>Koond_kulud!G1065</f>
        <v>printeri tahm</v>
      </c>
      <c r="H1021">
        <f>Koond_kulud!H1065</f>
        <v>50</v>
      </c>
      <c r="I1021">
        <f>Koond_kulud!I1065</f>
        <v>0</v>
      </c>
      <c r="J1021">
        <f>Koond_kulud!J1065</f>
        <v>5500</v>
      </c>
      <c r="K1021" t="str">
        <f>Koond_kulud!K1065</f>
        <v>Administreerimiskulud</v>
      </c>
      <c r="L1021">
        <f>Koond_kulud!L1065</f>
        <v>55</v>
      </c>
      <c r="M1021" t="str">
        <f>Koond_kulud!M1065</f>
        <v>55</v>
      </c>
      <c r="N1021" t="str">
        <f>Koond_kulud!N1065</f>
        <v>Muud tegevuskulud</v>
      </c>
      <c r="O1021" t="str">
        <f>Koond_kulud!O1065</f>
        <v>Majandamiskulud</v>
      </c>
      <c r="P1021" t="str">
        <f>Koond_kulud!P1065</f>
        <v>Põhitegevuse kulu</v>
      </c>
      <c r="Q1021">
        <f>Koond_kulud!Q1065</f>
        <v>0</v>
      </c>
    </row>
    <row r="1022" spans="1:17" hidden="1" x14ac:dyDescent="0.25">
      <c r="A1022" t="str">
        <f>Koond_kulud!A1066</f>
        <v>09</v>
      </c>
      <c r="B1022" t="str">
        <f>Koond_kulud!B1066</f>
        <v xml:space="preserve">0960201         </v>
      </c>
      <c r="C1022" t="str">
        <f>Koond_kulud!C1066</f>
        <v xml:space="preserve"> Roela Õpilaskodu</v>
      </c>
      <c r="D1022" t="str">
        <f>Koond_kulud!D1066</f>
        <v>Öömaja</v>
      </c>
      <c r="E1022" t="str">
        <f>Koond_kulud!E1066</f>
        <v>Haridus</v>
      </c>
      <c r="F1022" t="str">
        <f>Koond_kulud!F1066</f>
        <v>Roela Õpilaskodu</v>
      </c>
      <c r="G1022" t="str">
        <f>Koond_kulud!G1066</f>
        <v>kalendrid, paber jne</v>
      </c>
      <c r="H1022">
        <f>Koond_kulud!H1066</f>
        <v>50</v>
      </c>
      <c r="I1022">
        <f>Koond_kulud!I1066</f>
        <v>0</v>
      </c>
      <c r="J1022">
        <f>Koond_kulud!J1066</f>
        <v>5500</v>
      </c>
      <c r="K1022" t="str">
        <f>Koond_kulud!K1066</f>
        <v>Administreerimiskulud</v>
      </c>
      <c r="L1022">
        <f>Koond_kulud!L1066</f>
        <v>55</v>
      </c>
      <c r="M1022" t="str">
        <f>Koond_kulud!M1066</f>
        <v>55</v>
      </c>
      <c r="N1022" t="str">
        <f>Koond_kulud!N1066</f>
        <v>Muud tegevuskulud</v>
      </c>
      <c r="O1022" t="str">
        <f>Koond_kulud!O1066</f>
        <v>Majandamiskulud</v>
      </c>
      <c r="P1022" t="str">
        <f>Koond_kulud!P1066</f>
        <v>Põhitegevuse kulu</v>
      </c>
      <c r="Q1022">
        <f>Koond_kulud!Q1066</f>
        <v>0</v>
      </c>
    </row>
    <row r="1023" spans="1:17" hidden="1" x14ac:dyDescent="0.25">
      <c r="A1023" t="str">
        <f>Koond_kulud!A1067</f>
        <v>09</v>
      </c>
      <c r="B1023" t="str">
        <f>Koond_kulud!B1067</f>
        <v xml:space="preserve">0960201         </v>
      </c>
      <c r="C1023" t="str">
        <f>Koond_kulud!C1067</f>
        <v xml:space="preserve"> Roela Õpilaskodu</v>
      </c>
      <c r="D1023" t="str">
        <f>Koond_kulud!D1067</f>
        <v>Öömaja</v>
      </c>
      <c r="E1023" t="str">
        <f>Koond_kulud!E1067</f>
        <v>Haridus</v>
      </c>
      <c r="F1023" t="str">
        <f>Koond_kulud!F1067</f>
        <v>Roela Õpilaskodu</v>
      </c>
      <c r="G1023" t="str">
        <f>Koond_kulud!G1067</f>
        <v>seadmete remont</v>
      </c>
      <c r="H1023">
        <f>Koond_kulud!H1067</f>
        <v>200</v>
      </c>
      <c r="I1023" t="str">
        <f>Koond_kulud!I1067</f>
        <v>pesukuivati, pesumasin</v>
      </c>
      <c r="J1023">
        <f>Koond_kulud!J1067</f>
        <v>5515</v>
      </c>
      <c r="K1023" t="str">
        <f>Koond_kulud!K1067</f>
        <v>Inventari kulud, v.a infotehnoloogia ja kaitseotstarbelised kulud</v>
      </c>
      <c r="L1023">
        <f>Koond_kulud!L1067</f>
        <v>55</v>
      </c>
      <c r="M1023" t="str">
        <f>Koond_kulud!M1067</f>
        <v>55</v>
      </c>
      <c r="N1023" t="str">
        <f>Koond_kulud!N1067</f>
        <v>Muud tegevuskulud</v>
      </c>
      <c r="O1023" t="str">
        <f>Koond_kulud!O1067</f>
        <v>Majandamiskulud</v>
      </c>
      <c r="P1023" t="str">
        <f>Koond_kulud!P1067</f>
        <v>Põhitegevuse kulu</v>
      </c>
      <c r="Q1023">
        <f>Koond_kulud!Q1067</f>
        <v>0</v>
      </c>
    </row>
    <row r="1024" spans="1:17" hidden="1" x14ac:dyDescent="0.25">
      <c r="A1024" t="str">
        <f>Koond_kulud!A1068</f>
        <v>09</v>
      </c>
      <c r="B1024" t="str">
        <f>Koond_kulud!B1068</f>
        <v xml:space="preserve">0960201         </v>
      </c>
      <c r="C1024" t="str">
        <f>Koond_kulud!C1068</f>
        <v xml:space="preserve"> Roela Õpilaskodu</v>
      </c>
      <c r="D1024" t="str">
        <f>Koond_kulud!D1068</f>
        <v>Öömaja</v>
      </c>
      <c r="E1024" t="str">
        <f>Koond_kulud!E1068</f>
        <v>Haridus</v>
      </c>
      <c r="F1024" t="str">
        <f>Koond_kulud!F1068</f>
        <v>Roela Õpilaskodu</v>
      </c>
      <c r="G1024" t="str">
        <f>Koond_kulud!G1068</f>
        <v>isikliku sõiduauto kasutus</v>
      </c>
      <c r="H1024">
        <f>Koond_kulud!H1068</f>
        <v>352</v>
      </c>
      <c r="I1024" t="str">
        <f>Koond_kulud!I1068</f>
        <v>32 x 11 (Tiina Alavere)</v>
      </c>
      <c r="J1024">
        <f>Koond_kulud!J1068</f>
        <v>5513</v>
      </c>
      <c r="K1024" t="str">
        <f>Koond_kulud!K1068</f>
        <v>Sõidukite ülalpidamise kulud</v>
      </c>
      <c r="L1024">
        <f>Koond_kulud!L1068</f>
        <v>55</v>
      </c>
      <c r="M1024" t="str">
        <f>Koond_kulud!M1068</f>
        <v>55</v>
      </c>
      <c r="N1024" t="str">
        <f>Koond_kulud!N1068</f>
        <v>Muud tegevuskulud</v>
      </c>
      <c r="O1024" t="str">
        <f>Koond_kulud!O1068</f>
        <v>Majandamiskulud</v>
      </c>
      <c r="P1024" t="str">
        <f>Koond_kulud!P1068</f>
        <v>Põhitegevuse kulu</v>
      </c>
      <c r="Q1024">
        <f>Koond_kulud!Q1068</f>
        <v>0</v>
      </c>
    </row>
    <row r="1025" spans="1:17" hidden="1" x14ac:dyDescent="0.25">
      <c r="A1025" t="str">
        <f>Koond_kulud!A1069</f>
        <v>09</v>
      </c>
      <c r="B1025" t="str">
        <f>Koond_kulud!B1069</f>
        <v xml:space="preserve">0960201         </v>
      </c>
      <c r="C1025" t="str">
        <f>Koond_kulud!C1069</f>
        <v xml:space="preserve"> Roela Õpilaskodu</v>
      </c>
      <c r="D1025" t="str">
        <f>Koond_kulud!D1069</f>
        <v>Öömaja</v>
      </c>
      <c r="E1025" t="str">
        <f>Koond_kulud!E1069</f>
        <v>Haridus</v>
      </c>
      <c r="F1025" t="str">
        <f>Koond_kulud!F1069</f>
        <v>Roela Õpilaskodu</v>
      </c>
      <c r="G1025" t="str">
        <f>Koond_kulud!G1069</f>
        <v>voodikast 9 tk</v>
      </c>
      <c r="H1025">
        <f>Koond_kulud!H1069</f>
        <v>500</v>
      </c>
      <c r="I1025">
        <f>Koond_kulud!I1069</f>
        <v>0</v>
      </c>
      <c r="J1025">
        <f>Koond_kulud!J1069</f>
        <v>5515</v>
      </c>
      <c r="K1025" t="str">
        <f>Koond_kulud!K1069</f>
        <v>Inventari kulud, v.a infotehnoloogia ja kaitseotstarbelised kulud</v>
      </c>
      <c r="L1025">
        <f>Koond_kulud!L1069</f>
        <v>55</v>
      </c>
      <c r="M1025" t="str">
        <f>Koond_kulud!M1069</f>
        <v>55</v>
      </c>
      <c r="N1025" t="str">
        <f>Koond_kulud!N1069</f>
        <v>Muud tegevuskulud</v>
      </c>
      <c r="O1025" t="str">
        <f>Koond_kulud!O1069</f>
        <v>Majandamiskulud</v>
      </c>
      <c r="P1025" t="str">
        <f>Koond_kulud!P1069</f>
        <v>Põhitegevuse kulu</v>
      </c>
      <c r="Q1025">
        <f>Koond_kulud!Q1069</f>
        <v>0</v>
      </c>
    </row>
    <row r="1026" spans="1:17" hidden="1" x14ac:dyDescent="0.25">
      <c r="A1026" t="str">
        <f>Koond_kulud!A1070</f>
        <v>09</v>
      </c>
      <c r="B1026" t="str">
        <f>Koond_kulud!B1070</f>
        <v xml:space="preserve">0960201         </v>
      </c>
      <c r="C1026" t="str">
        <f>Koond_kulud!C1070</f>
        <v xml:space="preserve"> Roela Õpilaskodu</v>
      </c>
      <c r="D1026" t="str">
        <f>Koond_kulud!D1070</f>
        <v>Öömaja</v>
      </c>
      <c r="E1026" t="str">
        <f>Koond_kulud!E1070</f>
        <v>Haridus</v>
      </c>
      <c r="F1026" t="str">
        <f>Koond_kulud!F1070</f>
        <v>Roela Õpilaskodu</v>
      </c>
      <c r="G1026" t="str">
        <f>Koond_kulud!G1070</f>
        <v>köögitaburet 12 tk</v>
      </c>
      <c r="H1026">
        <f>Koond_kulud!H1070</f>
        <v>250</v>
      </c>
      <c r="I1026">
        <f>Koond_kulud!I1070</f>
        <v>0</v>
      </c>
      <c r="J1026">
        <f>Koond_kulud!J1070</f>
        <v>5515</v>
      </c>
      <c r="K1026" t="str">
        <f>Koond_kulud!K1070</f>
        <v>Inventari kulud, v.a infotehnoloogia ja kaitseotstarbelised kulud</v>
      </c>
      <c r="L1026">
        <f>Koond_kulud!L1070</f>
        <v>55</v>
      </c>
      <c r="M1026" t="str">
        <f>Koond_kulud!M1070</f>
        <v>55</v>
      </c>
      <c r="N1026" t="str">
        <f>Koond_kulud!N1070</f>
        <v>Muud tegevuskulud</v>
      </c>
      <c r="O1026" t="str">
        <f>Koond_kulud!O1070</f>
        <v>Majandamiskulud</v>
      </c>
      <c r="P1026" t="str">
        <f>Koond_kulud!P1070</f>
        <v>Põhitegevuse kulu</v>
      </c>
      <c r="Q1026">
        <f>Koond_kulud!Q1070</f>
        <v>0</v>
      </c>
    </row>
    <row r="1027" spans="1:17" hidden="1" x14ac:dyDescent="0.25">
      <c r="A1027" t="str">
        <f>Koond_kulud!A1071</f>
        <v>09</v>
      </c>
      <c r="B1027" t="str">
        <f>Koond_kulud!B1071</f>
        <v xml:space="preserve">0960201         </v>
      </c>
      <c r="C1027" t="str">
        <f>Koond_kulud!C1071</f>
        <v xml:space="preserve"> Roela Õpilaskodu</v>
      </c>
      <c r="D1027" t="str">
        <f>Koond_kulud!D1071</f>
        <v>Öömaja</v>
      </c>
      <c r="E1027" t="str">
        <f>Koond_kulud!E1071</f>
        <v>Haridus</v>
      </c>
      <c r="F1027" t="str">
        <f>Koond_kulud!F1071</f>
        <v>Roela Õpilaskodu</v>
      </c>
      <c r="G1027" t="str">
        <f>Koond_kulud!G1071</f>
        <v>televiisor 1 tk</v>
      </c>
      <c r="H1027">
        <f>Koond_kulud!H1071</f>
        <v>600</v>
      </c>
      <c r="I1027">
        <f>Koond_kulud!I1071</f>
        <v>0</v>
      </c>
      <c r="J1027">
        <f>Koond_kulud!J1071</f>
        <v>5515</v>
      </c>
      <c r="K1027" t="str">
        <f>Koond_kulud!K1071</f>
        <v>Inventari kulud, v.a infotehnoloogia ja kaitseotstarbelised kulud</v>
      </c>
      <c r="L1027">
        <f>Koond_kulud!L1071</f>
        <v>55</v>
      </c>
      <c r="M1027" t="str">
        <f>Koond_kulud!M1071</f>
        <v>55</v>
      </c>
      <c r="N1027" t="str">
        <f>Koond_kulud!N1071</f>
        <v>Muud tegevuskulud</v>
      </c>
      <c r="O1027" t="str">
        <f>Koond_kulud!O1071</f>
        <v>Majandamiskulud</v>
      </c>
      <c r="P1027" t="str">
        <f>Koond_kulud!P1071</f>
        <v>Põhitegevuse kulu</v>
      </c>
      <c r="Q1027">
        <f>Koond_kulud!Q1071</f>
        <v>0</v>
      </c>
    </row>
    <row r="1028" spans="1:17" hidden="1" x14ac:dyDescent="0.25">
      <c r="A1028" t="str">
        <f>Koond_kulud!A1072</f>
        <v>09</v>
      </c>
      <c r="B1028" t="str">
        <f>Koond_kulud!B1072</f>
        <v xml:space="preserve">0960201         </v>
      </c>
      <c r="C1028" t="str">
        <f>Koond_kulud!C1072</f>
        <v xml:space="preserve"> Roela Õpilaskodu</v>
      </c>
      <c r="D1028" t="str">
        <f>Koond_kulud!D1072</f>
        <v>Öömaja</v>
      </c>
      <c r="E1028" t="str">
        <f>Koond_kulud!E1072</f>
        <v>Haridus</v>
      </c>
      <c r="F1028" t="str">
        <f>Koond_kulud!F1072</f>
        <v>Roela Õpilaskodu</v>
      </c>
      <c r="G1028" t="str">
        <f>Koond_kulud!G1072</f>
        <v>toiduained</v>
      </c>
      <c r="H1028">
        <f>Koond_kulud!H1072</f>
        <v>3600</v>
      </c>
      <c r="I1028">
        <f>Koond_kulud!I1072</f>
        <v>0</v>
      </c>
      <c r="J1028">
        <f>Koond_kulud!J1072</f>
        <v>5521</v>
      </c>
      <c r="K1028" t="str">
        <f>Koond_kulud!K1072</f>
        <v>Toiduained ja toitlustusteenused</v>
      </c>
      <c r="L1028">
        <f>Koond_kulud!L1072</f>
        <v>55</v>
      </c>
      <c r="M1028" t="str">
        <f>Koond_kulud!M1072</f>
        <v>55</v>
      </c>
      <c r="N1028" t="str">
        <f>Koond_kulud!N1072</f>
        <v>Muud tegevuskulud</v>
      </c>
      <c r="O1028" t="str">
        <f>Koond_kulud!O1072</f>
        <v>Majandamiskulud</v>
      </c>
      <c r="P1028" t="str">
        <f>Koond_kulud!P1072</f>
        <v>Põhitegevuse kulu</v>
      </c>
      <c r="Q1028">
        <f>Koond_kulud!Q1072</f>
        <v>0</v>
      </c>
    </row>
    <row r="1029" spans="1:17" hidden="1" x14ac:dyDescent="0.25">
      <c r="A1029" t="str">
        <f>Koond_kulud!A1073</f>
        <v>09</v>
      </c>
      <c r="B1029" t="str">
        <f>Koond_kulud!B1073</f>
        <v xml:space="preserve">0960201         </v>
      </c>
      <c r="C1029" t="str">
        <f>Koond_kulud!C1073</f>
        <v xml:space="preserve"> Roela Õpilaskodu</v>
      </c>
      <c r="D1029" t="str">
        <f>Koond_kulud!D1073</f>
        <v>Öömaja</v>
      </c>
      <c r="E1029" t="str">
        <f>Koond_kulud!E1073</f>
        <v>Haridus</v>
      </c>
      <c r="F1029" t="str">
        <f>Koond_kulud!F1073</f>
        <v>Roela Õpilaskodu</v>
      </c>
      <c r="G1029" t="str">
        <f>Koond_kulud!G1073</f>
        <v>ravimid</v>
      </c>
      <c r="H1029">
        <f>Koond_kulud!H1073</f>
        <v>150</v>
      </c>
      <c r="I1029">
        <f>Koond_kulud!I1073</f>
        <v>0</v>
      </c>
      <c r="J1029">
        <f>Koond_kulud!J1073</f>
        <v>5522</v>
      </c>
      <c r="K1029" t="str">
        <f>Koond_kulud!K1073</f>
        <v>Meditsiinikulud ja hügieenitarbed</v>
      </c>
      <c r="L1029">
        <f>Koond_kulud!L1073</f>
        <v>55</v>
      </c>
      <c r="M1029" t="str">
        <f>Koond_kulud!M1073</f>
        <v>55</v>
      </c>
      <c r="N1029" t="str">
        <f>Koond_kulud!N1073</f>
        <v>Muud tegevuskulud</v>
      </c>
      <c r="O1029" t="str">
        <f>Koond_kulud!O1073</f>
        <v>Majandamiskulud</v>
      </c>
      <c r="P1029" t="str">
        <f>Koond_kulud!P1073</f>
        <v>Põhitegevuse kulu</v>
      </c>
      <c r="Q1029">
        <f>Koond_kulud!Q1073</f>
        <v>0</v>
      </c>
    </row>
    <row r="1030" spans="1:17" hidden="1" x14ac:dyDescent="0.25">
      <c r="A1030" t="str">
        <f>Koond_kulud!A1074</f>
        <v>09</v>
      </c>
      <c r="B1030" t="str">
        <f>Koond_kulud!B1074</f>
        <v xml:space="preserve">0960201         </v>
      </c>
      <c r="C1030" t="str">
        <f>Koond_kulud!C1074</f>
        <v xml:space="preserve"> Roela Õpilaskodu</v>
      </c>
      <c r="D1030" t="str">
        <f>Koond_kulud!D1074</f>
        <v>Öömaja</v>
      </c>
      <c r="E1030" t="str">
        <f>Koond_kulud!E1074</f>
        <v>Haridus</v>
      </c>
      <c r="F1030" t="str">
        <f>Koond_kulud!F1074</f>
        <v>Roela Õpilaskodu</v>
      </c>
      <c r="G1030" t="str">
        <f>Koond_kulud!G1074</f>
        <v>vihikud, pliiatsid, värvid jne</v>
      </c>
      <c r="H1030">
        <f>Koond_kulud!H1074</f>
        <v>150</v>
      </c>
      <c r="I1030">
        <f>Koond_kulud!I1074</f>
        <v>0</v>
      </c>
      <c r="J1030">
        <f>Koond_kulud!J1074</f>
        <v>5524</v>
      </c>
      <c r="K1030" t="str">
        <f>Koond_kulud!K1074</f>
        <v>Õppevahendid</v>
      </c>
      <c r="L1030">
        <f>Koond_kulud!L1074</f>
        <v>55</v>
      </c>
      <c r="M1030" t="str">
        <f>Koond_kulud!M1074</f>
        <v>55</v>
      </c>
      <c r="N1030" t="str">
        <f>Koond_kulud!N1074</f>
        <v>Muud tegevuskulud</v>
      </c>
      <c r="O1030" t="str">
        <f>Koond_kulud!O1074</f>
        <v>Majandamiskulud</v>
      </c>
      <c r="P1030" t="str">
        <f>Koond_kulud!P1074</f>
        <v>Põhitegevuse kulu</v>
      </c>
      <c r="Q1030">
        <f>Koond_kulud!Q1074</f>
        <v>0</v>
      </c>
    </row>
    <row r="1031" spans="1:17" hidden="1" x14ac:dyDescent="0.25">
      <c r="A1031" t="str">
        <f>Koond_kulud!A1075</f>
        <v>09</v>
      </c>
      <c r="B1031" t="str">
        <f>Koond_kulud!B1075</f>
        <v xml:space="preserve">0960201         </v>
      </c>
      <c r="C1031" t="str">
        <f>Koond_kulud!C1075</f>
        <v xml:space="preserve"> Roela Õpilaskodu</v>
      </c>
      <c r="D1031" t="str">
        <f>Koond_kulud!D1075</f>
        <v>Öömaja</v>
      </c>
      <c r="E1031" t="str">
        <f>Koond_kulud!E1075</f>
        <v>Haridus</v>
      </c>
      <c r="F1031" t="str">
        <f>Koond_kulud!F1075</f>
        <v>Roela Õpilaskodu</v>
      </c>
      <c r="G1031" t="str">
        <f>Koond_kulud!G1075</f>
        <v>mängud</v>
      </c>
      <c r="H1031">
        <f>Koond_kulud!H1075</f>
        <v>150</v>
      </c>
      <c r="I1031">
        <f>Koond_kulud!I1075</f>
        <v>0</v>
      </c>
      <c r="J1031">
        <f>Koond_kulud!J1075</f>
        <v>5524</v>
      </c>
      <c r="K1031" t="str">
        <f>Koond_kulud!K1075</f>
        <v>Õppevahendid</v>
      </c>
      <c r="L1031">
        <f>Koond_kulud!L1075</f>
        <v>55</v>
      </c>
      <c r="M1031" t="str">
        <f>Koond_kulud!M1075</f>
        <v>55</v>
      </c>
      <c r="N1031" t="str">
        <f>Koond_kulud!N1075</f>
        <v>Muud tegevuskulud</v>
      </c>
      <c r="O1031" t="str">
        <f>Koond_kulud!O1075</f>
        <v>Majandamiskulud</v>
      </c>
      <c r="P1031" t="str">
        <f>Koond_kulud!P1075</f>
        <v>Põhitegevuse kulu</v>
      </c>
      <c r="Q1031">
        <f>Koond_kulud!Q1075</f>
        <v>0</v>
      </c>
    </row>
    <row r="1032" spans="1:17" hidden="1" x14ac:dyDescent="0.25">
      <c r="A1032" t="str">
        <f>Koond_kulud!A1076</f>
        <v>09</v>
      </c>
      <c r="B1032" t="str">
        <f>Koond_kulud!B1076</f>
        <v xml:space="preserve">0960201         </v>
      </c>
      <c r="C1032" t="str">
        <f>Koond_kulud!C1076</f>
        <v xml:space="preserve"> Roela Õpilaskodu</v>
      </c>
      <c r="D1032" t="str">
        <f>Koond_kulud!D1076</f>
        <v>Öömaja</v>
      </c>
      <c r="E1032" t="str">
        <f>Koond_kulud!E1076</f>
        <v>Haridus</v>
      </c>
      <c r="F1032" t="str">
        <f>Koond_kulud!F1076</f>
        <v>Roela Õpilaskodu</v>
      </c>
      <c r="G1032" t="str">
        <f>Koond_kulud!G1076</f>
        <v>väljasõidud</v>
      </c>
      <c r="H1032">
        <f>Koond_kulud!H1076</f>
        <v>200</v>
      </c>
      <c r="I1032">
        <f>Koond_kulud!I1076</f>
        <v>0</v>
      </c>
      <c r="J1032">
        <f>Koond_kulud!J1076</f>
        <v>5525</v>
      </c>
      <c r="K1032" t="str">
        <f>Koond_kulud!K1076</f>
        <v>Kommunikatsiooni-, kultuuri- ja vaba aja sisustamise kulud</v>
      </c>
      <c r="L1032">
        <f>Koond_kulud!L1076</f>
        <v>55</v>
      </c>
      <c r="M1032" t="str">
        <f>Koond_kulud!M1076</f>
        <v>55</v>
      </c>
      <c r="N1032" t="str">
        <f>Koond_kulud!N1076</f>
        <v>Muud tegevuskulud</v>
      </c>
      <c r="O1032" t="str">
        <f>Koond_kulud!O1076</f>
        <v>Majandamiskulud</v>
      </c>
      <c r="P1032" t="str">
        <f>Koond_kulud!P1076</f>
        <v>Põhitegevuse kulu</v>
      </c>
      <c r="Q1032">
        <f>Koond_kulud!Q1076</f>
        <v>0</v>
      </c>
    </row>
    <row r="1033" spans="1:17" hidden="1" x14ac:dyDescent="0.25">
      <c r="A1033" t="str">
        <f>Koond_kulud!A1077</f>
        <v>09</v>
      </c>
      <c r="B1033" t="str">
        <f>Koond_kulud!B1077</f>
        <v xml:space="preserve">0960201         </v>
      </c>
      <c r="C1033" t="str">
        <f>Koond_kulud!C1077</f>
        <v xml:space="preserve"> Roela Õpilaskodu</v>
      </c>
      <c r="D1033" t="str">
        <f>Koond_kulud!D1077</f>
        <v>Öömaja</v>
      </c>
      <c r="E1033" t="str">
        <f>Koond_kulud!E1077</f>
        <v>Haridus</v>
      </c>
      <c r="F1033" t="str">
        <f>Koond_kulud!F1077</f>
        <v>Roela Õpilaskodu</v>
      </c>
      <c r="G1033" t="str">
        <f>Koond_kulud!G1077</f>
        <v>üritused</v>
      </c>
      <c r="H1033">
        <f>Koond_kulud!H1077</f>
        <v>200</v>
      </c>
      <c r="I1033">
        <f>Koond_kulud!I1077</f>
        <v>0</v>
      </c>
      <c r="J1033">
        <f>Koond_kulud!J1077</f>
        <v>5525</v>
      </c>
      <c r="K1033" t="str">
        <f>Koond_kulud!K1077</f>
        <v>Kommunikatsiooni-, kultuuri- ja vaba aja sisustamise kulud</v>
      </c>
      <c r="L1033">
        <f>Koond_kulud!L1077</f>
        <v>55</v>
      </c>
      <c r="M1033" t="str">
        <f>Koond_kulud!M1077</f>
        <v>55</v>
      </c>
      <c r="N1033" t="str">
        <f>Koond_kulud!N1077</f>
        <v>Muud tegevuskulud</v>
      </c>
      <c r="O1033" t="str">
        <f>Koond_kulud!O1077</f>
        <v>Majandamiskulud</v>
      </c>
      <c r="P1033" t="str">
        <f>Koond_kulud!P1077</f>
        <v>Põhitegevuse kulu</v>
      </c>
      <c r="Q1033">
        <f>Koond_kulud!Q1077</f>
        <v>0</v>
      </c>
    </row>
    <row r="1034" spans="1:17" hidden="1" x14ac:dyDescent="0.25">
      <c r="A1034" t="str">
        <f>Koond_kulud!A1078</f>
        <v>09</v>
      </c>
      <c r="B1034" t="str">
        <f>Koond_kulud!B1078</f>
        <v xml:space="preserve">0960201         </v>
      </c>
      <c r="C1034" t="str">
        <f>Koond_kulud!C1078</f>
        <v xml:space="preserve"> Roela Õpilaskodu</v>
      </c>
      <c r="D1034" t="str">
        <f>Koond_kulud!D1078</f>
        <v>Öömaja</v>
      </c>
      <c r="E1034" t="str">
        <f>Koond_kulud!E1078</f>
        <v>Haridus</v>
      </c>
      <c r="F1034" t="str">
        <f>Koond_kulud!F1078</f>
        <v>Roela Õpilaskodu</v>
      </c>
      <c r="G1034" t="str">
        <f>Koond_kulud!G1078</f>
        <v>küte</v>
      </c>
      <c r="H1034">
        <f>Koond_kulud!H1078</f>
        <v>2300</v>
      </c>
      <c r="I1034">
        <f>Koond_kulud!I1078</f>
        <v>0</v>
      </c>
      <c r="J1034">
        <f>Koond_kulud!J1078</f>
        <v>5511</v>
      </c>
      <c r="K1034" t="str">
        <f>Koond_kulud!K1078</f>
        <v>Kinnistute, hoonete ja ruumide majandamiskulud</v>
      </c>
      <c r="L1034">
        <f>Koond_kulud!L1078</f>
        <v>55</v>
      </c>
      <c r="M1034" t="str">
        <f>Koond_kulud!M1078</f>
        <v>55</v>
      </c>
      <c r="N1034" t="str">
        <f>Koond_kulud!N1078</f>
        <v>Muud tegevuskulud</v>
      </c>
      <c r="O1034" t="str">
        <f>Koond_kulud!O1078</f>
        <v>Majandamiskulud</v>
      </c>
      <c r="P1034" t="str">
        <f>Koond_kulud!P1078</f>
        <v>Põhitegevuse kulu</v>
      </c>
      <c r="Q1034">
        <f>Koond_kulud!Q1078</f>
        <v>0</v>
      </c>
    </row>
    <row r="1035" spans="1:17" hidden="1" x14ac:dyDescent="0.25">
      <c r="A1035" t="str">
        <f>Koond_kulud!A1079</f>
        <v>09</v>
      </c>
      <c r="B1035" t="str">
        <f>Koond_kulud!B1079</f>
        <v xml:space="preserve">0960201         </v>
      </c>
      <c r="C1035" t="str">
        <f>Koond_kulud!C1079</f>
        <v xml:space="preserve"> Roela Õpilaskodu</v>
      </c>
      <c r="D1035" t="str">
        <f>Koond_kulud!D1079</f>
        <v>Öömaja</v>
      </c>
      <c r="E1035" t="str">
        <f>Koond_kulud!E1079</f>
        <v>Haridus</v>
      </c>
      <c r="F1035" t="str">
        <f>Koond_kulud!F1079</f>
        <v>Roela Õpilaskodu</v>
      </c>
      <c r="G1035" t="str">
        <f>Koond_kulud!G1079</f>
        <v>elekter</v>
      </c>
      <c r="H1035">
        <f>Koond_kulud!H1079</f>
        <v>1000</v>
      </c>
      <c r="I1035">
        <f>Koond_kulud!I1079</f>
        <v>0</v>
      </c>
      <c r="J1035">
        <f>Koond_kulud!J1079</f>
        <v>5511</v>
      </c>
      <c r="K1035" t="str">
        <f>Koond_kulud!K1079</f>
        <v>Kinnistute, hoonete ja ruumide majandamiskulud</v>
      </c>
      <c r="L1035">
        <f>Koond_kulud!L1079</f>
        <v>55</v>
      </c>
      <c r="M1035" t="str">
        <f>Koond_kulud!M1079</f>
        <v>55</v>
      </c>
      <c r="N1035" t="str">
        <f>Koond_kulud!N1079</f>
        <v>Muud tegevuskulud</v>
      </c>
      <c r="O1035" t="str">
        <f>Koond_kulud!O1079</f>
        <v>Majandamiskulud</v>
      </c>
      <c r="P1035" t="str">
        <f>Koond_kulud!P1079</f>
        <v>Põhitegevuse kulu</v>
      </c>
      <c r="Q1035">
        <f>Koond_kulud!Q1079</f>
        <v>0</v>
      </c>
    </row>
    <row r="1036" spans="1:17" hidden="1" x14ac:dyDescent="0.25">
      <c r="A1036" t="str">
        <f>Koond_kulud!A1080</f>
        <v>09</v>
      </c>
      <c r="B1036" t="str">
        <f>Koond_kulud!B1080</f>
        <v xml:space="preserve">0960201         </v>
      </c>
      <c r="C1036" t="str">
        <f>Koond_kulud!C1080</f>
        <v xml:space="preserve"> Roela Õpilaskodu</v>
      </c>
      <c r="D1036" t="str">
        <f>Koond_kulud!D1080</f>
        <v>Öömaja</v>
      </c>
      <c r="E1036" t="str">
        <f>Koond_kulud!E1080</f>
        <v>Haridus</v>
      </c>
      <c r="F1036" t="str">
        <f>Koond_kulud!F1080</f>
        <v>Roela Õpilaskodu</v>
      </c>
      <c r="G1036" t="str">
        <f>Koond_kulud!G1080</f>
        <v>vesi- ja kanalisatsioon</v>
      </c>
      <c r="H1036">
        <f>Koond_kulud!H1080</f>
        <v>400</v>
      </c>
      <c r="I1036">
        <f>Koond_kulud!I1080</f>
        <v>0</v>
      </c>
      <c r="J1036">
        <f>Koond_kulud!J1080</f>
        <v>5511</v>
      </c>
      <c r="K1036" t="str">
        <f>Koond_kulud!K1080</f>
        <v>Kinnistute, hoonete ja ruumide majandamiskulud</v>
      </c>
      <c r="L1036">
        <f>Koond_kulud!L1080</f>
        <v>55</v>
      </c>
      <c r="M1036" t="str">
        <f>Koond_kulud!M1080</f>
        <v>55</v>
      </c>
      <c r="N1036" t="str">
        <f>Koond_kulud!N1080</f>
        <v>Muud tegevuskulud</v>
      </c>
      <c r="O1036" t="str">
        <f>Koond_kulud!O1080</f>
        <v>Majandamiskulud</v>
      </c>
      <c r="P1036" t="str">
        <f>Koond_kulud!P1080</f>
        <v>Põhitegevuse kulu</v>
      </c>
      <c r="Q1036">
        <f>Koond_kulud!Q1080</f>
        <v>0</v>
      </c>
    </row>
    <row r="1037" spans="1:17" hidden="1" x14ac:dyDescent="0.25">
      <c r="A1037" t="str">
        <f>Koond_kulud!A1081</f>
        <v>09</v>
      </c>
      <c r="B1037" t="str">
        <f>Koond_kulud!B1081</f>
        <v xml:space="preserve">0960201         </v>
      </c>
      <c r="C1037" t="str">
        <f>Koond_kulud!C1081</f>
        <v xml:space="preserve"> Roela Õpilaskodu</v>
      </c>
      <c r="D1037" t="str">
        <f>Koond_kulud!D1081</f>
        <v>Öömaja</v>
      </c>
      <c r="E1037" t="str">
        <f>Koond_kulud!E1081</f>
        <v>Haridus</v>
      </c>
      <c r="F1037" t="str">
        <f>Koond_kulud!F1081</f>
        <v>Roela Õpilaskodu</v>
      </c>
      <c r="G1037" t="str">
        <f>Koond_kulud!G1081</f>
        <v>prügi</v>
      </c>
      <c r="H1037">
        <f>Koond_kulud!H1081</f>
        <v>216</v>
      </c>
      <c r="I1037">
        <f>Koond_kulud!I1081</f>
        <v>0</v>
      </c>
      <c r="J1037">
        <f>Koond_kulud!J1081</f>
        <v>5511</v>
      </c>
      <c r="K1037" t="str">
        <f>Koond_kulud!K1081</f>
        <v>Kinnistute, hoonete ja ruumide majandamiskulud</v>
      </c>
      <c r="L1037">
        <f>Koond_kulud!L1081</f>
        <v>55</v>
      </c>
      <c r="M1037" t="str">
        <f>Koond_kulud!M1081</f>
        <v>55</v>
      </c>
      <c r="N1037" t="str">
        <f>Koond_kulud!N1081</f>
        <v>Muud tegevuskulud</v>
      </c>
      <c r="O1037" t="str">
        <f>Koond_kulud!O1081</f>
        <v>Majandamiskulud</v>
      </c>
      <c r="P1037" t="str">
        <f>Koond_kulud!P1081</f>
        <v>Põhitegevuse kulu</v>
      </c>
      <c r="Q1037">
        <f>Koond_kulud!Q1081</f>
        <v>0</v>
      </c>
    </row>
    <row r="1038" spans="1:17" hidden="1" x14ac:dyDescent="0.25">
      <c r="A1038" t="str">
        <f>Koond_kulud!A1082</f>
        <v>09</v>
      </c>
      <c r="B1038" t="str">
        <f>Koond_kulud!B1082</f>
        <v xml:space="preserve">0960201         </v>
      </c>
      <c r="C1038" t="str">
        <f>Koond_kulud!C1082</f>
        <v xml:space="preserve"> Roela Õpilaskodu</v>
      </c>
      <c r="D1038" t="str">
        <f>Koond_kulud!D1082</f>
        <v>Öömaja</v>
      </c>
      <c r="E1038" t="str">
        <f>Koond_kulud!E1082</f>
        <v>Haridus</v>
      </c>
      <c r="F1038" t="str">
        <f>Koond_kulud!F1082</f>
        <v>Roela Õpilaskodu</v>
      </c>
      <c r="G1038" t="str">
        <f>Koond_kulud!G1082</f>
        <v>korrashoiuvahendid</v>
      </c>
      <c r="H1038">
        <f>Koond_kulud!H1082</f>
        <v>400</v>
      </c>
      <c r="I1038">
        <f>Koond_kulud!I1082</f>
        <v>0</v>
      </c>
      <c r="J1038">
        <f>Koond_kulud!J1082</f>
        <v>5511</v>
      </c>
      <c r="K1038" t="str">
        <f>Koond_kulud!K1082</f>
        <v>Kinnistute, hoonete ja ruumide majandamiskulud</v>
      </c>
      <c r="L1038">
        <f>Koond_kulud!L1082</f>
        <v>55</v>
      </c>
      <c r="M1038" t="str">
        <f>Koond_kulud!M1082</f>
        <v>55</v>
      </c>
      <c r="N1038" t="str">
        <f>Koond_kulud!N1082</f>
        <v>Muud tegevuskulud</v>
      </c>
      <c r="O1038" t="str">
        <f>Koond_kulud!O1082</f>
        <v>Majandamiskulud</v>
      </c>
      <c r="P1038" t="str">
        <f>Koond_kulud!P1082</f>
        <v>Põhitegevuse kulu</v>
      </c>
      <c r="Q1038">
        <f>Koond_kulud!Q1082</f>
        <v>0</v>
      </c>
    </row>
    <row r="1039" spans="1:17" hidden="1" x14ac:dyDescent="0.25">
      <c r="A1039" t="str">
        <f>Koond_kulud!A1083</f>
        <v>09</v>
      </c>
      <c r="B1039" t="str">
        <f>Koond_kulud!B1083</f>
        <v xml:space="preserve">0980002         </v>
      </c>
      <c r="C1039" t="str">
        <f>Koond_kulud!C1083</f>
        <v xml:space="preserve"> Üritused</v>
      </c>
      <c r="D1039" t="str">
        <f>Koond_kulud!D1083</f>
        <v>Muu haridus, sh hariduse haldus</v>
      </c>
      <c r="E1039" t="str">
        <f>Koond_kulud!E1083</f>
        <v>Vabaaeg, kultuur ja religioon</v>
      </c>
      <c r="F1039" t="str">
        <f>Koond_kulud!F1083</f>
        <v>Haridusnõunik</v>
      </c>
      <c r="G1039" t="str">
        <f>Koond_kulud!G1083</f>
        <v>Valla hariduskapitali taastamine</v>
      </c>
      <c r="H1039">
        <f>Koond_kulud!H1083</f>
        <v>1100</v>
      </c>
      <c r="I1039" t="str">
        <f>Koond_kulud!I1083</f>
        <v>(1*350.- + 3*125.-- 5*75.- )</v>
      </c>
      <c r="J1039">
        <f>Koond_kulud!J1083</f>
        <v>5525</v>
      </c>
      <c r="K1039" t="str">
        <f>Koond_kulud!K1083</f>
        <v>Kommunikatsiooni-, kultuuri- ja vaba aja sisustamise kulud</v>
      </c>
      <c r="L1039">
        <f>Koond_kulud!L1083</f>
        <v>55</v>
      </c>
      <c r="M1039" t="str">
        <f>Koond_kulud!M1083</f>
        <v>55</v>
      </c>
      <c r="N1039" t="str">
        <f>Koond_kulud!N1083</f>
        <v>Muud tegevuskulud</v>
      </c>
      <c r="O1039" t="str">
        <f>Koond_kulud!O1083</f>
        <v>Majandamiskulud</v>
      </c>
      <c r="P1039" t="str">
        <f>Koond_kulud!P1083</f>
        <v>Põhitegevuse kulu</v>
      </c>
      <c r="Q1039">
        <f>Koond_kulud!Q1083</f>
        <v>0</v>
      </c>
    </row>
    <row r="1040" spans="1:17" hidden="1" x14ac:dyDescent="0.25">
      <c r="A1040" t="str">
        <f>Koond_kulud!A1084</f>
        <v>09</v>
      </c>
      <c r="B1040" t="str">
        <f>Koond_kulud!B1084</f>
        <v xml:space="preserve">0980002         </v>
      </c>
      <c r="C1040" t="str">
        <f>Koond_kulud!C1084</f>
        <v xml:space="preserve"> Üritused</v>
      </c>
      <c r="D1040" t="str">
        <f>Koond_kulud!D1084</f>
        <v>Muu haridus, sh hariduse haldus</v>
      </c>
      <c r="E1040" t="str">
        <f>Koond_kulud!E1084</f>
        <v>Vabaaeg, kultuur ja religioon</v>
      </c>
      <c r="F1040" t="str">
        <f>Koond_kulud!F1084</f>
        <v>Haridusnõunik</v>
      </c>
      <c r="G1040" t="str">
        <f>Koond_kulud!G1084</f>
        <v>Õpilaste ja õpetajate vastuvõtt</v>
      </c>
      <c r="H1040">
        <f>Koond_kulud!H1084</f>
        <v>5000</v>
      </c>
      <c r="I1040" t="str">
        <f>Koond_kulud!I1084</f>
        <v>150 inimest: tänukirjad, meened, fotod, lilled, esinejad, suupisted</v>
      </c>
      <c r="J1040">
        <f>Koond_kulud!J1084</f>
        <v>5525</v>
      </c>
      <c r="K1040" t="str">
        <f>Koond_kulud!K1084</f>
        <v>Kommunikatsiooni-, kultuuri- ja vaba aja sisustamise kulud</v>
      </c>
      <c r="L1040">
        <f>Koond_kulud!L1084</f>
        <v>55</v>
      </c>
      <c r="M1040" t="str">
        <f>Koond_kulud!M1084</f>
        <v>55</v>
      </c>
      <c r="N1040" t="str">
        <f>Koond_kulud!N1084</f>
        <v>Muud tegevuskulud</v>
      </c>
      <c r="O1040" t="str">
        <f>Koond_kulud!O1084</f>
        <v>Majandamiskulud</v>
      </c>
      <c r="P1040" t="str">
        <f>Koond_kulud!P1084</f>
        <v>Põhitegevuse kulu</v>
      </c>
      <c r="Q1040">
        <f>Koond_kulud!Q1084</f>
        <v>0</v>
      </c>
    </row>
    <row r="1041" spans="1:17" hidden="1" x14ac:dyDescent="0.25">
      <c r="A1041" t="str">
        <f>Koond_kulud!A1085</f>
        <v>09</v>
      </c>
      <c r="B1041" t="str">
        <f>Koond_kulud!B1085</f>
        <v xml:space="preserve">0980002         </v>
      </c>
      <c r="C1041" t="str">
        <f>Koond_kulud!C1085</f>
        <v xml:space="preserve"> Üritused</v>
      </c>
      <c r="D1041" t="str">
        <f>Koond_kulud!D1085</f>
        <v>Muu haridus, sh hariduse haldus</v>
      </c>
      <c r="E1041" t="str">
        <f>Koond_kulud!E1085</f>
        <v>Vabaaeg, kultuur ja religioon</v>
      </c>
      <c r="F1041" t="str">
        <f>Koond_kulud!F1085</f>
        <v>Haridusnõunik</v>
      </c>
      <c r="G1041" t="str">
        <f>Koond_kulud!G1085</f>
        <v>Õppeaasta lõpetamine</v>
      </c>
      <c r="H1041">
        <f>Koond_kulud!H1085</f>
        <v>3500</v>
      </c>
      <c r="I1041" t="str">
        <f>Koond_kulud!I1085</f>
        <v>Lilled , meened( 75 LA+31 PK +14 G+õpetajad)</v>
      </c>
      <c r="J1041">
        <f>Koond_kulud!J1085</f>
        <v>5525</v>
      </c>
      <c r="K1041" t="str">
        <f>Koond_kulud!K1085</f>
        <v>Kommunikatsiooni-, kultuuri- ja vaba aja sisustamise kulud</v>
      </c>
      <c r="L1041">
        <f>Koond_kulud!L1085</f>
        <v>55</v>
      </c>
      <c r="M1041" t="str">
        <f>Koond_kulud!M1085</f>
        <v>55</v>
      </c>
      <c r="N1041" t="str">
        <f>Koond_kulud!N1085</f>
        <v>Muud tegevuskulud</v>
      </c>
      <c r="O1041" t="str">
        <f>Koond_kulud!O1085</f>
        <v>Majandamiskulud</v>
      </c>
      <c r="P1041" t="str">
        <f>Koond_kulud!P1085</f>
        <v>Põhitegevuse kulu</v>
      </c>
      <c r="Q1041">
        <f>Koond_kulud!Q1085</f>
        <v>0</v>
      </c>
    </row>
    <row r="1042" spans="1:17" hidden="1" x14ac:dyDescent="0.25">
      <c r="A1042" t="str">
        <f>Koond_kulud!A1086</f>
        <v>09</v>
      </c>
      <c r="B1042" t="str">
        <f>Koond_kulud!B1086</f>
        <v xml:space="preserve">0980002         </v>
      </c>
      <c r="C1042" t="str">
        <f>Koond_kulud!C1086</f>
        <v xml:space="preserve"> Üritused</v>
      </c>
      <c r="D1042" t="str">
        <f>Koond_kulud!D1086</f>
        <v>Muu haridus, sh hariduse haldus</v>
      </c>
      <c r="E1042" t="str">
        <f>Koond_kulud!E1086</f>
        <v>Vabaaeg, kultuur ja religioon</v>
      </c>
      <c r="F1042" t="str">
        <f>Koond_kulud!F1086</f>
        <v>Haridusnõunik</v>
      </c>
      <c r="G1042" t="str">
        <f>Koond_kulud!G1086</f>
        <v>Õppeaasta alustamine</v>
      </c>
      <c r="H1042">
        <f>Koond_kulud!H1086</f>
        <v>1000</v>
      </c>
      <c r="I1042" t="str">
        <f>Koond_kulud!I1086</f>
        <v>lilled 11 maja+ meened 1.klassile(75)</v>
      </c>
      <c r="J1042">
        <f>Koond_kulud!J1086</f>
        <v>5525</v>
      </c>
      <c r="K1042" t="str">
        <f>Koond_kulud!K1086</f>
        <v>Kommunikatsiooni-, kultuuri- ja vaba aja sisustamise kulud</v>
      </c>
      <c r="L1042">
        <f>Koond_kulud!L1086</f>
        <v>55</v>
      </c>
      <c r="M1042" t="str">
        <f>Koond_kulud!M1086</f>
        <v>55</v>
      </c>
      <c r="N1042" t="str">
        <f>Koond_kulud!N1086</f>
        <v>Muud tegevuskulud</v>
      </c>
      <c r="O1042" t="str">
        <f>Koond_kulud!O1086</f>
        <v>Majandamiskulud</v>
      </c>
      <c r="P1042" t="str">
        <f>Koond_kulud!P1086</f>
        <v>Põhitegevuse kulu</v>
      </c>
      <c r="Q1042">
        <f>Koond_kulud!Q1086</f>
        <v>0</v>
      </c>
    </row>
    <row r="1043" spans="1:17" hidden="1" x14ac:dyDescent="0.25">
      <c r="A1043" t="str">
        <f>Koond_kulud!A1087</f>
        <v>09</v>
      </c>
      <c r="B1043" t="str">
        <f>Koond_kulud!B1087</f>
        <v xml:space="preserve">0980002         </v>
      </c>
      <c r="C1043" t="str">
        <f>Koond_kulud!C1087</f>
        <v xml:space="preserve"> Üritused</v>
      </c>
      <c r="D1043" t="str">
        <f>Koond_kulud!D1087</f>
        <v>Muu haridus, sh hariduse haldus</v>
      </c>
      <c r="E1043" t="str">
        <f>Koond_kulud!E1087</f>
        <v>Vabaaeg, kultuur ja religioon</v>
      </c>
      <c r="F1043" t="str">
        <f>Koond_kulud!F1087</f>
        <v>Haridusnõunik</v>
      </c>
      <c r="G1043" t="str">
        <f>Koond_kulud!G1087</f>
        <v>Õpetajatepäev</v>
      </c>
      <c r="H1043">
        <f>Koond_kulud!H1087</f>
        <v>7000</v>
      </c>
      <c r="I1043" t="str">
        <f>Koond_kulud!I1087</f>
        <v>üritus 175-le inimesele( kontsert, teater vms., transport, lilled, suupisted)</v>
      </c>
      <c r="J1043">
        <f>Koond_kulud!J1087</f>
        <v>5525</v>
      </c>
      <c r="K1043" t="str">
        <f>Koond_kulud!K1087</f>
        <v>Kommunikatsiooni-, kultuuri- ja vaba aja sisustamise kulud</v>
      </c>
      <c r="L1043">
        <f>Koond_kulud!L1087</f>
        <v>55</v>
      </c>
      <c r="M1043" t="str">
        <f>Koond_kulud!M1087</f>
        <v>55</v>
      </c>
      <c r="N1043" t="str">
        <f>Koond_kulud!N1087</f>
        <v>Muud tegevuskulud</v>
      </c>
      <c r="O1043" t="str">
        <f>Koond_kulud!O1087</f>
        <v>Majandamiskulud</v>
      </c>
      <c r="P1043" t="str">
        <f>Koond_kulud!P1087</f>
        <v>Põhitegevuse kulu</v>
      </c>
      <c r="Q1043">
        <f>Koond_kulud!Q1087</f>
        <v>0</v>
      </c>
    </row>
    <row r="1044" spans="1:17" hidden="1" x14ac:dyDescent="0.25">
      <c r="A1044" t="str">
        <f>Koond_kulud!A1088</f>
        <v>09</v>
      </c>
      <c r="B1044" t="str">
        <f>Koond_kulud!B1088</f>
        <v xml:space="preserve">0980002         </v>
      </c>
      <c r="C1044" t="str">
        <f>Koond_kulud!C1088</f>
        <v xml:space="preserve"> Üritused</v>
      </c>
      <c r="D1044" t="str">
        <f>Koond_kulud!D1088</f>
        <v>Muu haridus, sh hariduse haldus</v>
      </c>
      <c r="E1044" t="str">
        <f>Koond_kulud!E1088</f>
        <v>Vabaaeg, kultuur ja religioon</v>
      </c>
      <c r="F1044" t="str">
        <f>Koond_kulud!F1088</f>
        <v>Haridusnõunik</v>
      </c>
      <c r="G1044" t="str">
        <f>Koond_kulud!G1088</f>
        <v>Muud haridusüritused</v>
      </c>
      <c r="H1044">
        <f>Koond_kulud!H1088</f>
        <v>25000</v>
      </c>
      <c r="I1044" t="str">
        <f>Koond_kulud!I1088</f>
        <v>valla laste- ja noortepäev, haridusasutuste taidluspäevad jm ülevallalised üritused vastavalt kokkulepitud kultuurikavale</v>
      </c>
      <c r="J1044">
        <f>Koond_kulud!J1088</f>
        <v>5525</v>
      </c>
      <c r="K1044" t="str">
        <f>Koond_kulud!K1088</f>
        <v>Kommunikatsiooni-, kultuuri- ja vaba aja sisustamise kulud</v>
      </c>
      <c r="L1044">
        <f>Koond_kulud!L1088</f>
        <v>55</v>
      </c>
      <c r="M1044" t="str">
        <f>Koond_kulud!M1088</f>
        <v>55</v>
      </c>
      <c r="N1044" t="str">
        <f>Koond_kulud!N1088</f>
        <v>Muud tegevuskulud</v>
      </c>
      <c r="O1044" t="str">
        <f>Koond_kulud!O1088</f>
        <v>Majandamiskulud</v>
      </c>
      <c r="P1044" t="str">
        <f>Koond_kulud!P1088</f>
        <v>Põhitegevuse kulu</v>
      </c>
      <c r="Q1044">
        <f>Koond_kulud!Q1088</f>
        <v>0</v>
      </c>
    </row>
    <row r="1045" spans="1:17" hidden="1" x14ac:dyDescent="0.25">
      <c r="A1045" t="str">
        <f>Koond_kulud!A1089</f>
        <v>09</v>
      </c>
      <c r="B1045" t="str">
        <f>Koond_kulud!B1089</f>
        <v xml:space="preserve">0980003         </v>
      </c>
      <c r="C1045" t="str">
        <f>Koond_kulud!C1089</f>
        <v xml:space="preserve"> Haldus</v>
      </c>
      <c r="D1045" t="str">
        <f>Koond_kulud!D1089</f>
        <v>Muu haridus, sh hariduse haldus</v>
      </c>
      <c r="E1045" t="str">
        <f>Koond_kulud!E1089</f>
        <v>Haridus</v>
      </c>
      <c r="F1045" t="str">
        <f>Koond_kulud!F1089</f>
        <v>Haridusnõunik</v>
      </c>
      <c r="G1045" t="str">
        <f>Koond_kulud!G1089</f>
        <v>LVHJ lähetused+  3 töötaja koolitused</v>
      </c>
      <c r="H1045">
        <f>Koond_kulud!H1089</f>
        <v>3000</v>
      </c>
      <c r="I1045">
        <f>Koond_kulud!I1089</f>
        <v>0</v>
      </c>
      <c r="J1045">
        <f>Koond_kulud!J1089</f>
        <v>5504</v>
      </c>
      <c r="K1045" t="str">
        <f>Koond_kulud!K1089</f>
        <v>Koolituskulud</v>
      </c>
      <c r="L1045">
        <f>Koond_kulud!L1089</f>
        <v>55</v>
      </c>
      <c r="M1045" t="str">
        <f>Koond_kulud!M1089</f>
        <v>55</v>
      </c>
      <c r="N1045" t="str">
        <f>Koond_kulud!N1089</f>
        <v>Muud tegevuskulud</v>
      </c>
      <c r="O1045" t="str">
        <f>Koond_kulud!O1089</f>
        <v>Majandamiskulud</v>
      </c>
      <c r="P1045" t="str">
        <f>Koond_kulud!P1089</f>
        <v>Põhitegevuse kulu</v>
      </c>
      <c r="Q1045">
        <f>Koond_kulud!Q1089</f>
        <v>0</v>
      </c>
    </row>
    <row r="1046" spans="1:17" hidden="1" x14ac:dyDescent="0.25">
      <c r="A1046" t="str">
        <f>Koond_kulud!A1090</f>
        <v>09</v>
      </c>
      <c r="B1046" t="str">
        <f>Koond_kulud!B1090</f>
        <v xml:space="preserve">0980003         </v>
      </c>
      <c r="C1046" t="str">
        <f>Koond_kulud!C1090</f>
        <v xml:space="preserve"> Haldus</v>
      </c>
      <c r="D1046" t="str">
        <f>Koond_kulud!D1090</f>
        <v>Muu haridus, sh hariduse haldus</v>
      </c>
      <c r="E1046" t="str">
        <f>Koond_kulud!E1090</f>
        <v>Haridus</v>
      </c>
      <c r="F1046" t="str">
        <f>Koond_kulud!F1090</f>
        <v>Haridusnõunik</v>
      </c>
      <c r="G1046" t="str">
        <f>Koond_kulud!G1090</f>
        <v>Isikliku sõiduauto komp.</v>
      </c>
      <c r="H1046">
        <f>Koond_kulud!H1090</f>
        <v>8300</v>
      </c>
      <c r="I1046" t="str">
        <f>Koond_kulud!I1090</f>
        <v>(300+250+250) 2*10 kuud 1 *11 kuud</v>
      </c>
      <c r="J1046">
        <f>Koond_kulud!J1090</f>
        <v>5513</v>
      </c>
      <c r="K1046" t="str">
        <f>Koond_kulud!K1090</f>
        <v>Sõidukite ülalpidamise kulud</v>
      </c>
      <c r="L1046">
        <f>Koond_kulud!L1090</f>
        <v>55</v>
      </c>
      <c r="M1046" t="str">
        <f>Koond_kulud!M1090</f>
        <v>55</v>
      </c>
      <c r="N1046" t="str">
        <f>Koond_kulud!N1090</f>
        <v>Muud tegevuskulud</v>
      </c>
      <c r="O1046" t="str">
        <f>Koond_kulud!O1090</f>
        <v>Majandamiskulud</v>
      </c>
      <c r="P1046" t="str">
        <f>Koond_kulud!P1090</f>
        <v>Põhitegevuse kulu</v>
      </c>
      <c r="Q1046">
        <f>Koond_kulud!Q1090</f>
        <v>0</v>
      </c>
    </row>
    <row r="1047" spans="1:17" hidden="1" x14ac:dyDescent="0.25">
      <c r="A1047" t="str">
        <f>Koond_kulud!A1091</f>
        <v>09</v>
      </c>
      <c r="B1047" t="str">
        <f>Koond_kulud!B1091</f>
        <v xml:space="preserve">0980003         </v>
      </c>
      <c r="C1047" t="str">
        <f>Koond_kulud!C1091</f>
        <v xml:space="preserve"> Haldus</v>
      </c>
      <c r="D1047" t="str">
        <f>Koond_kulud!D1091</f>
        <v>Muu haridus, sh hariduse haldus</v>
      </c>
      <c r="E1047" t="str">
        <f>Koond_kulud!E1091</f>
        <v>Haridus</v>
      </c>
      <c r="F1047" t="str">
        <f>Koond_kulud!F1091</f>
        <v>Haridusnõunik</v>
      </c>
      <c r="G1047" t="str">
        <f>Koond_kulud!G1091</f>
        <v>eripedagoogi töövahendid</v>
      </c>
      <c r="H1047">
        <f>Koond_kulud!H1091</f>
        <v>1000</v>
      </c>
      <c r="I1047">
        <f>Koond_kulud!I1091</f>
        <v>0</v>
      </c>
      <c r="J1047">
        <f>Koond_kulud!J1091</f>
        <v>5524</v>
      </c>
      <c r="K1047" t="str">
        <f>Koond_kulud!K1091</f>
        <v>Õppevahendid</v>
      </c>
      <c r="L1047">
        <f>Koond_kulud!L1091</f>
        <v>55</v>
      </c>
      <c r="M1047" t="str">
        <f>Koond_kulud!M1091</f>
        <v>55</v>
      </c>
      <c r="N1047" t="str">
        <f>Koond_kulud!N1091</f>
        <v>Muud tegevuskulud</v>
      </c>
      <c r="O1047" t="str">
        <f>Koond_kulud!O1091</f>
        <v>Majandamiskulud</v>
      </c>
      <c r="P1047" t="str">
        <f>Koond_kulud!P1091</f>
        <v>Põhitegevuse kulu</v>
      </c>
      <c r="Q1047">
        <f>Koond_kulud!Q1091</f>
        <v>0</v>
      </c>
    </row>
    <row r="1048" spans="1:17" hidden="1" x14ac:dyDescent="0.25">
      <c r="A1048" t="str">
        <f>Koond_kulud!A1092</f>
        <v>09</v>
      </c>
      <c r="B1048" t="str">
        <f>Koond_kulud!B1092</f>
        <v xml:space="preserve">0980003         </v>
      </c>
      <c r="C1048" t="str">
        <f>Koond_kulud!C1092</f>
        <v xml:space="preserve"> Haldus</v>
      </c>
      <c r="D1048" t="str">
        <f>Koond_kulud!D1092</f>
        <v>Muu haridus, sh hariduse haldus</v>
      </c>
      <c r="E1048" t="str">
        <f>Koond_kulud!E1092</f>
        <v>Haridus</v>
      </c>
      <c r="F1048" t="str">
        <f>Koond_kulud!F1092</f>
        <v>Haridusnõunik</v>
      </c>
      <c r="G1048" t="str">
        <f>Koond_kulud!G1092</f>
        <v>laualambid jms alushariduse spets</v>
      </c>
      <c r="H1048">
        <f>Koond_kulud!H1092</f>
        <v>300</v>
      </c>
      <c r="I1048">
        <f>Koond_kulud!I1092</f>
        <v>0</v>
      </c>
      <c r="J1048">
        <f>Koond_kulud!J1092</f>
        <v>5515</v>
      </c>
      <c r="K1048" t="str">
        <f>Koond_kulud!K1092</f>
        <v>Inventari kulud, v.a infotehnoloogia ja kaitseotstarbelised kulud</v>
      </c>
      <c r="L1048">
        <f>Koond_kulud!L1092</f>
        <v>55</v>
      </c>
      <c r="M1048" t="str">
        <f>Koond_kulud!M1092</f>
        <v>55</v>
      </c>
      <c r="N1048" t="str">
        <f>Koond_kulud!N1092</f>
        <v>Muud tegevuskulud</v>
      </c>
      <c r="O1048" t="str">
        <f>Koond_kulud!O1092</f>
        <v>Majandamiskulud</v>
      </c>
      <c r="P1048" t="str">
        <f>Koond_kulud!P1092</f>
        <v>Põhitegevuse kulu</v>
      </c>
      <c r="Q1048">
        <f>Koond_kulud!Q1092</f>
        <v>0</v>
      </c>
    </row>
    <row r="1049" spans="1:17" hidden="1" x14ac:dyDescent="0.25">
      <c r="A1049" t="str">
        <f>Koond_kulud!A1093</f>
        <v>09</v>
      </c>
      <c r="B1049" t="str">
        <f>Koond_kulud!B1093</f>
        <v xml:space="preserve">0980003         </v>
      </c>
      <c r="C1049" t="str">
        <f>Koond_kulud!C1093</f>
        <v xml:space="preserve"> Haldus</v>
      </c>
      <c r="D1049" t="str">
        <f>Koond_kulud!D1093</f>
        <v>Muu haridus, sh hariduse haldus</v>
      </c>
      <c r="E1049" t="str">
        <f>Koond_kulud!E1093</f>
        <v>Haridus</v>
      </c>
      <c r="F1049" t="str">
        <f>Koond_kulud!F1093</f>
        <v>Haridusnõunik</v>
      </c>
      <c r="G1049" t="str">
        <f>Koond_kulud!G1093</f>
        <v>Sideteenused</v>
      </c>
      <c r="H1049">
        <f>Koond_kulud!H1093</f>
        <v>540</v>
      </c>
      <c r="I1049">
        <f>Koond_kulud!I1093</f>
        <v>0</v>
      </c>
      <c r="J1049">
        <f>Koond_kulud!J1093</f>
        <v>5500</v>
      </c>
      <c r="K1049" t="str">
        <f>Koond_kulud!K1093</f>
        <v>Administreerimiskulud</v>
      </c>
      <c r="L1049">
        <f>Koond_kulud!L1093</f>
        <v>55</v>
      </c>
      <c r="M1049" t="str">
        <f>Koond_kulud!M1093</f>
        <v>55</v>
      </c>
      <c r="N1049" t="str">
        <f>Koond_kulud!N1093</f>
        <v>Muud tegevuskulud</v>
      </c>
      <c r="O1049" t="str">
        <f>Koond_kulud!O1093</f>
        <v>Majandamiskulud</v>
      </c>
      <c r="P1049" t="str">
        <f>Koond_kulud!P1093</f>
        <v>Põhitegevuse kulu</v>
      </c>
      <c r="Q1049">
        <f>Koond_kulud!Q1093</f>
        <v>0</v>
      </c>
    </row>
    <row r="1050" spans="1:17" hidden="1" x14ac:dyDescent="0.25">
      <c r="A1050" t="str">
        <f>Koond_kulud!A1094</f>
        <v>09</v>
      </c>
      <c r="B1050" t="str">
        <f>Koond_kulud!B1094</f>
        <v>0980004</v>
      </c>
      <c r="C1050" t="str">
        <f>Koond_kulud!C1094</f>
        <v xml:space="preserve"> Halduse tagatavad kulud</v>
      </c>
      <c r="D1050" t="str">
        <f>Koond_kulud!D1094</f>
        <v>Muu haridus, sh hariduse haldus</v>
      </c>
      <c r="E1050" t="str">
        <f>Koond_kulud!E1094</f>
        <v>Haridus</v>
      </c>
      <c r="F1050" t="str">
        <f>Koond_kulud!F1094</f>
        <v>Haridusnõunik</v>
      </c>
      <c r="G1050" t="str">
        <f>Koond_kulud!G1094</f>
        <v>Õpetajate ühiskoolitused</v>
      </c>
      <c r="H1050">
        <f>Koond_kulud!H1094</f>
        <v>10000</v>
      </c>
      <c r="I1050" t="str">
        <f>Koond_kulud!I1094</f>
        <v xml:space="preserve">koolivaheaegadel kõikidele valla õpetajatele korraldatud koolitused(4) </v>
      </c>
      <c r="J1050">
        <f>Koond_kulud!J1094</f>
        <v>5504</v>
      </c>
      <c r="K1050" t="str">
        <f>Koond_kulud!K1094</f>
        <v>Koolituskulud</v>
      </c>
      <c r="L1050">
        <f>Koond_kulud!L1094</f>
        <v>55</v>
      </c>
      <c r="M1050" t="str">
        <f>Koond_kulud!M1094</f>
        <v>55</v>
      </c>
      <c r="N1050" t="str">
        <f>Koond_kulud!N1094</f>
        <v>Muud tegevuskulud</v>
      </c>
      <c r="O1050" t="str">
        <f>Koond_kulud!O1094</f>
        <v>Majandamiskulud</v>
      </c>
      <c r="P1050" t="str">
        <f>Koond_kulud!P1094</f>
        <v>Põhitegevuse kulu</v>
      </c>
      <c r="Q1050">
        <f>Koond_kulud!Q1094</f>
        <v>0</v>
      </c>
    </row>
    <row r="1051" spans="1:17" hidden="1" x14ac:dyDescent="0.25">
      <c r="A1051" t="str">
        <f>Koond_kulud!A1095</f>
        <v>09</v>
      </c>
      <c r="B1051" t="str">
        <f>Koond_kulud!B1095</f>
        <v>0980004</v>
      </c>
      <c r="C1051" t="str">
        <f>Koond_kulud!C1095</f>
        <v xml:space="preserve"> Halduse tagatavad kulud</v>
      </c>
      <c r="D1051" t="str">
        <f>Koond_kulud!D1095</f>
        <v>Muu haridus, sh hariduse haldus</v>
      </c>
      <c r="E1051" t="str">
        <f>Koond_kulud!E1095</f>
        <v>Haridus</v>
      </c>
      <c r="F1051" t="str">
        <f>Koond_kulud!F1095</f>
        <v>Haridusnõunik</v>
      </c>
      <c r="G1051" t="str">
        <f>Koond_kulud!G1095</f>
        <v>lastevanemate koolitused</v>
      </c>
      <c r="H1051">
        <f>Koond_kulud!H1095</f>
        <v>10000</v>
      </c>
      <c r="I1051">
        <f>Koond_kulud!I1095</f>
        <v>0</v>
      </c>
      <c r="J1051">
        <f>Koond_kulud!J1095</f>
        <v>5504</v>
      </c>
      <c r="K1051" t="str">
        <f>Koond_kulud!K1095</f>
        <v>Koolituskulud</v>
      </c>
      <c r="L1051">
        <f>Koond_kulud!L1095</f>
        <v>55</v>
      </c>
      <c r="M1051" t="str">
        <f>Koond_kulud!M1095</f>
        <v>55</v>
      </c>
      <c r="N1051" t="str">
        <f>Koond_kulud!N1095</f>
        <v>Muud tegevuskulud</v>
      </c>
      <c r="O1051" t="str">
        <f>Koond_kulud!O1095</f>
        <v>Majandamiskulud</v>
      </c>
      <c r="P1051" t="str">
        <f>Koond_kulud!P1095</f>
        <v>Põhitegevuse kulu</v>
      </c>
      <c r="Q1051">
        <f>Koond_kulud!Q1095</f>
        <v>0</v>
      </c>
    </row>
    <row r="1052" spans="1:17" hidden="1" x14ac:dyDescent="0.25">
      <c r="A1052" t="str">
        <f>Koond_kulud!A1096</f>
        <v>10</v>
      </c>
      <c r="B1052" t="str">
        <f>Koond_kulud!B1096</f>
        <v>10110</v>
      </c>
      <c r="C1052" t="str">
        <f>Koond_kulud!C1096</f>
        <v xml:space="preserve"> Haigete sotsiaalne kaitse</v>
      </c>
      <c r="D1052" t="str">
        <f>Koond_kulud!D1096</f>
        <v>Haigete sotsiaalne kaitse</v>
      </c>
      <c r="E1052" t="str">
        <f>Koond_kulud!E1096</f>
        <v>Sotsiaalne kaitse</v>
      </c>
      <c r="F1052" t="str">
        <f>Koond_kulud!F1096</f>
        <v>Sotsiaalosakond</v>
      </c>
      <c r="G1052" t="str">
        <f>Koond_kulud!G1096</f>
        <v>Vähihaigete Liit</v>
      </c>
      <c r="H1052">
        <f>Koond_kulud!H1096</f>
        <v>300</v>
      </c>
      <c r="I1052">
        <f>Koond_kulud!I1096</f>
        <v>0</v>
      </c>
      <c r="J1052">
        <f>Koond_kulud!J1096</f>
        <v>4500</v>
      </c>
      <c r="K1052" t="str">
        <f>Koond_kulud!K1096</f>
        <v>Sihtotstarbelised eraldised jooksvateks kuludeks</v>
      </c>
      <c r="L1052">
        <f>Koond_kulud!L1096</f>
        <v>4500</v>
      </c>
      <c r="M1052" t="str">
        <f>Koond_kulud!M1096</f>
        <v>45</v>
      </c>
      <c r="N1052" t="str">
        <f>Koond_kulud!N1096</f>
        <v>Antavad toetused tegevuskuludeks</v>
      </c>
      <c r="O1052" t="str">
        <f>Koond_kulud!O1096</f>
        <v>Sihtotstarbelised toetused tegevuskuludeks</v>
      </c>
      <c r="P1052" t="str">
        <f>Koond_kulud!P1096</f>
        <v>Põhitegevuse kulu</v>
      </c>
      <c r="Q1052">
        <f>Koond_kulud!Q1096</f>
        <v>0</v>
      </c>
    </row>
    <row r="1053" spans="1:17" hidden="1" x14ac:dyDescent="0.25">
      <c r="A1053" t="str">
        <f>Koond_kulud!A1097</f>
        <v>10</v>
      </c>
      <c r="B1053" t="str">
        <f>Koond_kulud!B1097</f>
        <v>10110</v>
      </c>
      <c r="C1053" t="str">
        <f>Koond_kulud!C1097</f>
        <v xml:space="preserve"> Haigete sotsiaalne kaitse</v>
      </c>
      <c r="D1053" t="str">
        <f>Koond_kulud!D1097</f>
        <v>Haigete sotsiaalne kaitse</v>
      </c>
      <c r="E1053" t="str">
        <f>Koond_kulud!E1097</f>
        <v>Sotsiaalne kaitse</v>
      </c>
      <c r="F1053" t="str">
        <f>Koond_kulud!F1097</f>
        <v>Sotsiaalosakond</v>
      </c>
      <c r="G1053" t="str">
        <f>Koond_kulud!G1097</f>
        <v>Lääne-Virumaa Sclerosis Multipleksi Ühing</v>
      </c>
      <c r="H1053">
        <f>Koond_kulud!H1097</f>
        <v>700</v>
      </c>
      <c r="I1053">
        <f>Koond_kulud!I1097</f>
        <v>0</v>
      </c>
      <c r="J1053">
        <f>Koond_kulud!J1097</f>
        <v>4500</v>
      </c>
      <c r="K1053" t="str">
        <f>Koond_kulud!K1097</f>
        <v>Sihtotstarbelised eraldised jooksvateks kuludeks</v>
      </c>
      <c r="L1053">
        <f>Koond_kulud!L1097</f>
        <v>4500</v>
      </c>
      <c r="M1053" t="str">
        <f>Koond_kulud!M1097</f>
        <v>45</v>
      </c>
      <c r="N1053" t="str">
        <f>Koond_kulud!N1097</f>
        <v>Antavad toetused tegevuskuludeks</v>
      </c>
      <c r="O1053" t="str">
        <f>Koond_kulud!O1097</f>
        <v>Sihtotstarbelised toetused tegevuskuludeks</v>
      </c>
      <c r="P1053" t="str">
        <f>Koond_kulud!P1097</f>
        <v>Põhitegevuse kulu</v>
      </c>
      <c r="Q1053">
        <f>Koond_kulud!Q1097</f>
        <v>0</v>
      </c>
    </row>
    <row r="1054" spans="1:17" hidden="1" x14ac:dyDescent="0.25">
      <c r="A1054" t="str">
        <f>Koond_kulud!A1098</f>
        <v>10</v>
      </c>
      <c r="B1054" t="str">
        <f>Koond_kulud!B1098</f>
        <v>10110</v>
      </c>
      <c r="C1054" t="str">
        <f>Koond_kulud!C1098</f>
        <v xml:space="preserve"> Haigete sotsiaalne kaitse</v>
      </c>
      <c r="D1054" t="str">
        <f>Koond_kulud!D1098</f>
        <v>Haigete sotsiaalne kaitse</v>
      </c>
      <c r="E1054" t="str">
        <f>Koond_kulud!E1098</f>
        <v>Sotsiaalne kaitse</v>
      </c>
      <c r="F1054" t="str">
        <f>Koond_kulud!F1098</f>
        <v>Sotsiaalosakond</v>
      </c>
      <c r="G1054" t="str">
        <f>Koond_kulud!G1098</f>
        <v>Lääne Virumaa Kurtide Ühing</v>
      </c>
      <c r="H1054">
        <f>Koond_kulud!H1098</f>
        <v>250</v>
      </c>
      <c r="I1054">
        <f>Koond_kulud!I1098</f>
        <v>0</v>
      </c>
      <c r="J1054">
        <f>Koond_kulud!J1098</f>
        <v>4500</v>
      </c>
      <c r="K1054" t="str">
        <f>Koond_kulud!K1098</f>
        <v>Sihtotstarbelised eraldised jooksvateks kuludeks</v>
      </c>
      <c r="L1054">
        <f>Koond_kulud!L1098</f>
        <v>4500</v>
      </c>
      <c r="M1054" t="str">
        <f>Koond_kulud!M1098</f>
        <v>45</v>
      </c>
      <c r="N1054" t="str">
        <f>Koond_kulud!N1098</f>
        <v>Antavad toetused tegevuskuludeks</v>
      </c>
      <c r="O1054" t="str">
        <f>Koond_kulud!O1098</f>
        <v>Sihtotstarbelised toetused tegevuskuludeks</v>
      </c>
      <c r="P1054" t="str">
        <f>Koond_kulud!P1098</f>
        <v>Põhitegevuse kulu</v>
      </c>
      <c r="Q1054">
        <f>Koond_kulud!Q1098</f>
        <v>0</v>
      </c>
    </row>
    <row r="1055" spans="1:17" hidden="1" x14ac:dyDescent="0.25">
      <c r="A1055" t="str">
        <f>Koond_kulud!A1099</f>
        <v>10</v>
      </c>
      <c r="B1055" t="str">
        <f>Koond_kulud!B1099</f>
        <v>10110</v>
      </c>
      <c r="C1055" t="str">
        <f>Koond_kulud!C1099</f>
        <v xml:space="preserve"> Haigete sotsiaalne kaitse</v>
      </c>
      <c r="D1055" t="str">
        <f>Koond_kulud!D1099</f>
        <v>Haigete sotsiaalne kaitse</v>
      </c>
      <c r="E1055" t="str">
        <f>Koond_kulud!E1099</f>
        <v>Sotsiaalne kaitse</v>
      </c>
      <c r="F1055" t="str">
        <f>Koond_kulud!F1099</f>
        <v>Sotsiaalosakond</v>
      </c>
      <c r="G1055" t="str">
        <f>Koond_kulud!G1099</f>
        <v>MTÜ Õendus-hoolduskeskus Loojang</v>
      </c>
      <c r="H1055">
        <f>Koond_kulud!H1099</f>
        <v>7000</v>
      </c>
      <c r="I1055">
        <f>Koond_kulud!I1099</f>
        <v>0</v>
      </c>
      <c r="J1055">
        <f>Koond_kulud!J1099</f>
        <v>4500</v>
      </c>
      <c r="K1055" t="str">
        <f>Koond_kulud!K1099</f>
        <v>Sihtotstarbelised eraldised jooksvateks kuludeks</v>
      </c>
      <c r="L1055">
        <f>Koond_kulud!L1099</f>
        <v>4500</v>
      </c>
      <c r="M1055" t="str">
        <f>Koond_kulud!M1099</f>
        <v>45</v>
      </c>
      <c r="N1055" t="str">
        <f>Koond_kulud!N1099</f>
        <v>Antavad toetused tegevuskuludeks</v>
      </c>
      <c r="O1055" t="str">
        <f>Koond_kulud!O1099</f>
        <v>Sihtotstarbelised toetused tegevuskuludeks</v>
      </c>
      <c r="P1055" t="str">
        <f>Koond_kulud!P1099</f>
        <v>Põhitegevuse kulu</v>
      </c>
      <c r="Q1055">
        <f>Koond_kulud!Q1099</f>
        <v>0</v>
      </c>
    </row>
    <row r="1056" spans="1:17" hidden="1" x14ac:dyDescent="0.25">
      <c r="A1056" t="str">
        <f>Koond_kulud!A1100</f>
        <v>10</v>
      </c>
      <c r="B1056" t="str">
        <f>Koond_kulud!B1100</f>
        <v xml:space="preserve">10120           </v>
      </c>
      <c r="C1056" t="str">
        <f>Koond_kulud!C1100</f>
        <v xml:space="preserve"> Puuetega inimeste sotsiaalhoolekandeasutused</v>
      </c>
      <c r="D1056" t="str">
        <f>Koond_kulud!D1100</f>
        <v>Puuetega inimeste sotsiaalhoolekandeasutused</v>
      </c>
      <c r="E1056" t="str">
        <f>Koond_kulud!E1100</f>
        <v>Sotsiaalne kaitse</v>
      </c>
      <c r="F1056" t="str">
        <f>Koond_kulud!F1100</f>
        <v>Sotsiaalosakond</v>
      </c>
      <c r="G1056" t="str">
        <f>Koond_kulud!G1100</f>
        <v>Lääne-Virumaa Puuetega Inimeste Koda</v>
      </c>
      <c r="H1056">
        <f>Koond_kulud!H1100</f>
        <v>1500</v>
      </c>
      <c r="I1056">
        <f>Koond_kulud!I1100</f>
        <v>0</v>
      </c>
      <c r="J1056">
        <f>Koond_kulud!J1100</f>
        <v>4500</v>
      </c>
      <c r="K1056" t="str">
        <f>Koond_kulud!K1100</f>
        <v>Sihtotstarbelised eraldised jooksvateks kuludeks</v>
      </c>
      <c r="L1056">
        <f>Koond_kulud!L1100</f>
        <v>4500</v>
      </c>
      <c r="M1056" t="str">
        <f>Koond_kulud!M1100</f>
        <v>45</v>
      </c>
      <c r="N1056" t="str">
        <f>Koond_kulud!N1100</f>
        <v>Antavad toetused tegevuskuludeks</v>
      </c>
      <c r="O1056" t="str">
        <f>Koond_kulud!O1100</f>
        <v>Sihtotstarbelised toetused tegevuskuludeks</v>
      </c>
      <c r="P1056" t="str">
        <f>Koond_kulud!P1100</f>
        <v>Põhitegevuse kulu</v>
      </c>
      <c r="Q1056">
        <f>Koond_kulud!Q1100</f>
        <v>0</v>
      </c>
    </row>
    <row r="1057" spans="1:17" hidden="1" x14ac:dyDescent="0.25">
      <c r="A1057" t="str">
        <f>Koond_kulud!A1102</f>
        <v>10</v>
      </c>
      <c r="B1057" t="str">
        <f>Koond_kulud!B1102</f>
        <v xml:space="preserve">10120           </v>
      </c>
      <c r="C1057" t="str">
        <f>Koond_kulud!C1102</f>
        <v xml:space="preserve"> Puuetega inimeste sotsiaalhoolekandeasutused</v>
      </c>
      <c r="D1057" t="str">
        <f>Koond_kulud!D1102</f>
        <v>Puuetega inimeste sotsiaalhoolekandeasutused</v>
      </c>
      <c r="E1057" t="str">
        <f>Koond_kulud!E1102</f>
        <v>Sotsiaalne kaitse</v>
      </c>
      <c r="F1057" t="str">
        <f>Koond_kulud!F1102</f>
        <v>Sotsiaalosakond</v>
      </c>
      <c r="G1057" t="str">
        <f>Koond_kulud!G1102</f>
        <v>MTÜ Johanna projektid</v>
      </c>
      <c r="H1057">
        <f>Koond_kulud!H1102</f>
        <v>1000</v>
      </c>
      <c r="I1057">
        <f>Koond_kulud!I1102</f>
        <v>0</v>
      </c>
      <c r="J1057">
        <f>Koond_kulud!J1102</f>
        <v>4500</v>
      </c>
      <c r="K1057" t="str">
        <f>Koond_kulud!K1102</f>
        <v>Sihtotstarbelised eraldised jooksvateks kuludeks</v>
      </c>
      <c r="L1057">
        <f>Koond_kulud!L1102</f>
        <v>4500</v>
      </c>
      <c r="M1057" t="str">
        <f>Koond_kulud!M1102</f>
        <v>45</v>
      </c>
      <c r="N1057" t="str">
        <f>Koond_kulud!N1102</f>
        <v>Antavad toetused tegevuskuludeks</v>
      </c>
      <c r="O1057" t="str">
        <f>Koond_kulud!O1102</f>
        <v>Sihtotstarbelised toetused tegevuskuludeks</v>
      </c>
      <c r="P1057" t="str">
        <f>Koond_kulud!P1102</f>
        <v>Põhitegevuse kulu</v>
      </c>
      <c r="Q1057">
        <f>Koond_kulud!Q1102</f>
        <v>0</v>
      </c>
    </row>
    <row r="1058" spans="1:17" hidden="1" x14ac:dyDescent="0.25">
      <c r="A1058" t="str">
        <f>Koond_kulud!A1103</f>
        <v>10</v>
      </c>
      <c r="B1058" t="str">
        <f>Koond_kulud!B1103</f>
        <v xml:space="preserve">10120           </v>
      </c>
      <c r="C1058" t="str">
        <f>Koond_kulud!C1103</f>
        <v xml:space="preserve"> Puuetega inimeste sotsiaalhoolekandeasutused</v>
      </c>
      <c r="D1058" t="str">
        <f>Koond_kulud!D1103</f>
        <v>Puuetega inimeste sotsiaalhoolekandeasutused</v>
      </c>
      <c r="E1058" t="str">
        <f>Koond_kulud!E1103</f>
        <v>Sotsiaalne kaitse</v>
      </c>
      <c r="F1058" t="str">
        <f>Koond_kulud!F1103</f>
        <v>Sotsiaalosakond</v>
      </c>
      <c r="G1058" t="str">
        <f>Koond_kulud!G1103</f>
        <v>MTÜ Johanna tegevustoetus</v>
      </c>
      <c r="H1058">
        <f>Koond_kulud!H1103</f>
        <v>3800</v>
      </c>
      <c r="I1058">
        <f>Koond_kulud!I1103</f>
        <v>0</v>
      </c>
      <c r="J1058">
        <f>Koond_kulud!J1103</f>
        <v>4500</v>
      </c>
      <c r="K1058" t="str">
        <f>Koond_kulud!K1103</f>
        <v>Sihtotstarbelised eraldised jooksvateks kuludeks</v>
      </c>
      <c r="L1058">
        <f>Koond_kulud!L1103</f>
        <v>4500</v>
      </c>
      <c r="M1058" t="str">
        <f>Koond_kulud!M1103</f>
        <v>45</v>
      </c>
      <c r="N1058" t="str">
        <f>Koond_kulud!N1103</f>
        <v>Antavad toetused tegevuskuludeks</v>
      </c>
      <c r="O1058" t="str">
        <f>Koond_kulud!O1103</f>
        <v>Sihtotstarbelised toetused tegevuskuludeks</v>
      </c>
      <c r="P1058" t="str">
        <f>Koond_kulud!P1103</f>
        <v>Põhitegevuse kulu</v>
      </c>
      <c r="Q1058">
        <f>Koond_kulud!Q1103</f>
        <v>0</v>
      </c>
    </row>
    <row r="1059" spans="1:17" hidden="1" x14ac:dyDescent="0.25">
      <c r="A1059" t="str">
        <f>Koond_kulud!A1104</f>
        <v>10</v>
      </c>
      <c r="B1059" t="str">
        <f>Koond_kulud!B1104</f>
        <v xml:space="preserve">10120           </v>
      </c>
      <c r="C1059" t="str">
        <f>Koond_kulud!C1104</f>
        <v xml:space="preserve"> Puuetega inimeste sotsiaalhoolekandeasutused</v>
      </c>
      <c r="D1059" t="str">
        <f>Koond_kulud!D1104</f>
        <v>Puuetega inimeste sotsiaalhoolekandeasutused</v>
      </c>
      <c r="E1059" t="str">
        <f>Koond_kulud!E1104</f>
        <v>Sotsiaalne kaitse</v>
      </c>
      <c r="F1059" t="str">
        <f>Koond_kulud!F1104</f>
        <v>Sotsiaalosakond</v>
      </c>
      <c r="G1059" t="str">
        <f>Koond_kulud!G1104</f>
        <v>Maakonna projekt Erivajadustega inimeste tugiteenused osal</v>
      </c>
      <c r="H1059">
        <f>Koond_kulud!H1104</f>
        <v>1632</v>
      </c>
      <c r="I1059">
        <f>Koond_kulud!I1104</f>
        <v>0</v>
      </c>
      <c r="J1059">
        <f>Koond_kulud!J1104</f>
        <v>5513</v>
      </c>
      <c r="K1059" t="str">
        <f>Koond_kulud!K1104</f>
        <v>Sõidukite ülalpidamise kulud</v>
      </c>
      <c r="L1059">
        <f>Koond_kulud!L1104</f>
        <v>55</v>
      </c>
      <c r="M1059" t="str">
        <f>Koond_kulud!M1104</f>
        <v>55</v>
      </c>
      <c r="N1059" t="str">
        <f>Koond_kulud!N1104</f>
        <v>Muud tegevuskulud</v>
      </c>
      <c r="O1059" t="str">
        <f>Koond_kulud!O1104</f>
        <v>Majandamiskulud</v>
      </c>
      <c r="P1059" t="str">
        <f>Koond_kulud!P1104</f>
        <v>Põhitegevuse kulu</v>
      </c>
      <c r="Q1059">
        <f>Koond_kulud!Q1104</f>
        <v>0</v>
      </c>
    </row>
    <row r="1060" spans="1:17" hidden="1" x14ac:dyDescent="0.25">
      <c r="A1060" t="str">
        <f>Koond_kulud!A1105</f>
        <v>10</v>
      </c>
      <c r="B1060" t="str">
        <f>Koond_kulud!B1105</f>
        <v xml:space="preserve">1012101         </v>
      </c>
      <c r="C1060" t="str">
        <f>Koond_kulud!C1105</f>
        <v xml:space="preserve"> Ravitoetused puuetega inimestele</v>
      </c>
      <c r="D1060" t="str">
        <f>Koond_kulud!D1105</f>
        <v>Muu puuetega inimeste sotsiaalne kaitse</v>
      </c>
      <c r="E1060" t="str">
        <f>Koond_kulud!E1105</f>
        <v>Sotsiaalne kaitse</v>
      </c>
      <c r="F1060" t="str">
        <f>Koond_kulud!F1105</f>
        <v>Sotsiaalosakond</v>
      </c>
      <c r="G1060" t="str">
        <f>Koond_kulud!G1105</f>
        <v>Toetus ravimitele, abivah.,proteesid</v>
      </c>
      <c r="H1060">
        <f>Koond_kulud!H1105</f>
        <v>11000</v>
      </c>
      <c r="I1060">
        <f>Koond_kulud!I1105</f>
        <v>0</v>
      </c>
      <c r="J1060">
        <f>Koond_kulud!J1105</f>
        <v>41337</v>
      </c>
      <c r="K1060" t="str">
        <f>Koond_kulud!K1105</f>
        <v>Proteesid, ortopeedilised ja muud abivahendid puuetega inimestele</v>
      </c>
      <c r="L1060">
        <f>Koond_kulud!L1105</f>
        <v>413</v>
      </c>
      <c r="M1060" t="str">
        <f>Koond_kulud!M1105</f>
        <v>41</v>
      </c>
      <c r="N1060" t="str">
        <f>Koond_kulud!N1105</f>
        <v>Antavad toetused tegevuskuludeks</v>
      </c>
      <c r="O1060" t="str">
        <f>Koond_kulud!O1105</f>
        <v>Sotsiaalabitoetused ja muud toetused füüsilistele isikutele</v>
      </c>
      <c r="P1060" t="str">
        <f>Koond_kulud!P1105</f>
        <v>Põhitegevuse kulu</v>
      </c>
      <c r="Q1060">
        <f>Koond_kulud!Q1105</f>
        <v>0</v>
      </c>
    </row>
    <row r="1061" spans="1:17" hidden="1" x14ac:dyDescent="0.25">
      <c r="A1061" t="str">
        <f>Koond_kulud!A1106</f>
        <v>10</v>
      </c>
      <c r="B1061" t="str">
        <f>Koond_kulud!B1106</f>
        <v xml:space="preserve">1012102         </v>
      </c>
      <c r="C1061" t="str">
        <f>Koond_kulud!C1106</f>
        <v xml:space="preserve"> transport</v>
      </c>
      <c r="D1061" t="str">
        <f>Koond_kulud!D1106</f>
        <v>Muu puuetega inimeste sotsiaalne kaitse</v>
      </c>
      <c r="E1061" t="str">
        <f>Koond_kulud!E1106</f>
        <v>Sotsiaalne kaitse</v>
      </c>
      <c r="F1061" t="str">
        <f>Koond_kulud!F1106</f>
        <v>Sotsiaalosakond</v>
      </c>
      <c r="G1061" t="str">
        <f>Koond_kulud!G1106</f>
        <v>Invatranspordis osalemine/teenus</v>
      </c>
      <c r="H1061">
        <f>Koond_kulud!H1106</f>
        <v>45500</v>
      </c>
      <c r="I1061" t="str">
        <f>Koond_kulud!I1106</f>
        <v>sh. Laekvere eakate seltsing Meenutuse transpordi kulud</v>
      </c>
      <c r="J1061">
        <f>Koond_kulud!J1106</f>
        <v>41339</v>
      </c>
      <c r="K1061" t="str">
        <f>Koond_kulud!K1106</f>
        <v>Muud toetused puuetega inimestele ja nende hooldajatele</v>
      </c>
      <c r="L1061">
        <f>Koond_kulud!L1106</f>
        <v>413</v>
      </c>
      <c r="M1061" t="str">
        <f>Koond_kulud!M1106</f>
        <v>41</v>
      </c>
      <c r="N1061" t="str">
        <f>Koond_kulud!N1106</f>
        <v>Antavad toetused tegevuskuludeks</v>
      </c>
      <c r="O1061" t="str">
        <f>Koond_kulud!O1106</f>
        <v>Sotsiaalabitoetused ja muud toetused füüsilistele isikutele</v>
      </c>
      <c r="P1061" t="str">
        <f>Koond_kulud!P1106</f>
        <v>Põhitegevuse kulu</v>
      </c>
      <c r="Q1061">
        <f>Koond_kulud!Q1106</f>
        <v>0</v>
      </c>
    </row>
    <row r="1062" spans="1:17" hidden="1" x14ac:dyDescent="0.25">
      <c r="A1062" t="str">
        <f>Koond_kulud!A1107</f>
        <v>10</v>
      </c>
      <c r="B1062" t="str">
        <f>Koond_kulud!B1107</f>
        <v xml:space="preserve">1012103         </v>
      </c>
      <c r="C1062" t="str">
        <f>Koond_kulud!C1107</f>
        <v xml:space="preserve"> Hooldajad</v>
      </c>
      <c r="D1062" t="str">
        <f>Koond_kulud!D1107</f>
        <v>Muu puuetega inimeste sotsiaalne kaitse</v>
      </c>
      <c r="E1062" t="str">
        <f>Koond_kulud!E1107</f>
        <v>Sotsiaalne kaitse</v>
      </c>
      <c r="F1062" t="str">
        <f>Koond_kulud!F1107</f>
        <v>Sotsiaalosakond</v>
      </c>
      <c r="G1062" t="str">
        <f>Koond_kulud!G1107</f>
        <v>Puuetega täiskanvanute hooldaja toetus</v>
      </c>
      <c r="H1062">
        <f>Koond_kulud!H1107</f>
        <v>110000</v>
      </c>
      <c r="I1062">
        <f>Koond_kulud!I1107</f>
        <v>0</v>
      </c>
      <c r="J1062">
        <f>Koond_kulud!J1107</f>
        <v>41332</v>
      </c>
      <c r="K1062" t="str">
        <f>Koond_kulud!K1107</f>
        <v>Puudega inimese hooldaja toetus</v>
      </c>
      <c r="L1062">
        <f>Koond_kulud!L1107</f>
        <v>413</v>
      </c>
      <c r="M1062" t="str">
        <f>Koond_kulud!M1107</f>
        <v>41</v>
      </c>
      <c r="N1062" t="str">
        <f>Koond_kulud!N1107</f>
        <v>Antavad toetused tegevuskuludeks</v>
      </c>
      <c r="O1062" t="str">
        <f>Koond_kulud!O1107</f>
        <v>Sotsiaalabitoetused ja muud toetused füüsilistele isikutele</v>
      </c>
      <c r="P1062" t="str">
        <f>Koond_kulud!P1107</f>
        <v>Põhitegevuse kulu</v>
      </c>
      <c r="Q1062">
        <f>Koond_kulud!Q1107</f>
        <v>0</v>
      </c>
    </row>
    <row r="1063" spans="1:17" hidden="1" x14ac:dyDescent="0.25">
      <c r="A1063" t="str">
        <f>Koond_kulud!A1108</f>
        <v>10</v>
      </c>
      <c r="B1063" t="str">
        <f>Koond_kulud!B1108</f>
        <v xml:space="preserve">1012103         </v>
      </c>
      <c r="C1063" t="str">
        <f>Koond_kulud!C1108</f>
        <v xml:space="preserve"> Hooldajad</v>
      </c>
      <c r="D1063" t="str">
        <f>Koond_kulud!D1108</f>
        <v>Muu puuetega inimeste sotsiaalne kaitse</v>
      </c>
      <c r="E1063" t="str">
        <f>Koond_kulud!E1108</f>
        <v>Sotsiaalne kaitse</v>
      </c>
      <c r="F1063" t="str">
        <f>Koond_kulud!F1108</f>
        <v>Sotsiaalosakond</v>
      </c>
      <c r="G1063" t="str">
        <f>Koond_kulud!G1108</f>
        <v>Puuetega inimeste eest makstav sotsiaalmaks</v>
      </c>
      <c r="H1063">
        <f>Koond_kulud!H1108</f>
        <v>51600</v>
      </c>
      <c r="I1063">
        <f>Koond_kulud!I1108</f>
        <v>0</v>
      </c>
      <c r="J1063">
        <f>Koond_kulud!J1108</f>
        <v>4137</v>
      </c>
      <c r="K1063" t="str">
        <f>Koond_kulud!K1108</f>
        <v>Erijuhtudel riigi poolt makstavad maksud</v>
      </c>
      <c r="L1063">
        <f>Koond_kulud!L1108</f>
        <v>413</v>
      </c>
      <c r="M1063" t="str">
        <f>Koond_kulud!M1108</f>
        <v>41</v>
      </c>
      <c r="N1063" t="str">
        <f>Koond_kulud!N1108</f>
        <v>Antavad toetused tegevuskuludeks</v>
      </c>
      <c r="O1063" t="str">
        <f>Koond_kulud!O1108</f>
        <v>Sotsiaalabitoetused ja muud toetused füüsilistele isikutele</v>
      </c>
      <c r="P1063" t="str">
        <f>Koond_kulud!P1108</f>
        <v>Põhitegevuse kulu</v>
      </c>
      <c r="Q1063">
        <f>Koond_kulud!Q1108</f>
        <v>0</v>
      </c>
    </row>
    <row r="1064" spans="1:17" hidden="1" x14ac:dyDescent="0.25">
      <c r="A1064" t="str">
        <f>Koond_kulud!A1109</f>
        <v>10</v>
      </c>
      <c r="B1064" t="str">
        <f>Koond_kulud!B1109</f>
        <v xml:space="preserve">1012104         </v>
      </c>
      <c r="C1064" t="str">
        <f>Koond_kulud!C1109</f>
        <v xml:space="preserve"> Muud</v>
      </c>
      <c r="D1064" t="str">
        <f>Koond_kulud!D1109</f>
        <v>Muu puuetega inimeste sotsiaalne kaitse</v>
      </c>
      <c r="E1064" t="str">
        <f>Koond_kulud!E1109</f>
        <v>Sotsiaalne kaitse</v>
      </c>
      <c r="F1064" t="str">
        <f>Koond_kulud!F1109</f>
        <v>Sotsiaalosakond</v>
      </c>
      <c r="G1064" t="str">
        <f>Koond_kulud!G1109</f>
        <v>Täiendavad toetused (ujumine, ühiselamu)</v>
      </c>
      <c r="H1064">
        <f>Koond_kulud!H1109</f>
        <v>3800</v>
      </c>
      <c r="I1064">
        <f>Koond_kulud!I1109</f>
        <v>0</v>
      </c>
      <c r="J1064">
        <f>Koond_kulud!J1109</f>
        <v>5526</v>
      </c>
      <c r="K1064" t="str">
        <f>Koond_kulud!K1109</f>
        <v>Sotsiaalteenused</v>
      </c>
      <c r="L1064">
        <f>Koond_kulud!L1109</f>
        <v>55</v>
      </c>
      <c r="M1064" t="str">
        <f>Koond_kulud!M1109</f>
        <v>55</v>
      </c>
      <c r="N1064" t="str">
        <f>Koond_kulud!N1109</f>
        <v>Muud tegevuskulud</v>
      </c>
      <c r="O1064" t="str">
        <f>Koond_kulud!O1109</f>
        <v>Majandamiskulud</v>
      </c>
      <c r="P1064" t="str">
        <f>Koond_kulud!P1109</f>
        <v>Põhitegevuse kulu</v>
      </c>
      <c r="Q1064">
        <f>Koond_kulud!Q1109</f>
        <v>0</v>
      </c>
    </row>
    <row r="1065" spans="1:17" hidden="1" x14ac:dyDescent="0.25">
      <c r="A1065" t="str">
        <f>Koond_kulud!A1110</f>
        <v>10</v>
      </c>
      <c r="B1065" t="str">
        <f>Koond_kulud!B1110</f>
        <v xml:space="preserve">1012104         </v>
      </c>
      <c r="C1065" t="str">
        <f>Koond_kulud!C1110</f>
        <v xml:space="preserve"> Muud</v>
      </c>
      <c r="D1065" t="str">
        <f>Koond_kulud!D1110</f>
        <v>Muu puuetega inimeste sotsiaalne kaitse</v>
      </c>
      <c r="E1065" t="str">
        <f>Koond_kulud!E1110</f>
        <v>Sotsiaalne kaitse</v>
      </c>
      <c r="F1065" t="str">
        <f>Koond_kulud!F1110</f>
        <v>Sotsiaalosakond</v>
      </c>
      <c r="G1065" t="str">
        <f>Koond_kulud!G1110</f>
        <v>Sõidukulude kompenseerimise toetus</v>
      </c>
      <c r="H1065">
        <f>Koond_kulud!H1110</f>
        <v>3500</v>
      </c>
      <c r="I1065">
        <f>Koond_kulud!I1110</f>
        <v>0</v>
      </c>
      <c r="J1065">
        <f>Koond_kulud!J1110</f>
        <v>41339</v>
      </c>
      <c r="K1065" t="str">
        <f>Koond_kulud!K1110</f>
        <v>Muud toetused puuetega inimestele ja nende hooldajatele</v>
      </c>
      <c r="L1065">
        <f>Koond_kulud!L1110</f>
        <v>413</v>
      </c>
      <c r="M1065" t="str">
        <f>Koond_kulud!M1110</f>
        <v>41</v>
      </c>
      <c r="N1065" t="str">
        <f>Koond_kulud!N1110</f>
        <v>Antavad toetused tegevuskuludeks</v>
      </c>
      <c r="O1065" t="str">
        <f>Koond_kulud!O1110</f>
        <v>Sotsiaalabitoetused ja muud toetused füüsilistele isikutele</v>
      </c>
      <c r="P1065" t="str">
        <f>Koond_kulud!P1110</f>
        <v>Põhitegevuse kulu</v>
      </c>
      <c r="Q1065">
        <f>Koond_kulud!Q1110</f>
        <v>0</v>
      </c>
    </row>
    <row r="1066" spans="1:17" hidden="1" x14ac:dyDescent="0.25">
      <c r="A1066" t="str">
        <f>Koond_kulud!A1111</f>
        <v>10</v>
      </c>
      <c r="B1066" t="str">
        <f>Koond_kulud!B1111</f>
        <v xml:space="preserve">1012104         </v>
      </c>
      <c r="C1066" t="str">
        <f>Koond_kulud!C1111</f>
        <v xml:space="preserve"> Muud</v>
      </c>
      <c r="D1066" t="str">
        <f>Koond_kulud!D1111</f>
        <v>Muu puuetega inimeste sotsiaalne kaitse</v>
      </c>
      <c r="E1066" t="str">
        <f>Koond_kulud!E1111</f>
        <v>Sotsiaalne kaitse</v>
      </c>
      <c r="F1066" t="str">
        <f>Koond_kulud!F1111</f>
        <v>Sotsiaalosakond</v>
      </c>
      <c r="G1066" t="str">
        <f>Koond_kulud!G1111</f>
        <v>Viipekeele tõlk</v>
      </c>
      <c r="H1066">
        <f>Koond_kulud!H1111</f>
        <v>800</v>
      </c>
      <c r="I1066">
        <f>Koond_kulud!I1111</f>
        <v>0</v>
      </c>
      <c r="J1066">
        <f>Koond_kulud!J1111</f>
        <v>41339</v>
      </c>
      <c r="K1066" t="str">
        <f>Koond_kulud!K1111</f>
        <v>Muud toetused puuetega inimestele ja nende hooldajatele</v>
      </c>
      <c r="L1066">
        <f>Koond_kulud!L1111</f>
        <v>413</v>
      </c>
      <c r="M1066" t="str">
        <f>Koond_kulud!M1111</f>
        <v>41</v>
      </c>
      <c r="N1066" t="str">
        <f>Koond_kulud!N1111</f>
        <v>Antavad toetused tegevuskuludeks</v>
      </c>
      <c r="O1066" t="str">
        <f>Koond_kulud!O1111</f>
        <v>Sotsiaalabitoetused ja muud toetused füüsilistele isikutele</v>
      </c>
      <c r="P1066" t="str">
        <f>Koond_kulud!P1111</f>
        <v>Põhitegevuse kulu</v>
      </c>
      <c r="Q1066">
        <f>Koond_kulud!Q1111</f>
        <v>0</v>
      </c>
    </row>
    <row r="1067" spans="1:17" hidden="1" x14ac:dyDescent="0.25">
      <c r="A1067" t="str">
        <f>Koond_kulud!A1112</f>
        <v>10</v>
      </c>
      <c r="B1067" t="str">
        <f>Koond_kulud!B1112</f>
        <v xml:space="preserve">1012104         </v>
      </c>
      <c r="C1067" t="str">
        <f>Koond_kulud!C1112</f>
        <v xml:space="preserve"> Muud</v>
      </c>
      <c r="D1067" t="str">
        <f>Koond_kulud!D1112</f>
        <v>Muu puuetega inimeste sotsiaalne kaitse</v>
      </c>
      <c r="E1067" t="str">
        <f>Koond_kulud!E1112</f>
        <v>Sotsiaalne kaitse</v>
      </c>
      <c r="F1067" t="str">
        <f>Koond_kulud!F1112</f>
        <v>Sotsiaalosakond</v>
      </c>
      <c r="G1067" t="str">
        <f>Koond_kulud!G1112</f>
        <v>Muud toetused (juhtkoera toit)</v>
      </c>
      <c r="H1067">
        <f>Koond_kulud!H1112</f>
        <v>300</v>
      </c>
      <c r="I1067">
        <f>Koond_kulud!I1112</f>
        <v>0</v>
      </c>
      <c r="J1067">
        <f>Koond_kulud!J1112</f>
        <v>41339</v>
      </c>
      <c r="K1067" t="str">
        <f>Koond_kulud!K1112</f>
        <v>Muud toetused puuetega inimestele ja nende hooldajatele</v>
      </c>
      <c r="L1067">
        <f>Koond_kulud!L1112</f>
        <v>413</v>
      </c>
      <c r="M1067" t="str">
        <f>Koond_kulud!M1112</f>
        <v>41</v>
      </c>
      <c r="N1067" t="str">
        <f>Koond_kulud!N1112</f>
        <v>Antavad toetused tegevuskuludeks</v>
      </c>
      <c r="O1067" t="str">
        <f>Koond_kulud!O1112</f>
        <v>Sotsiaalabitoetused ja muud toetused füüsilistele isikutele</v>
      </c>
      <c r="P1067" t="str">
        <f>Koond_kulud!P1112</f>
        <v>Põhitegevuse kulu</v>
      </c>
      <c r="Q1067">
        <f>Koond_kulud!Q1112</f>
        <v>0</v>
      </c>
    </row>
    <row r="1068" spans="1:17" hidden="1" x14ac:dyDescent="0.25">
      <c r="A1068" t="str">
        <f>Koond_kulud!A1113</f>
        <v>10</v>
      </c>
      <c r="B1068" t="str">
        <f>Koond_kulud!B1113</f>
        <v xml:space="preserve">1012104         </v>
      </c>
      <c r="C1068" t="str">
        <f>Koond_kulud!C1113</f>
        <v xml:space="preserve"> Muud</v>
      </c>
      <c r="D1068" t="str">
        <f>Koond_kulud!D1113</f>
        <v>Muu puuetega inimeste sotsiaalne kaitse</v>
      </c>
      <c r="E1068" t="str">
        <f>Koond_kulud!E1113</f>
        <v>Sotsiaalne kaitse</v>
      </c>
      <c r="F1068" t="str">
        <f>Koond_kulud!F1113</f>
        <v>Sotsiaalosakond</v>
      </c>
      <c r="G1068" t="str">
        <f>Koond_kulud!G1113</f>
        <v>Muud toetused (ühekordsed)</v>
      </c>
      <c r="H1068">
        <f>Koond_kulud!H1113</f>
        <v>7000</v>
      </c>
      <c r="I1068">
        <f>Koond_kulud!I1113</f>
        <v>0</v>
      </c>
      <c r="J1068">
        <f>Koond_kulud!J1113</f>
        <v>41339</v>
      </c>
      <c r="K1068" t="str">
        <f>Koond_kulud!K1113</f>
        <v>Muud toetused puuetega inimestele ja nende hooldajatele</v>
      </c>
      <c r="L1068">
        <f>Koond_kulud!L1113</f>
        <v>413</v>
      </c>
      <c r="M1068" t="str">
        <f>Koond_kulud!M1113</f>
        <v>41</v>
      </c>
      <c r="N1068" t="str">
        <f>Koond_kulud!N1113</f>
        <v>Antavad toetused tegevuskuludeks</v>
      </c>
      <c r="O1068" t="str">
        <f>Koond_kulud!O1113</f>
        <v>Sotsiaalabitoetused ja muud toetused füüsilistele isikutele</v>
      </c>
      <c r="P1068" t="str">
        <f>Koond_kulud!P1113</f>
        <v>Põhitegevuse kulu</v>
      </c>
      <c r="Q1068">
        <f>Koond_kulud!Q1113</f>
        <v>0</v>
      </c>
    </row>
    <row r="1069" spans="1:17" hidden="1" x14ac:dyDescent="0.25">
      <c r="A1069" t="str">
        <f>Koond_kulud!A1114</f>
        <v>10</v>
      </c>
      <c r="B1069" t="str">
        <f>Koond_kulud!B1114</f>
        <v xml:space="preserve">1012104         </v>
      </c>
      <c r="C1069" t="str">
        <f>Koond_kulud!C1114</f>
        <v xml:space="preserve"> Muud</v>
      </c>
      <c r="D1069" t="str">
        <f>Koond_kulud!D1114</f>
        <v>Muu puuetega inimeste sotsiaalne kaitse</v>
      </c>
      <c r="E1069" t="str">
        <f>Koond_kulud!E1114</f>
        <v>Sotsiaalne kaitse</v>
      </c>
      <c r="F1069" t="str">
        <f>Koond_kulud!F1114</f>
        <v>Sotsiaalosakond</v>
      </c>
      <c r="G1069" t="str">
        <f>Koond_kulud!G1114</f>
        <v>Tõlgiteenus</v>
      </c>
      <c r="H1069">
        <f>Koond_kulud!H1114</f>
        <v>1000</v>
      </c>
      <c r="I1069">
        <f>Koond_kulud!I1114</f>
        <v>0</v>
      </c>
      <c r="J1069">
        <f>Koond_kulud!J1114</f>
        <v>5526</v>
      </c>
      <c r="K1069" t="str">
        <f>Koond_kulud!K1114</f>
        <v>Sotsiaalteenused</v>
      </c>
      <c r="L1069">
        <f>Koond_kulud!L1114</f>
        <v>55</v>
      </c>
      <c r="M1069" t="str">
        <f>Koond_kulud!M1114</f>
        <v>55</v>
      </c>
      <c r="N1069" t="str">
        <f>Koond_kulud!N1114</f>
        <v>Muud tegevuskulud</v>
      </c>
      <c r="O1069" t="str">
        <f>Koond_kulud!O1114</f>
        <v>Majandamiskulud</v>
      </c>
      <c r="P1069" t="str">
        <f>Koond_kulud!P1114</f>
        <v>Põhitegevuse kulu</v>
      </c>
      <c r="Q1069">
        <f>Koond_kulud!Q1114</f>
        <v>0</v>
      </c>
    </row>
    <row r="1070" spans="1:17" hidden="1" x14ac:dyDescent="0.25">
      <c r="A1070" t="str">
        <f>Koond_kulud!A1115</f>
        <v>10</v>
      </c>
      <c r="B1070" t="str">
        <f>Koond_kulud!B1115</f>
        <v xml:space="preserve">1012104         </v>
      </c>
      <c r="C1070" t="str">
        <f>Koond_kulud!C1115</f>
        <v xml:space="preserve"> Muud</v>
      </c>
      <c r="D1070" t="str">
        <f>Koond_kulud!D1115</f>
        <v>Muu puuetega inimeste sotsiaalne kaitse</v>
      </c>
      <c r="E1070" t="str">
        <f>Koond_kulud!E1115</f>
        <v>Sotsiaalne kaitse</v>
      </c>
      <c r="F1070" t="str">
        <f>Koond_kulud!F1115</f>
        <v>Sotsiaalosakond</v>
      </c>
      <c r="G1070" t="str">
        <f>Koond_kulud!G1115</f>
        <v>Projekt "Puuetega in. Kodude kohandamine"</v>
      </c>
      <c r="H1070">
        <f>Koond_kulud!H1115</f>
        <v>5000</v>
      </c>
      <c r="I1070">
        <f>Koond_kulud!I1115</f>
        <v>0</v>
      </c>
      <c r="J1070">
        <f>Koond_kulud!J1115</f>
        <v>5511</v>
      </c>
      <c r="K1070" t="str">
        <f>Koond_kulud!K1115</f>
        <v>Kinnistute, hoonete ja ruumide majandamiskulud</v>
      </c>
      <c r="L1070">
        <f>Koond_kulud!L1115</f>
        <v>55</v>
      </c>
      <c r="M1070" t="str">
        <f>Koond_kulud!M1115</f>
        <v>55</v>
      </c>
      <c r="N1070" t="str">
        <f>Koond_kulud!N1115</f>
        <v>Muud tegevuskulud</v>
      </c>
      <c r="O1070" t="str">
        <f>Koond_kulud!O1115</f>
        <v>Majandamiskulud</v>
      </c>
      <c r="P1070" t="str">
        <f>Koond_kulud!P1115</f>
        <v>Põhitegevuse kulu</v>
      </c>
      <c r="Q1070">
        <f>Koond_kulud!Q1115</f>
        <v>0</v>
      </c>
    </row>
    <row r="1071" spans="1:17" hidden="1" x14ac:dyDescent="0.25">
      <c r="A1071" t="str">
        <f>Koond_kulud!A1116</f>
        <v>10</v>
      </c>
      <c r="B1071" t="str">
        <f>Koond_kulud!B1116</f>
        <v xml:space="preserve">1012105         </v>
      </c>
      <c r="C1071" t="str">
        <f>Koond_kulud!C1116</f>
        <v xml:space="preserve"> Erivajadustega inimeste tugiteenus</v>
      </c>
      <c r="D1071" t="str">
        <f>Koond_kulud!D1116</f>
        <v>Muu puuetega inimeste sotsiaalne kaitse</v>
      </c>
      <c r="E1071" t="str">
        <f>Koond_kulud!E1116</f>
        <v>Sotsiaalne kaitse</v>
      </c>
      <c r="F1071" t="str">
        <f>Koond_kulud!F1116</f>
        <v>Sotsiaalosakond</v>
      </c>
      <c r="G1071" t="str">
        <f>Koond_kulud!G1116</f>
        <v>AS Hoolekandeteenused osalemine</v>
      </c>
      <c r="H1071">
        <f>Koond_kulud!H1116</f>
        <v>840</v>
      </c>
      <c r="I1071">
        <f>Koond_kulud!I1116</f>
        <v>0</v>
      </c>
      <c r="J1071">
        <f>Koond_kulud!J1116</f>
        <v>5526</v>
      </c>
      <c r="K1071" t="str">
        <f>Koond_kulud!K1116</f>
        <v>Sotsiaalteenused</v>
      </c>
      <c r="L1071">
        <f>Koond_kulud!L1116</f>
        <v>55</v>
      </c>
      <c r="M1071" t="str">
        <f>Koond_kulud!M1116</f>
        <v>55</v>
      </c>
      <c r="N1071" t="str">
        <f>Koond_kulud!N1116</f>
        <v>Muud tegevuskulud</v>
      </c>
      <c r="O1071" t="str">
        <f>Koond_kulud!O1116</f>
        <v>Majandamiskulud</v>
      </c>
      <c r="P1071" t="str">
        <f>Koond_kulud!P1116</f>
        <v>Põhitegevuse kulu</v>
      </c>
      <c r="Q1071">
        <f>Koond_kulud!Q1116</f>
        <v>0</v>
      </c>
    </row>
    <row r="1072" spans="1:17" hidden="1" x14ac:dyDescent="0.25">
      <c r="A1072" t="str">
        <f>Koond_kulud!A1117</f>
        <v>10</v>
      </c>
      <c r="B1072" t="str">
        <f>Koond_kulud!B1117</f>
        <v xml:space="preserve">101212          </v>
      </c>
      <c r="C1072" t="str">
        <f>Koond_kulud!C1117</f>
        <v xml:space="preserve"> Hooldajatoetused</v>
      </c>
      <c r="D1072" t="str">
        <f>Koond_kulud!D1117</f>
        <v>Muu puuetega inimeste sotsiaalne kaitse</v>
      </c>
      <c r="E1072" t="str">
        <f>Koond_kulud!E1117</f>
        <v>Sotsiaalne kaitse</v>
      </c>
      <c r="F1072" t="str">
        <f>Koond_kulud!F1117</f>
        <v>Sotsiaalosakond</v>
      </c>
      <c r="G1072" t="str">
        <f>Koond_kulud!G1117</f>
        <v>Puuetega laste hooldaja toetus</v>
      </c>
      <c r="H1072">
        <f>Koond_kulud!H1117</f>
        <v>17831</v>
      </c>
      <c r="I1072" t="str">
        <f>Koond_kulud!I1117</f>
        <v>Toetusfond</v>
      </c>
      <c r="J1072">
        <f>Koond_kulud!J1117</f>
        <v>41332</v>
      </c>
      <c r="K1072" t="str">
        <f>Koond_kulud!K1117</f>
        <v>Puudega inimese hooldaja toetus</v>
      </c>
      <c r="L1072">
        <f>Koond_kulud!L1117</f>
        <v>413</v>
      </c>
      <c r="M1072" t="str">
        <f>Koond_kulud!M1117</f>
        <v>41</v>
      </c>
      <c r="N1072" t="str">
        <f>Koond_kulud!N1117</f>
        <v>Antavad toetused tegevuskuludeks</v>
      </c>
      <c r="O1072" t="str">
        <f>Koond_kulud!O1117</f>
        <v>Sotsiaalabitoetused ja muud toetused füüsilistele isikutele</v>
      </c>
      <c r="P1072" t="str">
        <f>Koond_kulud!P1117</f>
        <v>Põhitegevuse kulu</v>
      </c>
      <c r="Q1072">
        <f>Koond_kulud!Q1117</f>
        <v>0</v>
      </c>
    </row>
    <row r="1073" spans="1:17" hidden="1" x14ac:dyDescent="0.25">
      <c r="A1073" t="str">
        <f>Koond_kulud!A1119</f>
        <v>10</v>
      </c>
      <c r="B1073" t="str">
        <f>Koond_kulud!B1119</f>
        <v xml:space="preserve">1020001         </v>
      </c>
      <c r="C1073" t="str">
        <f>Koond_kulud!C1119</f>
        <v xml:space="preserve"> Tammiku Kodu</v>
      </c>
      <c r="D1073" t="str">
        <f>Koond_kulud!D1119</f>
        <v>Eakate sotsiaalhoolekande asutused</v>
      </c>
      <c r="E1073" t="str">
        <f>Koond_kulud!E1119</f>
        <v>Sotsiaalne kaitse</v>
      </c>
      <c r="F1073" t="str">
        <f>Koond_kulud!F1119</f>
        <v>Tammiku kodu</v>
      </c>
      <c r="G1073" t="str">
        <f>Koond_kulud!G1119</f>
        <v>telefonid ja internet, TV</v>
      </c>
      <c r="H1073">
        <f>Koond_kulud!H1119</f>
        <v>2000</v>
      </c>
      <c r="I1073">
        <f>Koond_kulud!I1119</f>
        <v>0</v>
      </c>
      <c r="J1073">
        <f>Koond_kulud!J1119</f>
        <v>5500</v>
      </c>
      <c r="K1073" t="str">
        <f>Koond_kulud!K1119</f>
        <v>Administreerimiskulud</v>
      </c>
      <c r="L1073">
        <f>Koond_kulud!L1119</f>
        <v>55</v>
      </c>
      <c r="M1073" t="str">
        <f>Koond_kulud!M1119</f>
        <v>55</v>
      </c>
      <c r="N1073" t="str">
        <f>Koond_kulud!N1119</f>
        <v>Muud tegevuskulud</v>
      </c>
      <c r="O1073" t="str">
        <f>Koond_kulud!O1119</f>
        <v>Majandamiskulud</v>
      </c>
      <c r="P1073" t="str">
        <f>Koond_kulud!P1119</f>
        <v>Põhitegevuse kulu</v>
      </c>
      <c r="Q1073">
        <f>Koond_kulud!Q1119</f>
        <v>0</v>
      </c>
    </row>
    <row r="1074" spans="1:17" hidden="1" x14ac:dyDescent="0.25">
      <c r="A1074" t="str">
        <f>Koond_kulud!A1120</f>
        <v>10</v>
      </c>
      <c r="B1074" t="str">
        <f>Koond_kulud!B1120</f>
        <v xml:space="preserve">1020001         </v>
      </c>
      <c r="C1074" t="str">
        <f>Koond_kulud!C1120</f>
        <v xml:space="preserve"> Tammiku Kodu</v>
      </c>
      <c r="D1074" t="str">
        <f>Koond_kulud!D1120</f>
        <v>Eakate sotsiaalhoolekande asutused</v>
      </c>
      <c r="E1074" t="str">
        <f>Koond_kulud!E1120</f>
        <v>Sotsiaalne kaitse</v>
      </c>
      <c r="F1074" t="str">
        <f>Koond_kulud!F1120</f>
        <v>Tammiku kodu</v>
      </c>
      <c r="G1074" t="str">
        <f>Koond_kulud!G1120</f>
        <v xml:space="preserve">ajaleht </v>
      </c>
      <c r="H1074">
        <f>Koond_kulud!H1120</f>
        <v>150</v>
      </c>
      <c r="I1074" t="str">
        <f>Koond_kulud!I1120</f>
        <v xml:space="preserve">Virumaa Teataja                                               </v>
      </c>
      <c r="J1074">
        <f>Koond_kulud!J1120</f>
        <v>5500</v>
      </c>
      <c r="K1074" t="str">
        <f>Koond_kulud!K1120</f>
        <v>Administreerimiskulud</v>
      </c>
      <c r="L1074">
        <f>Koond_kulud!L1120</f>
        <v>55</v>
      </c>
      <c r="M1074" t="str">
        <f>Koond_kulud!M1120</f>
        <v>55</v>
      </c>
      <c r="N1074" t="str">
        <f>Koond_kulud!N1120</f>
        <v>Muud tegevuskulud</v>
      </c>
      <c r="O1074" t="str">
        <f>Koond_kulud!O1120</f>
        <v>Majandamiskulud</v>
      </c>
      <c r="P1074" t="str">
        <f>Koond_kulud!P1120</f>
        <v>Põhitegevuse kulu</v>
      </c>
      <c r="Q1074">
        <f>Koond_kulud!Q1120</f>
        <v>0</v>
      </c>
    </row>
    <row r="1075" spans="1:17" hidden="1" x14ac:dyDescent="0.25">
      <c r="A1075" t="str">
        <f>Koond_kulud!A1121</f>
        <v>10</v>
      </c>
      <c r="B1075" t="str">
        <f>Koond_kulud!B1121</f>
        <v xml:space="preserve">1020001         </v>
      </c>
      <c r="C1075" t="str">
        <f>Koond_kulud!C1121</f>
        <v xml:space="preserve"> Tammiku Kodu</v>
      </c>
      <c r="D1075" t="str">
        <f>Koond_kulud!D1121</f>
        <v>Eakate sotsiaalhoolekande asutused</v>
      </c>
      <c r="E1075" t="str">
        <f>Koond_kulud!E1121</f>
        <v>Sotsiaalne kaitse</v>
      </c>
      <c r="F1075" t="str">
        <f>Koond_kulud!F1121</f>
        <v>Tammiku kodu</v>
      </c>
      <c r="G1075" t="str">
        <f>Koond_kulud!G1121</f>
        <v>tahm, paber, kirjatarbed</v>
      </c>
      <c r="H1075">
        <f>Koond_kulud!H1121</f>
        <v>174</v>
      </c>
      <c r="I1075" t="str">
        <f>Koond_kulud!I1121</f>
        <v xml:space="preserve">tint 30x4; paber, kirjatarbed                              </v>
      </c>
      <c r="J1075">
        <f>Koond_kulud!J1121</f>
        <v>5500</v>
      </c>
      <c r="K1075" t="str">
        <f>Koond_kulud!K1121</f>
        <v>Administreerimiskulud</v>
      </c>
      <c r="L1075">
        <f>Koond_kulud!L1121</f>
        <v>55</v>
      </c>
      <c r="M1075" t="str">
        <f>Koond_kulud!M1121</f>
        <v>55</v>
      </c>
      <c r="N1075" t="str">
        <f>Koond_kulud!N1121</f>
        <v>Muud tegevuskulud</v>
      </c>
      <c r="O1075" t="str">
        <f>Koond_kulud!O1121</f>
        <v>Majandamiskulud</v>
      </c>
      <c r="P1075" t="str">
        <f>Koond_kulud!P1121</f>
        <v>Põhitegevuse kulu</v>
      </c>
      <c r="Q1075">
        <f>Koond_kulud!Q1121</f>
        <v>0</v>
      </c>
    </row>
    <row r="1076" spans="1:17" hidden="1" x14ac:dyDescent="0.25">
      <c r="A1076" t="str">
        <f>Koond_kulud!A1122</f>
        <v>10</v>
      </c>
      <c r="B1076" t="str">
        <f>Koond_kulud!B1122</f>
        <v xml:space="preserve">1020001         </v>
      </c>
      <c r="C1076" t="str">
        <f>Koond_kulud!C1122</f>
        <v xml:space="preserve"> Tammiku Kodu</v>
      </c>
      <c r="D1076" t="str">
        <f>Koond_kulud!D1122</f>
        <v>Eakate sotsiaalhoolekande asutused</v>
      </c>
      <c r="E1076" t="str">
        <f>Koond_kulud!E1122</f>
        <v>Sotsiaalne kaitse</v>
      </c>
      <c r="F1076" t="str">
        <f>Koond_kulud!F1122</f>
        <v>Tammiku kodu</v>
      </c>
      <c r="G1076" t="str">
        <f>Koond_kulud!G1122</f>
        <v>kodulehekülg</v>
      </c>
      <c r="H1076">
        <f>Koond_kulud!H1122</f>
        <v>76</v>
      </c>
      <c r="I1076" t="str">
        <f>Koond_kulud!I1122</f>
        <v xml:space="preserve">Elkada Oü 19x44                                                 </v>
      </c>
      <c r="J1076">
        <f>Koond_kulud!J1122</f>
        <v>5500</v>
      </c>
      <c r="K1076" t="str">
        <f>Koond_kulud!K1122</f>
        <v>Administreerimiskulud</v>
      </c>
      <c r="L1076">
        <f>Koond_kulud!L1122</f>
        <v>55</v>
      </c>
      <c r="M1076" t="str">
        <f>Koond_kulud!M1122</f>
        <v>55</v>
      </c>
      <c r="N1076" t="str">
        <f>Koond_kulud!N1122</f>
        <v>Muud tegevuskulud</v>
      </c>
      <c r="O1076" t="str">
        <f>Koond_kulud!O1122</f>
        <v>Majandamiskulud</v>
      </c>
      <c r="P1076" t="str">
        <f>Koond_kulud!P1122</f>
        <v>Põhitegevuse kulu</v>
      </c>
      <c r="Q1076">
        <f>Koond_kulud!Q1122</f>
        <v>0</v>
      </c>
    </row>
    <row r="1077" spans="1:17" hidden="1" x14ac:dyDescent="0.25">
      <c r="A1077" t="str">
        <f>Koond_kulud!A1123</f>
        <v>10</v>
      </c>
      <c r="B1077" t="str">
        <f>Koond_kulud!B1123</f>
        <v xml:space="preserve">1020001         </v>
      </c>
      <c r="C1077" t="str">
        <f>Koond_kulud!C1123</f>
        <v xml:space="preserve"> Tammiku Kodu</v>
      </c>
      <c r="D1077" t="str">
        <f>Koond_kulud!D1123</f>
        <v>Eakate sotsiaalhoolekande asutused</v>
      </c>
      <c r="E1077" t="str">
        <f>Koond_kulud!E1123</f>
        <v>Sotsiaalne kaitse</v>
      </c>
      <c r="F1077" t="str">
        <f>Koond_kulud!F1123</f>
        <v>Tammiku kodu</v>
      </c>
      <c r="G1077" t="str">
        <f>Koond_kulud!G1123</f>
        <v>koolituste plaan</v>
      </c>
      <c r="H1077">
        <f>Koond_kulud!H1123</f>
        <v>50</v>
      </c>
      <c r="I1077" t="str">
        <f>Koond_kulud!I1123</f>
        <v xml:space="preserve">juhataja koolitus                                                </v>
      </c>
      <c r="J1077">
        <f>Koond_kulud!J1123</f>
        <v>5504</v>
      </c>
      <c r="K1077" t="str">
        <f>Koond_kulud!K1123</f>
        <v>Koolituskulud</v>
      </c>
      <c r="L1077">
        <f>Koond_kulud!L1123</f>
        <v>55</v>
      </c>
      <c r="M1077" t="str">
        <f>Koond_kulud!M1123</f>
        <v>55</v>
      </c>
      <c r="N1077" t="str">
        <f>Koond_kulud!N1123</f>
        <v>Muud tegevuskulud</v>
      </c>
      <c r="O1077" t="str">
        <f>Koond_kulud!O1123</f>
        <v>Majandamiskulud</v>
      </c>
      <c r="P1077" t="str">
        <f>Koond_kulud!P1123</f>
        <v>Põhitegevuse kulu</v>
      </c>
      <c r="Q1077">
        <f>Koond_kulud!Q1123</f>
        <v>0</v>
      </c>
    </row>
    <row r="1078" spans="1:17" hidden="1" x14ac:dyDescent="0.25">
      <c r="A1078" t="str">
        <f>Koond_kulud!A1124</f>
        <v>10</v>
      </c>
      <c r="B1078" t="str">
        <f>Koond_kulud!B1124</f>
        <v xml:space="preserve">1020001         </v>
      </c>
      <c r="C1078" t="str">
        <f>Koond_kulud!C1124</f>
        <v xml:space="preserve"> Tammiku Kodu</v>
      </c>
      <c r="D1078" t="str">
        <f>Koond_kulud!D1124</f>
        <v>Eakate sotsiaalhoolekande asutused</v>
      </c>
      <c r="E1078" t="str">
        <f>Koond_kulud!E1124</f>
        <v>Sotsiaalne kaitse</v>
      </c>
      <c r="F1078" t="str">
        <f>Koond_kulud!F1124</f>
        <v>Tammiku kodu</v>
      </c>
      <c r="G1078" t="str">
        <f>Koond_kulud!G1124</f>
        <v>plaanilised koolitused</v>
      </c>
      <c r="H1078">
        <f>Koond_kulud!H1124</f>
        <v>150</v>
      </c>
      <c r="I1078" t="str">
        <f>Koond_kulud!I1124</f>
        <v xml:space="preserve">hooldajate, kokkade koolitused                         </v>
      </c>
      <c r="J1078">
        <f>Koond_kulud!J1124</f>
        <v>5504</v>
      </c>
      <c r="K1078" t="str">
        <f>Koond_kulud!K1124</f>
        <v>Koolituskulud</v>
      </c>
      <c r="L1078">
        <f>Koond_kulud!L1124</f>
        <v>55</v>
      </c>
      <c r="M1078" t="str">
        <f>Koond_kulud!M1124</f>
        <v>55</v>
      </c>
      <c r="N1078" t="str">
        <f>Koond_kulud!N1124</f>
        <v>Muud tegevuskulud</v>
      </c>
      <c r="O1078" t="str">
        <f>Koond_kulud!O1124</f>
        <v>Majandamiskulud</v>
      </c>
      <c r="P1078" t="str">
        <f>Koond_kulud!P1124</f>
        <v>Põhitegevuse kulu</v>
      </c>
      <c r="Q1078">
        <f>Koond_kulud!Q1124</f>
        <v>0</v>
      </c>
    </row>
    <row r="1079" spans="1:17" hidden="1" x14ac:dyDescent="0.25">
      <c r="A1079" t="str">
        <f>Koond_kulud!A1125</f>
        <v>10</v>
      </c>
      <c r="B1079" t="str">
        <f>Koond_kulud!B1125</f>
        <v xml:space="preserve">1020001         </v>
      </c>
      <c r="C1079" t="str">
        <f>Koond_kulud!C1125</f>
        <v xml:space="preserve"> Tammiku Kodu</v>
      </c>
      <c r="D1079" t="str">
        <f>Koond_kulud!D1125</f>
        <v>Eakate sotsiaalhoolekande asutused</v>
      </c>
      <c r="E1079" t="str">
        <f>Koond_kulud!E1125</f>
        <v>Sotsiaalne kaitse</v>
      </c>
      <c r="F1079" t="str">
        <f>Koond_kulud!F1125</f>
        <v>Tammiku kodu</v>
      </c>
      <c r="G1079" t="str">
        <f>Koond_kulud!G1125</f>
        <v>el.auto tehnhool, kindlustus, remont</v>
      </c>
      <c r="H1079">
        <f>Koond_kulud!H1125</f>
        <v>800</v>
      </c>
      <c r="I1079">
        <f>Koond_kulud!I1125</f>
        <v>0</v>
      </c>
      <c r="J1079">
        <f>Koond_kulud!J1125</f>
        <v>5513</v>
      </c>
      <c r="K1079" t="str">
        <f>Koond_kulud!K1125</f>
        <v>Sõidukite ülalpidamise kulud</v>
      </c>
      <c r="L1079">
        <f>Koond_kulud!L1125</f>
        <v>55</v>
      </c>
      <c r="M1079" t="str">
        <f>Koond_kulud!M1125</f>
        <v>55</v>
      </c>
      <c r="N1079" t="str">
        <f>Koond_kulud!N1125</f>
        <v>Muud tegevuskulud</v>
      </c>
      <c r="O1079" t="str">
        <f>Koond_kulud!O1125</f>
        <v>Majandamiskulud</v>
      </c>
      <c r="P1079" t="str">
        <f>Koond_kulud!P1125</f>
        <v>Põhitegevuse kulu</v>
      </c>
      <c r="Q1079">
        <f>Koond_kulud!Q1125</f>
        <v>0</v>
      </c>
    </row>
    <row r="1080" spans="1:17" hidden="1" x14ac:dyDescent="0.25">
      <c r="A1080" t="str">
        <f>Koond_kulud!A1126</f>
        <v>10</v>
      </c>
      <c r="B1080" t="str">
        <f>Koond_kulud!B1126</f>
        <v xml:space="preserve">1020001         </v>
      </c>
      <c r="C1080" t="str">
        <f>Koond_kulud!C1126</f>
        <v xml:space="preserve"> Tammiku Kodu</v>
      </c>
      <c r="D1080" t="str">
        <f>Koond_kulud!D1126</f>
        <v>Eakate sotsiaalhoolekande asutused</v>
      </c>
      <c r="E1080" t="str">
        <f>Koond_kulud!E1126</f>
        <v>Sotsiaalne kaitse</v>
      </c>
      <c r="F1080" t="str">
        <f>Koond_kulud!F1126</f>
        <v>Tammiku kodu</v>
      </c>
      <c r="G1080" t="str">
        <f>Koond_kulud!G1126</f>
        <v>sotsiaaltranspordi teenus</v>
      </c>
      <c r="H1080">
        <f>Koond_kulud!H1126</f>
        <v>432</v>
      </c>
      <c r="I1080">
        <f>Koond_kulud!I1126</f>
        <v>0</v>
      </c>
      <c r="J1080">
        <f>Koond_kulud!J1126</f>
        <v>5513</v>
      </c>
      <c r="K1080" t="str">
        <f>Koond_kulud!K1126</f>
        <v>Sõidukite ülalpidamise kulud</v>
      </c>
      <c r="L1080">
        <f>Koond_kulud!L1126</f>
        <v>55</v>
      </c>
      <c r="M1080" t="str">
        <f>Koond_kulud!M1126</f>
        <v>55</v>
      </c>
      <c r="N1080" t="str">
        <f>Koond_kulud!N1126</f>
        <v>Muud tegevuskulud</v>
      </c>
      <c r="O1080" t="str">
        <f>Koond_kulud!O1126</f>
        <v>Majandamiskulud</v>
      </c>
      <c r="P1080" t="str">
        <f>Koond_kulud!P1126</f>
        <v>Põhitegevuse kulu</v>
      </c>
      <c r="Q1080">
        <f>Koond_kulud!Q1126</f>
        <v>0</v>
      </c>
    </row>
    <row r="1081" spans="1:17" hidden="1" x14ac:dyDescent="0.25">
      <c r="A1081" t="str">
        <f>Koond_kulud!A1127</f>
        <v>10</v>
      </c>
      <c r="B1081" t="str">
        <f>Koond_kulud!B1127</f>
        <v xml:space="preserve">1020001         </v>
      </c>
      <c r="C1081" t="str">
        <f>Koond_kulud!C1127</f>
        <v xml:space="preserve"> Tammiku Kodu</v>
      </c>
      <c r="D1081" t="str">
        <f>Koond_kulud!D1127</f>
        <v>Eakate sotsiaalhoolekande asutused</v>
      </c>
      <c r="E1081" t="str">
        <f>Koond_kulud!E1127</f>
        <v>Sotsiaalne kaitse</v>
      </c>
      <c r="F1081" t="str">
        <f>Koond_kulud!F1127</f>
        <v>Tammiku kodu</v>
      </c>
      <c r="G1081" t="str">
        <f>Koond_kulud!G1127</f>
        <v>toidukaup</v>
      </c>
      <c r="H1081">
        <f>Koond_kulud!H1127</f>
        <v>19535</v>
      </c>
      <c r="I1081" t="str">
        <f>Koond_kulud!I1127</f>
        <v xml:space="preserve">24 in x 365 p x 2,30                                  </v>
      </c>
      <c r="J1081">
        <f>Koond_kulud!J1127</f>
        <v>5521</v>
      </c>
      <c r="K1081" t="str">
        <f>Koond_kulud!K1127</f>
        <v>Toiduained ja toitlustusteenused</v>
      </c>
      <c r="L1081">
        <f>Koond_kulud!L1127</f>
        <v>55</v>
      </c>
      <c r="M1081" t="str">
        <f>Koond_kulud!M1127</f>
        <v>55</v>
      </c>
      <c r="N1081" t="str">
        <f>Koond_kulud!N1127</f>
        <v>Muud tegevuskulud</v>
      </c>
      <c r="O1081" t="str">
        <f>Koond_kulud!O1127</f>
        <v>Majandamiskulud</v>
      </c>
      <c r="P1081" t="str">
        <f>Koond_kulud!P1127</f>
        <v>Põhitegevuse kulu</v>
      </c>
      <c r="Q1081">
        <f>Koond_kulud!Q1127</f>
        <v>0</v>
      </c>
    </row>
    <row r="1082" spans="1:17" hidden="1" x14ac:dyDescent="0.25">
      <c r="A1082" t="str">
        <f>Koond_kulud!A1128</f>
        <v>10</v>
      </c>
      <c r="B1082" t="str">
        <f>Koond_kulud!B1128</f>
        <v xml:space="preserve">1020001         </v>
      </c>
      <c r="C1082" t="str">
        <f>Koond_kulud!C1128</f>
        <v xml:space="preserve"> Tammiku Kodu</v>
      </c>
      <c r="D1082" t="str">
        <f>Koond_kulud!D1128</f>
        <v>Eakate sotsiaalhoolekande asutused</v>
      </c>
      <c r="E1082" t="str">
        <f>Koond_kulud!E1128</f>
        <v>Sotsiaalne kaitse</v>
      </c>
      <c r="F1082" t="str">
        <f>Koond_kulud!F1128</f>
        <v>Tammiku kodu</v>
      </c>
      <c r="G1082" t="str">
        <f>Koond_kulud!G1128</f>
        <v>Tervisekontroll</v>
      </c>
      <c r="H1082">
        <f>Koond_kulud!H1128</f>
        <v>100</v>
      </c>
      <c r="I1082" t="str">
        <f>Koond_kulud!I1128</f>
        <v xml:space="preserve">Töötajad                                                     </v>
      </c>
      <c r="J1082">
        <f>Koond_kulud!J1128</f>
        <v>5522</v>
      </c>
      <c r="K1082" t="str">
        <f>Koond_kulud!K1128</f>
        <v>Meditsiinikulud ja hügieenitarbed</v>
      </c>
      <c r="L1082">
        <f>Koond_kulud!L1128</f>
        <v>55</v>
      </c>
      <c r="M1082" t="str">
        <f>Koond_kulud!M1128</f>
        <v>55</v>
      </c>
      <c r="N1082" t="str">
        <f>Koond_kulud!N1128</f>
        <v>Muud tegevuskulud</v>
      </c>
      <c r="O1082" t="str">
        <f>Koond_kulud!O1128</f>
        <v>Majandamiskulud</v>
      </c>
      <c r="P1082" t="str">
        <f>Koond_kulud!P1128</f>
        <v>Põhitegevuse kulu</v>
      </c>
      <c r="Q1082">
        <f>Koond_kulud!Q1128</f>
        <v>0</v>
      </c>
    </row>
    <row r="1083" spans="1:17" hidden="1" x14ac:dyDescent="0.25">
      <c r="A1083" t="str">
        <f>Koond_kulud!A1129</f>
        <v>10</v>
      </c>
      <c r="B1083" t="str">
        <f>Koond_kulud!B1129</f>
        <v xml:space="preserve">1020001         </v>
      </c>
      <c r="C1083" t="str">
        <f>Koond_kulud!C1129</f>
        <v xml:space="preserve"> Tammiku Kodu</v>
      </c>
      <c r="D1083" t="str">
        <f>Koond_kulud!D1129</f>
        <v>Eakate sotsiaalhoolekande asutused</v>
      </c>
      <c r="E1083" t="str">
        <f>Koond_kulud!E1129</f>
        <v>Sotsiaalne kaitse</v>
      </c>
      <c r="F1083" t="str">
        <f>Koond_kulud!F1129</f>
        <v>Tammiku kodu</v>
      </c>
      <c r="G1083" t="str">
        <f>Koond_kulud!G1129</f>
        <v>Pereõe külastus</v>
      </c>
      <c r="H1083">
        <f>Koond_kulud!H1129</f>
        <v>1000</v>
      </c>
      <c r="I1083" t="str">
        <f>Koond_kulud!I1129</f>
        <v xml:space="preserve">Riina Sinisoo 1x kuus                                  </v>
      </c>
      <c r="J1083">
        <f>Koond_kulud!J1129</f>
        <v>5522</v>
      </c>
      <c r="K1083" t="str">
        <f>Koond_kulud!K1129</f>
        <v>Meditsiinikulud ja hügieenitarbed</v>
      </c>
      <c r="L1083">
        <f>Koond_kulud!L1129</f>
        <v>55</v>
      </c>
      <c r="M1083" t="str">
        <f>Koond_kulud!M1129</f>
        <v>55</v>
      </c>
      <c r="N1083" t="str">
        <f>Koond_kulud!N1129</f>
        <v>Muud tegevuskulud</v>
      </c>
      <c r="O1083" t="str">
        <f>Koond_kulud!O1129</f>
        <v>Majandamiskulud</v>
      </c>
      <c r="P1083" t="str">
        <f>Koond_kulud!P1129</f>
        <v>Põhitegevuse kulu</v>
      </c>
      <c r="Q1083">
        <f>Koond_kulud!Q1129</f>
        <v>0</v>
      </c>
    </row>
    <row r="1084" spans="1:17" hidden="1" x14ac:dyDescent="0.25">
      <c r="A1084" t="str">
        <f>Koond_kulud!A1130</f>
        <v>10</v>
      </c>
      <c r="B1084" t="str">
        <f>Koond_kulud!B1130</f>
        <v xml:space="preserve">1020001         </v>
      </c>
      <c r="C1084" t="str">
        <f>Koond_kulud!C1130</f>
        <v xml:space="preserve"> Tammiku Kodu</v>
      </c>
      <c r="D1084" t="str">
        <f>Koond_kulud!D1130</f>
        <v>Eakate sotsiaalhoolekande asutused</v>
      </c>
      <c r="E1084" t="str">
        <f>Koond_kulud!E1130</f>
        <v>Sotsiaalne kaitse</v>
      </c>
      <c r="F1084" t="str">
        <f>Koond_kulud!F1130</f>
        <v>Tammiku kodu</v>
      </c>
      <c r="G1084" t="str">
        <f>Koond_kulud!G1130</f>
        <v>Ravimid</v>
      </c>
      <c r="H1084">
        <f>Koond_kulud!H1130</f>
        <v>1850</v>
      </c>
      <c r="I1084" t="str">
        <f>Koond_kulud!I1130</f>
        <v xml:space="preserve">Retsepti-ja vabamüügiravimid             </v>
      </c>
      <c r="J1084">
        <f>Koond_kulud!J1130</f>
        <v>5522</v>
      </c>
      <c r="K1084" t="str">
        <f>Koond_kulud!K1130</f>
        <v>Meditsiinikulud ja hügieenitarbed</v>
      </c>
      <c r="L1084">
        <f>Koond_kulud!L1130</f>
        <v>55</v>
      </c>
      <c r="M1084" t="str">
        <f>Koond_kulud!M1130</f>
        <v>55</v>
      </c>
      <c r="N1084" t="str">
        <f>Koond_kulud!N1130</f>
        <v>Muud tegevuskulud</v>
      </c>
      <c r="O1084" t="str">
        <f>Koond_kulud!O1130</f>
        <v>Majandamiskulud</v>
      </c>
      <c r="P1084" t="str">
        <f>Koond_kulud!P1130</f>
        <v>Põhitegevuse kulu</v>
      </c>
      <c r="Q1084">
        <f>Koond_kulud!Q1130</f>
        <v>0</v>
      </c>
    </row>
    <row r="1085" spans="1:17" hidden="1" x14ac:dyDescent="0.25">
      <c r="A1085" t="str">
        <f>Koond_kulud!A1131</f>
        <v>10</v>
      </c>
      <c r="B1085" t="str">
        <f>Koond_kulud!B1131</f>
        <v xml:space="preserve">1020001         </v>
      </c>
      <c r="C1085" t="str">
        <f>Koond_kulud!C1131</f>
        <v xml:space="preserve"> Tammiku Kodu</v>
      </c>
      <c r="D1085" t="str">
        <f>Koond_kulud!D1131</f>
        <v>Eakate sotsiaalhoolekande asutused</v>
      </c>
      <c r="E1085" t="str">
        <f>Koond_kulud!E1131</f>
        <v>Sotsiaalne kaitse</v>
      </c>
      <c r="F1085" t="str">
        <f>Koond_kulud!F1131</f>
        <v>Tammiku kodu</v>
      </c>
      <c r="G1085" t="str">
        <f>Koond_kulud!G1131</f>
        <v>Hügieenitarbed</v>
      </c>
      <c r="H1085">
        <f>Koond_kulud!H1131</f>
        <v>2060</v>
      </c>
      <c r="I1085" t="str">
        <f>Koond_kulud!I1131</f>
        <v xml:space="preserve">1x linad, pesemiskindad, mähkmed jm      </v>
      </c>
      <c r="J1085">
        <f>Koond_kulud!J1131</f>
        <v>5522</v>
      </c>
      <c r="K1085" t="str">
        <f>Koond_kulud!K1131</f>
        <v>Meditsiinikulud ja hügieenitarbed</v>
      </c>
      <c r="L1085">
        <f>Koond_kulud!L1131</f>
        <v>55</v>
      </c>
      <c r="M1085" t="str">
        <f>Koond_kulud!M1131</f>
        <v>55</v>
      </c>
      <c r="N1085" t="str">
        <f>Koond_kulud!N1131</f>
        <v>Muud tegevuskulud</v>
      </c>
      <c r="O1085" t="str">
        <f>Koond_kulud!O1131</f>
        <v>Majandamiskulud</v>
      </c>
      <c r="P1085" t="str">
        <f>Koond_kulud!P1131</f>
        <v>Põhitegevuse kulu</v>
      </c>
      <c r="Q1085">
        <f>Koond_kulud!Q1131</f>
        <v>0</v>
      </c>
    </row>
    <row r="1086" spans="1:17" hidden="1" x14ac:dyDescent="0.25">
      <c r="A1086" t="str">
        <f>Koond_kulud!A1132</f>
        <v>10</v>
      </c>
      <c r="B1086" t="str">
        <f>Koond_kulud!B1132</f>
        <v xml:space="preserve">1020001         </v>
      </c>
      <c r="C1086" t="str">
        <f>Koond_kulud!C1132</f>
        <v xml:space="preserve"> Tammiku Kodu</v>
      </c>
      <c r="D1086" t="str">
        <f>Koond_kulud!D1132</f>
        <v>Eakate sotsiaalhoolekande asutused</v>
      </c>
      <c r="E1086" t="str">
        <f>Koond_kulud!E1132</f>
        <v>Sotsiaalne kaitse</v>
      </c>
      <c r="F1086" t="str">
        <f>Koond_kulud!F1132</f>
        <v>Tammiku kodu</v>
      </c>
      <c r="G1086" t="str">
        <f>Koond_kulud!G1132</f>
        <v>Haiglatasud</v>
      </c>
      <c r="H1086">
        <f>Koond_kulud!H1132</f>
        <v>300</v>
      </c>
      <c r="I1086" t="str">
        <f>Koond_kulud!I1132</f>
        <v xml:space="preserve">Haigla voodi-ja visiiditasud                           </v>
      </c>
      <c r="J1086">
        <f>Koond_kulud!J1132</f>
        <v>5522</v>
      </c>
      <c r="K1086" t="str">
        <f>Koond_kulud!K1132</f>
        <v>Meditsiinikulud ja hügieenitarbed</v>
      </c>
      <c r="L1086">
        <f>Koond_kulud!L1132</f>
        <v>55</v>
      </c>
      <c r="M1086" t="str">
        <f>Koond_kulud!M1132</f>
        <v>55</v>
      </c>
      <c r="N1086" t="str">
        <f>Koond_kulud!N1132</f>
        <v>Muud tegevuskulud</v>
      </c>
      <c r="O1086" t="str">
        <f>Koond_kulud!O1132</f>
        <v>Majandamiskulud</v>
      </c>
      <c r="P1086" t="str">
        <f>Koond_kulud!P1132</f>
        <v>Põhitegevuse kulu</v>
      </c>
      <c r="Q1086">
        <f>Koond_kulud!Q1132</f>
        <v>0</v>
      </c>
    </row>
    <row r="1087" spans="1:17" hidden="1" x14ac:dyDescent="0.25">
      <c r="A1087" t="str">
        <f>Koond_kulud!A1133</f>
        <v>10</v>
      </c>
      <c r="B1087" t="str">
        <f>Koond_kulud!B1133</f>
        <v xml:space="preserve">1020001         </v>
      </c>
      <c r="C1087" t="str">
        <f>Koond_kulud!C1133</f>
        <v xml:space="preserve"> Tammiku Kodu</v>
      </c>
      <c r="D1087" t="str">
        <f>Koond_kulud!D1133</f>
        <v>Eakate sotsiaalhoolekande asutused</v>
      </c>
      <c r="E1087" t="str">
        <f>Koond_kulud!E1133</f>
        <v>Sotsiaalne kaitse</v>
      </c>
      <c r="F1087" t="str">
        <f>Koond_kulud!F1133</f>
        <v>Tammiku kodu</v>
      </c>
      <c r="G1087" t="str">
        <f>Koond_kulud!G1133</f>
        <v>Üritused, sünnipäevad, esinejad</v>
      </c>
      <c r="H1087">
        <f>Koond_kulud!H1133</f>
        <v>1000</v>
      </c>
      <c r="I1087">
        <f>Koond_kulud!I1133</f>
        <v>0</v>
      </c>
      <c r="J1087">
        <f>Koond_kulud!J1133</f>
        <v>5525</v>
      </c>
      <c r="K1087" t="str">
        <f>Koond_kulud!K1133</f>
        <v>Kommunikatsiooni-, kultuuri- ja vaba aja sisustamise kulud</v>
      </c>
      <c r="L1087">
        <f>Koond_kulud!L1133</f>
        <v>55</v>
      </c>
      <c r="M1087" t="str">
        <f>Koond_kulud!M1133</f>
        <v>55</v>
      </c>
      <c r="N1087" t="str">
        <f>Koond_kulud!N1133</f>
        <v>Muud tegevuskulud</v>
      </c>
      <c r="O1087" t="str">
        <f>Koond_kulud!O1133</f>
        <v>Majandamiskulud</v>
      </c>
      <c r="P1087" t="str">
        <f>Koond_kulud!P1133</f>
        <v>Põhitegevuse kulu</v>
      </c>
      <c r="Q1087">
        <f>Koond_kulud!Q1133</f>
        <v>0</v>
      </c>
    </row>
    <row r="1088" spans="1:17" hidden="1" x14ac:dyDescent="0.25">
      <c r="A1088" t="str">
        <f>Koond_kulud!A1134</f>
        <v>10</v>
      </c>
      <c r="B1088" t="str">
        <f>Koond_kulud!B1134</f>
        <v xml:space="preserve">1020001         </v>
      </c>
      <c r="C1088" t="str">
        <f>Koond_kulud!C1134</f>
        <v xml:space="preserve"> Tammiku Kodu</v>
      </c>
      <c r="D1088" t="str">
        <f>Koond_kulud!D1134</f>
        <v>Eakate sotsiaalhoolekande asutused</v>
      </c>
      <c r="E1088" t="str">
        <f>Koond_kulud!E1134</f>
        <v>Sotsiaalne kaitse</v>
      </c>
      <c r="F1088" t="str">
        <f>Koond_kulud!F1134</f>
        <v>Tammiku kodu</v>
      </c>
      <c r="G1088" t="str">
        <f>Koond_kulud!G1134</f>
        <v>Ettenägematud soetused</v>
      </c>
      <c r="H1088">
        <f>Koond_kulud!H1134</f>
        <v>940</v>
      </c>
      <c r="I1088">
        <f>Koond_kulud!I1134</f>
        <v>0</v>
      </c>
      <c r="J1088">
        <f>Koond_kulud!J1134</f>
        <v>5540</v>
      </c>
      <c r="K1088" t="str">
        <f>Koond_kulud!K1134</f>
        <v>Mitmesugused majanduskulud</v>
      </c>
      <c r="L1088">
        <f>Koond_kulud!L1134</f>
        <v>55</v>
      </c>
      <c r="M1088" t="str">
        <f>Koond_kulud!M1134</f>
        <v>55</v>
      </c>
      <c r="N1088" t="str">
        <f>Koond_kulud!N1134</f>
        <v>Muud tegevuskulud</v>
      </c>
      <c r="O1088" t="str">
        <f>Koond_kulud!O1134</f>
        <v>Majandamiskulud</v>
      </c>
      <c r="P1088" t="str">
        <f>Koond_kulud!P1134</f>
        <v>Põhitegevuse kulu</v>
      </c>
      <c r="Q1088">
        <f>Koond_kulud!Q1134</f>
        <v>0</v>
      </c>
    </row>
    <row r="1089" spans="1:17" hidden="1" x14ac:dyDescent="0.25">
      <c r="A1089" t="str">
        <f>Koond_kulud!A1135</f>
        <v>10</v>
      </c>
      <c r="B1089" t="str">
        <f>Koond_kulud!B1135</f>
        <v xml:space="preserve">1020001         </v>
      </c>
      <c r="C1089" t="str">
        <f>Koond_kulud!C1135</f>
        <v xml:space="preserve"> Tammiku Kodu</v>
      </c>
      <c r="D1089" t="str">
        <f>Koond_kulud!D1135</f>
        <v>Eakate sotsiaalhoolekande asutused</v>
      </c>
      <c r="E1089" t="str">
        <f>Koond_kulud!E1135</f>
        <v>Sotsiaalne kaitse</v>
      </c>
      <c r="F1089" t="str">
        <f>Koond_kulud!F1135</f>
        <v>Tammiku kodu</v>
      </c>
      <c r="G1089" t="str">
        <f>Koond_kulud!G1135</f>
        <v>küte</v>
      </c>
      <c r="H1089">
        <f>Koond_kulud!H1135</f>
        <v>1500</v>
      </c>
      <c r="I1089" t="str">
        <f>Koond_kulud!I1135</f>
        <v xml:space="preserve">35 m2 puid Tammiku Kodule                           </v>
      </c>
      <c r="J1089">
        <f>Koond_kulud!J1135</f>
        <v>5511</v>
      </c>
      <c r="K1089" t="str">
        <f>Koond_kulud!K1135</f>
        <v>Kinnistute, hoonete ja ruumide majandamiskulud</v>
      </c>
      <c r="L1089">
        <f>Koond_kulud!L1135</f>
        <v>55</v>
      </c>
      <c r="M1089" t="str">
        <f>Koond_kulud!M1135</f>
        <v>55</v>
      </c>
      <c r="N1089" t="str">
        <f>Koond_kulud!N1135</f>
        <v>Muud tegevuskulud</v>
      </c>
      <c r="O1089" t="str">
        <f>Koond_kulud!O1135</f>
        <v>Majandamiskulud</v>
      </c>
      <c r="P1089" t="str">
        <f>Koond_kulud!P1135</f>
        <v>Põhitegevuse kulu</v>
      </c>
      <c r="Q1089">
        <f>Koond_kulud!Q1135</f>
        <v>0</v>
      </c>
    </row>
    <row r="1090" spans="1:17" hidden="1" x14ac:dyDescent="0.25">
      <c r="A1090" t="str">
        <f>Koond_kulud!A1136</f>
        <v>10</v>
      </c>
      <c r="B1090" t="str">
        <f>Koond_kulud!B1136</f>
        <v xml:space="preserve">1020001         </v>
      </c>
      <c r="C1090" t="str">
        <f>Koond_kulud!C1136</f>
        <v xml:space="preserve"> Tammiku Kodu</v>
      </c>
      <c r="D1090" t="str">
        <f>Koond_kulud!D1136</f>
        <v>Eakate sotsiaalhoolekande asutused</v>
      </c>
      <c r="E1090" t="str">
        <f>Koond_kulud!E1136</f>
        <v>Sotsiaalne kaitse</v>
      </c>
      <c r="F1090" t="str">
        <f>Koond_kulud!F1136</f>
        <v>Tammiku kodu</v>
      </c>
      <c r="G1090" t="str">
        <f>Koond_kulud!G1136</f>
        <v>elekter</v>
      </c>
      <c r="H1090">
        <f>Koond_kulud!H1136</f>
        <v>4150</v>
      </c>
      <c r="I1090" t="str">
        <f>Koond_kulud!I1136</f>
        <v xml:space="preserve">Obja k peamaja ja 2 korterit Roelas             </v>
      </c>
      <c r="J1090">
        <f>Koond_kulud!J1136</f>
        <v>5511</v>
      </c>
      <c r="K1090" t="str">
        <f>Koond_kulud!K1136</f>
        <v>Kinnistute, hoonete ja ruumide majandamiskulud</v>
      </c>
      <c r="L1090">
        <f>Koond_kulud!L1136</f>
        <v>55</v>
      </c>
      <c r="M1090" t="str">
        <f>Koond_kulud!M1136</f>
        <v>55</v>
      </c>
      <c r="N1090" t="str">
        <f>Koond_kulud!N1136</f>
        <v>Muud tegevuskulud</v>
      </c>
      <c r="O1090" t="str">
        <f>Koond_kulud!O1136</f>
        <v>Majandamiskulud</v>
      </c>
      <c r="P1090" t="str">
        <f>Koond_kulud!P1136</f>
        <v>Põhitegevuse kulu</v>
      </c>
      <c r="Q1090">
        <f>Koond_kulud!Q1136</f>
        <v>0</v>
      </c>
    </row>
    <row r="1091" spans="1:17" hidden="1" x14ac:dyDescent="0.25">
      <c r="A1091" t="str">
        <f>Koond_kulud!A1137</f>
        <v>10</v>
      </c>
      <c r="B1091" t="str">
        <f>Koond_kulud!B1137</f>
        <v xml:space="preserve">1020001         </v>
      </c>
      <c r="C1091" t="str">
        <f>Koond_kulud!C1137</f>
        <v xml:space="preserve"> Tammiku Kodu</v>
      </c>
      <c r="D1091" t="str">
        <f>Koond_kulud!D1137</f>
        <v>Eakate sotsiaalhoolekande asutused</v>
      </c>
      <c r="E1091" t="str">
        <f>Koond_kulud!E1137</f>
        <v>Sotsiaalne kaitse</v>
      </c>
      <c r="F1091" t="str">
        <f>Koond_kulud!F1137</f>
        <v>Tammiku kodu</v>
      </c>
      <c r="G1091" t="str">
        <f>Koond_kulud!G1137</f>
        <v>vesi ja kanalisatsioon</v>
      </c>
      <c r="H1091">
        <f>Koond_kulud!H1137</f>
        <v>2760</v>
      </c>
      <c r="I1091" t="str">
        <f>Koond_kulud!I1137</f>
        <v xml:space="preserve">Fixum 230 eurot kuus                                                      </v>
      </c>
      <c r="J1091">
        <f>Koond_kulud!J1137</f>
        <v>5511</v>
      </c>
      <c r="K1091" t="str">
        <f>Koond_kulud!K1137</f>
        <v>Kinnistute, hoonete ja ruumide majandamiskulud</v>
      </c>
      <c r="L1091">
        <f>Koond_kulud!L1137</f>
        <v>55</v>
      </c>
      <c r="M1091" t="str">
        <f>Koond_kulud!M1137</f>
        <v>55</v>
      </c>
      <c r="N1091" t="str">
        <f>Koond_kulud!N1137</f>
        <v>Muud tegevuskulud</v>
      </c>
      <c r="O1091" t="str">
        <f>Koond_kulud!O1137</f>
        <v>Majandamiskulud</v>
      </c>
      <c r="P1091" t="str">
        <f>Koond_kulud!P1137</f>
        <v>Põhitegevuse kulu</v>
      </c>
      <c r="Q1091">
        <f>Koond_kulud!Q1137</f>
        <v>0</v>
      </c>
    </row>
    <row r="1092" spans="1:17" hidden="1" x14ac:dyDescent="0.25">
      <c r="A1092" t="str">
        <f>Koond_kulud!A1138</f>
        <v>10</v>
      </c>
      <c r="B1092" t="str">
        <f>Koond_kulud!B1138</f>
        <v xml:space="preserve">1020001         </v>
      </c>
      <c r="C1092" t="str">
        <f>Koond_kulud!C1138</f>
        <v xml:space="preserve"> Tammiku Kodu</v>
      </c>
      <c r="D1092" t="str">
        <f>Koond_kulud!D1138</f>
        <v>Eakate sotsiaalhoolekande asutused</v>
      </c>
      <c r="E1092" t="str">
        <f>Koond_kulud!E1138</f>
        <v>Sotsiaalne kaitse</v>
      </c>
      <c r="F1092" t="str">
        <f>Koond_kulud!F1138</f>
        <v>Tammiku kodu</v>
      </c>
      <c r="G1092" t="str">
        <f>Koond_kulud!G1138</f>
        <v>korrashoiuvahendid, voodipesud, käterätid jms</v>
      </c>
      <c r="H1092">
        <f>Koond_kulud!H1138</f>
        <v>4100</v>
      </c>
      <c r="I1092" t="str">
        <f>Koond_kulud!I1138</f>
        <v xml:space="preserve">pesuvahendid, puhastustarbed jm         </v>
      </c>
      <c r="J1092">
        <f>Koond_kulud!J1138</f>
        <v>5511</v>
      </c>
      <c r="K1092" t="str">
        <f>Koond_kulud!K1138</f>
        <v>Kinnistute, hoonete ja ruumide majandamiskulud</v>
      </c>
      <c r="L1092">
        <f>Koond_kulud!L1138</f>
        <v>55</v>
      </c>
      <c r="M1092" t="str">
        <f>Koond_kulud!M1138</f>
        <v>55</v>
      </c>
      <c r="N1092" t="str">
        <f>Koond_kulud!N1138</f>
        <v>Muud tegevuskulud</v>
      </c>
      <c r="O1092" t="str">
        <f>Koond_kulud!O1138</f>
        <v>Majandamiskulud</v>
      </c>
      <c r="P1092" t="str">
        <f>Koond_kulud!P1138</f>
        <v>Põhitegevuse kulu</v>
      </c>
      <c r="Q1092">
        <f>Koond_kulud!Q1138</f>
        <v>0</v>
      </c>
    </row>
    <row r="1093" spans="1:17" hidden="1" x14ac:dyDescent="0.25">
      <c r="A1093" t="str">
        <f>Koond_kulud!A1139</f>
        <v>10</v>
      </c>
      <c r="B1093" t="str">
        <f>Koond_kulud!B1139</f>
        <v xml:space="preserve">1020001         </v>
      </c>
      <c r="C1093" t="str">
        <f>Koond_kulud!C1139</f>
        <v xml:space="preserve"> Tammiku Kodu</v>
      </c>
      <c r="D1093" t="str">
        <f>Koond_kulud!D1139</f>
        <v>Eakate sotsiaalhoolekande asutused</v>
      </c>
      <c r="E1093" t="str">
        <f>Koond_kulud!E1139</f>
        <v>Sotsiaalne kaitse</v>
      </c>
      <c r="F1093" t="str">
        <f>Koond_kulud!F1139</f>
        <v>Tammiku kodu</v>
      </c>
      <c r="G1093" t="str">
        <f>Koond_kulud!G1139</f>
        <v>KÜ maksud</v>
      </c>
      <c r="H1093">
        <f>Koond_kulud!H1139</f>
        <v>4300</v>
      </c>
      <c r="I1093" t="str">
        <f>Koond_kulud!I1139</f>
        <v xml:space="preserve">Järve 2-10 ja Järve 6-21          </v>
      </c>
      <c r="J1093">
        <f>Koond_kulud!J1139</f>
        <v>5511</v>
      </c>
      <c r="K1093" t="str">
        <f>Koond_kulud!K1139</f>
        <v>Kinnistute, hoonete ja ruumide majandamiskulud</v>
      </c>
      <c r="L1093">
        <f>Koond_kulud!L1139</f>
        <v>55</v>
      </c>
      <c r="M1093" t="str">
        <f>Koond_kulud!M1139</f>
        <v>55</v>
      </c>
      <c r="N1093" t="str">
        <f>Koond_kulud!N1139</f>
        <v>Muud tegevuskulud</v>
      </c>
      <c r="O1093" t="str">
        <f>Koond_kulud!O1139</f>
        <v>Majandamiskulud</v>
      </c>
      <c r="P1093" t="str">
        <f>Koond_kulud!P1139</f>
        <v>Põhitegevuse kulu</v>
      </c>
      <c r="Q1093">
        <f>Koond_kulud!Q1139</f>
        <v>0</v>
      </c>
    </row>
    <row r="1094" spans="1:17" hidden="1" x14ac:dyDescent="0.25">
      <c r="A1094" t="str">
        <f>Koond_kulud!A1140</f>
        <v>10</v>
      </c>
      <c r="B1094" t="str">
        <f>Koond_kulud!B1140</f>
        <v xml:space="preserve">1020001         </v>
      </c>
      <c r="C1094" t="str">
        <f>Koond_kulud!C1140</f>
        <v xml:space="preserve"> Tammiku Kodu</v>
      </c>
      <c r="D1094" t="str">
        <f>Koond_kulud!D1140</f>
        <v>Eakate sotsiaalhoolekande asutused</v>
      </c>
      <c r="E1094" t="str">
        <f>Koond_kulud!E1140</f>
        <v>Sotsiaalne kaitse</v>
      </c>
      <c r="F1094" t="str">
        <f>Koond_kulud!F1140</f>
        <v>Tammiku kodu</v>
      </c>
      <c r="G1094" t="str">
        <f>Koond_kulud!G1140</f>
        <v>Valve ATS hooldus</v>
      </c>
      <c r="H1094">
        <f>Koond_kulud!H1140</f>
        <v>288</v>
      </c>
      <c r="I1094" t="str">
        <f>Koond_kulud!I1140</f>
        <v xml:space="preserve">4x72 GAS Eesti                                            </v>
      </c>
      <c r="J1094">
        <f>Koond_kulud!J1140</f>
        <v>5511</v>
      </c>
      <c r="K1094" t="str">
        <f>Koond_kulud!K1140</f>
        <v>Kinnistute, hoonete ja ruumide majandamiskulud</v>
      </c>
      <c r="L1094">
        <f>Koond_kulud!L1140</f>
        <v>55</v>
      </c>
      <c r="M1094" t="str">
        <f>Koond_kulud!M1140</f>
        <v>55</v>
      </c>
      <c r="N1094" t="str">
        <f>Koond_kulud!N1140</f>
        <v>Muud tegevuskulud</v>
      </c>
      <c r="O1094" t="str">
        <f>Koond_kulud!O1140</f>
        <v>Majandamiskulud</v>
      </c>
      <c r="P1094" t="str">
        <f>Koond_kulud!P1140</f>
        <v>Põhitegevuse kulu</v>
      </c>
      <c r="Q1094">
        <f>Koond_kulud!Q1140</f>
        <v>0</v>
      </c>
    </row>
    <row r="1095" spans="1:17" hidden="1" x14ac:dyDescent="0.25">
      <c r="A1095" t="str">
        <f>Koond_kulud!A1141</f>
        <v>10</v>
      </c>
      <c r="B1095" t="str">
        <f>Koond_kulud!B1141</f>
        <v xml:space="preserve">1020001         </v>
      </c>
      <c r="C1095" t="str">
        <f>Koond_kulud!C1141</f>
        <v xml:space="preserve"> Tammiku Kodu</v>
      </c>
      <c r="D1095" t="str">
        <f>Koond_kulud!D1141</f>
        <v>Eakate sotsiaalhoolekande asutused</v>
      </c>
      <c r="E1095" t="str">
        <f>Koond_kulud!E1141</f>
        <v>Sotsiaalne kaitse</v>
      </c>
      <c r="F1095" t="str">
        <f>Koond_kulud!F1141</f>
        <v>Tammiku kodu</v>
      </c>
      <c r="G1095" t="str">
        <f>Koond_kulud!G1141</f>
        <v>vee analüüsid</v>
      </c>
      <c r="H1095">
        <f>Koond_kulud!H1141</f>
        <v>150</v>
      </c>
      <c r="I1095" t="str">
        <f>Koond_kulud!I1141</f>
        <v xml:space="preserve">Terviseamet                                               </v>
      </c>
      <c r="J1095">
        <f>Koond_kulud!J1141</f>
        <v>5511</v>
      </c>
      <c r="K1095" t="str">
        <f>Koond_kulud!K1141</f>
        <v>Kinnistute, hoonete ja ruumide majandamiskulud</v>
      </c>
      <c r="L1095">
        <f>Koond_kulud!L1141</f>
        <v>55</v>
      </c>
      <c r="M1095" t="str">
        <f>Koond_kulud!M1141</f>
        <v>55</v>
      </c>
      <c r="N1095" t="str">
        <f>Koond_kulud!N1141</f>
        <v>Muud tegevuskulud</v>
      </c>
      <c r="O1095" t="str">
        <f>Koond_kulud!O1141</f>
        <v>Majandamiskulud</v>
      </c>
      <c r="P1095" t="str">
        <f>Koond_kulud!P1141</f>
        <v>Põhitegevuse kulu</v>
      </c>
      <c r="Q1095">
        <f>Koond_kulud!Q1141</f>
        <v>0</v>
      </c>
    </row>
    <row r="1096" spans="1:17" hidden="1" x14ac:dyDescent="0.25">
      <c r="A1096" t="str">
        <f>Koond_kulud!A1142</f>
        <v>10</v>
      </c>
      <c r="B1096" t="str">
        <f>Koond_kulud!B1142</f>
        <v xml:space="preserve">1020001         </v>
      </c>
      <c r="C1096" t="str">
        <f>Koond_kulud!C1142</f>
        <v xml:space="preserve"> Tammiku Kodu</v>
      </c>
      <c r="D1096" t="str">
        <f>Koond_kulud!D1142</f>
        <v>Eakate sotsiaalhoolekande asutused</v>
      </c>
      <c r="E1096" t="str">
        <f>Koond_kulud!E1142</f>
        <v>Sotsiaalne kaitse</v>
      </c>
      <c r="F1096" t="str">
        <f>Koond_kulud!F1142</f>
        <v>Tammiku kodu</v>
      </c>
      <c r="G1096" t="str">
        <f>Koond_kulud!G1142</f>
        <v>korstna-ja ventilatsiooni puhastus</v>
      </c>
      <c r="H1096">
        <f>Koond_kulud!H1142</f>
        <v>654</v>
      </c>
      <c r="I1096" t="str">
        <f>Koond_kulud!I1142</f>
        <v xml:space="preserve">Päästeameti nõue                                         </v>
      </c>
      <c r="J1096">
        <f>Koond_kulud!J1142</f>
        <v>5511</v>
      </c>
      <c r="K1096" t="str">
        <f>Koond_kulud!K1142</f>
        <v>Kinnistute, hoonete ja ruumide majandamiskulud</v>
      </c>
      <c r="L1096">
        <f>Koond_kulud!L1142</f>
        <v>55</v>
      </c>
      <c r="M1096" t="str">
        <f>Koond_kulud!M1142</f>
        <v>55</v>
      </c>
      <c r="N1096" t="str">
        <f>Koond_kulud!N1142</f>
        <v>Muud tegevuskulud</v>
      </c>
      <c r="O1096" t="str">
        <f>Koond_kulud!O1142</f>
        <v>Majandamiskulud</v>
      </c>
      <c r="P1096" t="str">
        <f>Koond_kulud!P1142</f>
        <v>Põhitegevuse kulu</v>
      </c>
      <c r="Q1096">
        <f>Koond_kulud!Q1142</f>
        <v>0</v>
      </c>
    </row>
    <row r="1097" spans="1:17" hidden="1" x14ac:dyDescent="0.25">
      <c r="A1097" t="str">
        <f>Koond_kulud!A1143</f>
        <v>10</v>
      </c>
      <c r="B1097" t="str">
        <f>Koond_kulud!B1143</f>
        <v xml:space="preserve">1020001         </v>
      </c>
      <c r="C1097" t="str">
        <f>Koond_kulud!C1143</f>
        <v xml:space="preserve"> Tammiku Kodu</v>
      </c>
      <c r="D1097" t="str">
        <f>Koond_kulud!D1143</f>
        <v>Eakate sotsiaalhoolekande asutused</v>
      </c>
      <c r="E1097" t="str">
        <f>Koond_kulud!E1143</f>
        <v>Sotsiaalne kaitse</v>
      </c>
      <c r="F1097" t="str">
        <f>Koond_kulud!F1143</f>
        <v>Tammiku kodu</v>
      </c>
      <c r="G1097" t="str">
        <f>Koond_kulud!G1143</f>
        <v>kahjuritõrje, prügi</v>
      </c>
      <c r="H1097">
        <f>Koond_kulud!H1143</f>
        <v>296</v>
      </c>
      <c r="I1097" t="str">
        <f>Koond_kulud!I1143</f>
        <v xml:space="preserve">Rentokil 35x4, prügi 13x12                 </v>
      </c>
      <c r="J1097">
        <f>Koond_kulud!J1143</f>
        <v>5511</v>
      </c>
      <c r="K1097" t="str">
        <f>Koond_kulud!K1143</f>
        <v>Kinnistute, hoonete ja ruumide majandamiskulud</v>
      </c>
      <c r="L1097">
        <f>Koond_kulud!L1143</f>
        <v>55</v>
      </c>
      <c r="M1097" t="str">
        <f>Koond_kulud!M1143</f>
        <v>55</v>
      </c>
      <c r="N1097" t="str">
        <f>Koond_kulud!N1143</f>
        <v>Muud tegevuskulud</v>
      </c>
      <c r="O1097" t="str">
        <f>Koond_kulud!O1143</f>
        <v>Majandamiskulud</v>
      </c>
      <c r="P1097" t="str">
        <f>Koond_kulud!P1143</f>
        <v>Põhitegevuse kulu</v>
      </c>
      <c r="Q1097">
        <f>Koond_kulud!Q1143</f>
        <v>0</v>
      </c>
    </row>
    <row r="1098" spans="1:17" hidden="1" x14ac:dyDescent="0.25">
      <c r="A1098" t="str">
        <f>Koond_kulud!A1144</f>
        <v>10</v>
      </c>
      <c r="B1098" t="str">
        <f>Koond_kulud!B1144</f>
        <v xml:space="preserve">1020001         </v>
      </c>
      <c r="C1098" t="str">
        <f>Koond_kulud!C1144</f>
        <v xml:space="preserve"> Tammiku Kodu</v>
      </c>
      <c r="D1098" t="str">
        <f>Koond_kulud!D1144</f>
        <v>Eakate sotsiaalhoolekande asutused</v>
      </c>
      <c r="E1098" t="str">
        <f>Koond_kulud!E1144</f>
        <v>Sotsiaalne kaitse</v>
      </c>
      <c r="F1098" t="str">
        <f>Koond_kulud!F1144</f>
        <v>Tammiku kodu</v>
      </c>
      <c r="G1098" t="str">
        <f>Koond_kulud!G1144</f>
        <v>kütus muruniidukile, niiduki õli ja remont</v>
      </c>
      <c r="H1098">
        <f>Koond_kulud!H1144</f>
        <v>180</v>
      </c>
      <c r="I1098" t="str">
        <f>Koond_kulud!I1144</f>
        <v xml:space="preserve">20 l kuus 240, õli, remont 150                                                                   </v>
      </c>
      <c r="J1098">
        <f>Koond_kulud!J1144</f>
        <v>5511</v>
      </c>
      <c r="K1098" t="str">
        <f>Koond_kulud!K1144</f>
        <v>Kinnistute, hoonete ja ruumide majandamiskulud</v>
      </c>
      <c r="L1098">
        <f>Koond_kulud!L1144</f>
        <v>55</v>
      </c>
      <c r="M1098" t="str">
        <f>Koond_kulud!M1144</f>
        <v>55</v>
      </c>
      <c r="N1098" t="str">
        <f>Koond_kulud!N1144</f>
        <v>Muud tegevuskulud</v>
      </c>
      <c r="O1098" t="str">
        <f>Koond_kulud!O1144</f>
        <v>Majandamiskulud</v>
      </c>
      <c r="P1098" t="str">
        <f>Koond_kulud!P1144</f>
        <v>Põhitegevuse kulu</v>
      </c>
      <c r="Q1098">
        <f>Koond_kulud!Q1144</f>
        <v>0</v>
      </c>
    </row>
    <row r="1099" spans="1:17" hidden="1" x14ac:dyDescent="0.25">
      <c r="A1099" t="str">
        <f>Koond_kulud!A1145</f>
        <v>10</v>
      </c>
      <c r="B1099" t="str">
        <f>Koond_kulud!B1145</f>
        <v xml:space="preserve">1020001         </v>
      </c>
      <c r="C1099" t="str">
        <f>Koond_kulud!C1145</f>
        <v xml:space="preserve"> Tammiku Kodu</v>
      </c>
      <c r="D1099" t="str">
        <f>Koond_kulud!D1145</f>
        <v>Eakate sotsiaalhoolekande asutused</v>
      </c>
      <c r="E1099" t="str">
        <f>Koond_kulud!E1145</f>
        <v>Sotsiaalne kaitse</v>
      </c>
      <c r="F1099" t="str">
        <f>Koond_kulud!F1145</f>
        <v>Tammiku kodu</v>
      </c>
      <c r="G1099" t="str">
        <f>Koond_kulud!G1145</f>
        <v>TV, arvutid</v>
      </c>
      <c r="H1099">
        <f>Koond_kulud!H1145</f>
        <v>1100</v>
      </c>
      <c r="I1099">
        <f>Koond_kulud!I1145</f>
        <v>0</v>
      </c>
      <c r="J1099">
        <f>Koond_kulud!J1145</f>
        <v>5514</v>
      </c>
      <c r="K1099" t="str">
        <f>Koond_kulud!K1145</f>
        <v>Info- ja kommunikatsioonitehnoliigised kulud</v>
      </c>
      <c r="L1099">
        <f>Koond_kulud!L1145</f>
        <v>55</v>
      </c>
      <c r="M1099" t="str">
        <f>Koond_kulud!M1145</f>
        <v>55</v>
      </c>
      <c r="N1099" t="str">
        <f>Koond_kulud!N1145</f>
        <v>Muud tegevuskulud</v>
      </c>
      <c r="O1099" t="str">
        <f>Koond_kulud!O1145</f>
        <v>Majandamiskulud</v>
      </c>
      <c r="P1099" t="str">
        <f>Koond_kulud!P1145</f>
        <v>Põhitegevuse kulu</v>
      </c>
      <c r="Q1099">
        <f>Koond_kulud!Q1145</f>
        <v>0</v>
      </c>
    </row>
    <row r="1100" spans="1:17" hidden="1" x14ac:dyDescent="0.25">
      <c r="A1100" t="str">
        <f>Koond_kulud!A1147</f>
        <v>10</v>
      </c>
      <c r="B1100" t="str">
        <f>Koond_kulud!B1147</f>
        <v xml:space="preserve">1020002         </v>
      </c>
      <c r="C1100" t="str">
        <f>Koond_kulud!C1147</f>
        <v xml:space="preserve"> Ulvi Kodu</v>
      </c>
      <c r="D1100" t="str">
        <f>Koond_kulud!D1147</f>
        <v>Eakate sotsiaalhoolekande asutused</v>
      </c>
      <c r="E1100" t="str">
        <f>Koond_kulud!E1147</f>
        <v>Sotsiaalne kaitse</v>
      </c>
      <c r="F1100" t="str">
        <f>Koond_kulud!F1147</f>
        <v>Ulvi kodu</v>
      </c>
      <c r="G1100" t="str">
        <f>Koond_kulud!G1147</f>
        <v>bürootarbed</v>
      </c>
      <c r="H1100">
        <f>Koond_kulud!H1147</f>
        <v>120</v>
      </c>
      <c r="I1100">
        <f>Koond_kulud!I1147</f>
        <v>0</v>
      </c>
      <c r="J1100">
        <f>Koond_kulud!J1147</f>
        <v>5500</v>
      </c>
      <c r="K1100" t="str">
        <f>Koond_kulud!K1147</f>
        <v>Administreerimiskulud</v>
      </c>
      <c r="L1100">
        <f>Koond_kulud!L1147</f>
        <v>55</v>
      </c>
      <c r="M1100" t="str">
        <f>Koond_kulud!M1147</f>
        <v>55</v>
      </c>
      <c r="N1100" t="str">
        <f>Koond_kulud!N1147</f>
        <v>Muud tegevuskulud</v>
      </c>
      <c r="O1100" t="str">
        <f>Koond_kulud!O1147</f>
        <v>Majandamiskulud</v>
      </c>
      <c r="P1100" t="str">
        <f>Koond_kulud!P1147</f>
        <v>Põhitegevuse kulu</v>
      </c>
      <c r="Q1100">
        <f>Koond_kulud!Q1147</f>
        <v>0</v>
      </c>
    </row>
    <row r="1101" spans="1:17" hidden="1" x14ac:dyDescent="0.25">
      <c r="A1101" t="str">
        <f>Koond_kulud!A1148</f>
        <v>10</v>
      </c>
      <c r="B1101" t="str">
        <f>Koond_kulud!B1148</f>
        <v xml:space="preserve">1020002         </v>
      </c>
      <c r="C1101" t="str">
        <f>Koond_kulud!C1148</f>
        <v xml:space="preserve"> Ulvi Kodu</v>
      </c>
      <c r="D1101" t="str">
        <f>Koond_kulud!D1148</f>
        <v>Eakate sotsiaalhoolekande asutused</v>
      </c>
      <c r="E1101" t="str">
        <f>Koond_kulud!E1148</f>
        <v>Sotsiaalne kaitse</v>
      </c>
      <c r="F1101" t="str">
        <f>Koond_kulud!F1148</f>
        <v>Ulvi kodu</v>
      </c>
      <c r="G1101" t="str">
        <f>Koond_kulud!G1148</f>
        <v xml:space="preserve">ajalehed( virumaa teataja, kodutohter </v>
      </c>
      <c r="H1101">
        <f>Koond_kulud!H1148</f>
        <v>170</v>
      </c>
      <c r="I1101">
        <f>Koond_kulud!I1148</f>
        <v>0</v>
      </c>
      <c r="J1101">
        <f>Koond_kulud!J1148</f>
        <v>5500</v>
      </c>
      <c r="K1101" t="str">
        <f>Koond_kulud!K1148</f>
        <v>Administreerimiskulud</v>
      </c>
      <c r="L1101">
        <f>Koond_kulud!L1148</f>
        <v>55</v>
      </c>
      <c r="M1101" t="str">
        <f>Koond_kulud!M1148</f>
        <v>55</v>
      </c>
      <c r="N1101" t="str">
        <f>Koond_kulud!N1148</f>
        <v>Muud tegevuskulud</v>
      </c>
      <c r="O1101" t="str">
        <f>Koond_kulud!O1148</f>
        <v>Majandamiskulud</v>
      </c>
      <c r="P1101" t="str">
        <f>Koond_kulud!P1148</f>
        <v>Põhitegevuse kulu</v>
      </c>
      <c r="Q1101">
        <f>Koond_kulud!Q1148</f>
        <v>0</v>
      </c>
    </row>
    <row r="1102" spans="1:17" hidden="1" x14ac:dyDescent="0.25">
      <c r="A1102" t="str">
        <f>Koond_kulud!A1149</f>
        <v>10</v>
      </c>
      <c r="B1102" t="str">
        <f>Koond_kulud!B1149</f>
        <v xml:space="preserve">1020002         </v>
      </c>
      <c r="C1102" t="str">
        <f>Koond_kulud!C1149</f>
        <v xml:space="preserve"> Ulvi Kodu</v>
      </c>
      <c r="D1102" t="str">
        <f>Koond_kulud!D1149</f>
        <v>Eakate sotsiaalhoolekande asutused</v>
      </c>
      <c r="E1102" t="str">
        <f>Koond_kulud!E1149</f>
        <v>Sotsiaalne kaitse</v>
      </c>
      <c r="F1102" t="str">
        <f>Koond_kulud!F1149</f>
        <v>Ulvi kodu</v>
      </c>
      <c r="G1102" t="str">
        <f>Koond_kulud!G1149</f>
        <v>esinduskulu</v>
      </c>
      <c r="H1102">
        <f>Koond_kulud!H1149</f>
        <v>200</v>
      </c>
      <c r="I1102">
        <f>Koond_kulud!I1149</f>
        <v>0</v>
      </c>
      <c r="J1102">
        <f>Koond_kulud!J1149</f>
        <v>5500</v>
      </c>
      <c r="K1102" t="str">
        <f>Koond_kulud!K1149</f>
        <v>Administreerimiskulud</v>
      </c>
      <c r="L1102">
        <f>Koond_kulud!L1149</f>
        <v>55</v>
      </c>
      <c r="M1102" t="str">
        <f>Koond_kulud!M1149</f>
        <v>55</v>
      </c>
      <c r="N1102" t="str">
        <f>Koond_kulud!N1149</f>
        <v>Muud tegevuskulud</v>
      </c>
      <c r="O1102" t="str">
        <f>Koond_kulud!O1149</f>
        <v>Majandamiskulud</v>
      </c>
      <c r="P1102" t="str">
        <f>Koond_kulud!P1149</f>
        <v>Põhitegevuse kulu</v>
      </c>
      <c r="Q1102">
        <f>Koond_kulud!Q1149</f>
        <v>0</v>
      </c>
    </row>
    <row r="1103" spans="1:17" hidden="1" x14ac:dyDescent="0.25">
      <c r="A1103" t="str">
        <f>Koond_kulud!A1150</f>
        <v>10</v>
      </c>
      <c r="B1103" t="str">
        <f>Koond_kulud!B1150</f>
        <v xml:space="preserve">1020002         </v>
      </c>
      <c r="C1103" t="str">
        <f>Koond_kulud!C1150</f>
        <v xml:space="preserve"> Ulvi Kodu</v>
      </c>
      <c r="D1103" t="str">
        <f>Koond_kulud!D1150</f>
        <v>Eakate sotsiaalhoolekande asutused</v>
      </c>
      <c r="E1103" t="str">
        <f>Koond_kulud!E1150</f>
        <v>Sotsiaalne kaitse</v>
      </c>
      <c r="F1103" t="str">
        <f>Koond_kulud!F1150</f>
        <v>Ulvi kodu</v>
      </c>
      <c r="G1103" t="str">
        <f>Koond_kulud!G1150</f>
        <v>koolitused</v>
      </c>
      <c r="H1103">
        <f>Koond_kulud!H1150</f>
        <v>650</v>
      </c>
      <c r="I1103">
        <f>Koond_kulud!I1150</f>
        <v>0</v>
      </c>
      <c r="J1103">
        <f>Koond_kulud!J1150</f>
        <v>5504</v>
      </c>
      <c r="K1103" t="str">
        <f>Koond_kulud!K1150</f>
        <v>Koolituskulud</v>
      </c>
      <c r="L1103">
        <f>Koond_kulud!L1150</f>
        <v>55</v>
      </c>
      <c r="M1103" t="str">
        <f>Koond_kulud!M1150</f>
        <v>55</v>
      </c>
      <c r="N1103" t="str">
        <f>Koond_kulud!N1150</f>
        <v>Muud tegevuskulud</v>
      </c>
      <c r="O1103" t="str">
        <f>Koond_kulud!O1150</f>
        <v>Majandamiskulud</v>
      </c>
      <c r="P1103" t="str">
        <f>Koond_kulud!P1150</f>
        <v>Põhitegevuse kulu</v>
      </c>
      <c r="Q1103">
        <f>Koond_kulud!Q1150</f>
        <v>0</v>
      </c>
    </row>
    <row r="1104" spans="1:17" hidden="1" x14ac:dyDescent="0.25">
      <c r="A1104" t="str">
        <f>Koond_kulud!A1151</f>
        <v>10</v>
      </c>
      <c r="B1104" t="str">
        <f>Koond_kulud!B1151</f>
        <v xml:space="preserve">1020002         </v>
      </c>
      <c r="C1104" t="str">
        <f>Koond_kulud!C1151</f>
        <v xml:space="preserve"> Ulvi Kodu</v>
      </c>
      <c r="D1104" t="str">
        <f>Koond_kulud!D1151</f>
        <v>Eakate sotsiaalhoolekande asutused</v>
      </c>
      <c r="E1104" t="str">
        <f>Koond_kulud!E1151</f>
        <v>Sotsiaalne kaitse</v>
      </c>
      <c r="F1104" t="str">
        <f>Koond_kulud!F1151</f>
        <v>Ulvi kodu</v>
      </c>
      <c r="G1104" t="str">
        <f>Koond_kulud!G1151</f>
        <v>isikliku sõiduauto komp.</v>
      </c>
      <c r="H1104">
        <f>Koond_kulud!H1151</f>
        <v>1650</v>
      </c>
      <c r="I1104" t="str">
        <f>Koond_kulud!I1151</f>
        <v>sõidukite kulud 11kuud * 150</v>
      </c>
      <c r="J1104">
        <f>Koond_kulud!J1151</f>
        <v>5513</v>
      </c>
      <c r="K1104" t="str">
        <f>Koond_kulud!K1151</f>
        <v>Sõidukite ülalpidamise kulud</v>
      </c>
      <c r="L1104">
        <f>Koond_kulud!L1151</f>
        <v>55</v>
      </c>
      <c r="M1104" t="str">
        <f>Koond_kulud!M1151</f>
        <v>55</v>
      </c>
      <c r="N1104" t="str">
        <f>Koond_kulud!N1151</f>
        <v>Muud tegevuskulud</v>
      </c>
      <c r="O1104" t="str">
        <f>Koond_kulud!O1151</f>
        <v>Majandamiskulud</v>
      </c>
      <c r="P1104" t="str">
        <f>Koond_kulud!P1151</f>
        <v>Põhitegevuse kulu</v>
      </c>
      <c r="Q1104">
        <f>Koond_kulud!Q1151</f>
        <v>0</v>
      </c>
    </row>
    <row r="1105" spans="1:17" hidden="1" x14ac:dyDescent="0.25">
      <c r="A1105" t="str">
        <f>Koond_kulud!A1152</f>
        <v>10</v>
      </c>
      <c r="B1105" t="str">
        <f>Koond_kulud!B1152</f>
        <v xml:space="preserve">1020002         </v>
      </c>
      <c r="C1105" t="str">
        <f>Koond_kulud!C1152</f>
        <v xml:space="preserve"> Ulvi Kodu</v>
      </c>
      <c r="D1105" t="str">
        <f>Koond_kulud!D1152</f>
        <v>Eakate sotsiaalhoolekande asutused</v>
      </c>
      <c r="E1105" t="str">
        <f>Koond_kulud!E1152</f>
        <v>Sotsiaalne kaitse</v>
      </c>
      <c r="F1105" t="str">
        <f>Koond_kulud!F1152</f>
        <v>Ulvi kodu</v>
      </c>
      <c r="G1105" t="str">
        <f>Koond_kulud!G1152</f>
        <v xml:space="preserve">voodikapp lauaga 2 tk  </v>
      </c>
      <c r="H1105">
        <f>Koond_kulud!H1152</f>
        <v>600</v>
      </c>
      <c r="I1105">
        <f>Koond_kulud!I1152</f>
        <v>0</v>
      </c>
      <c r="J1105">
        <f>Koond_kulud!J1152</f>
        <v>5515</v>
      </c>
      <c r="K1105" t="str">
        <f>Koond_kulud!K1152</f>
        <v>Inventari kulud, v.a infotehnoloogia ja kaitseotstarbelised kulud</v>
      </c>
      <c r="L1105">
        <f>Koond_kulud!L1152</f>
        <v>55</v>
      </c>
      <c r="M1105" t="str">
        <f>Koond_kulud!M1152</f>
        <v>55</v>
      </c>
      <c r="N1105" t="str">
        <f>Koond_kulud!N1152</f>
        <v>Muud tegevuskulud</v>
      </c>
      <c r="O1105" t="str">
        <f>Koond_kulud!O1152</f>
        <v>Majandamiskulud</v>
      </c>
      <c r="P1105" t="str">
        <f>Koond_kulud!P1152</f>
        <v>Põhitegevuse kulu</v>
      </c>
      <c r="Q1105">
        <f>Koond_kulud!Q1152</f>
        <v>0</v>
      </c>
    </row>
    <row r="1106" spans="1:17" hidden="1" x14ac:dyDescent="0.25">
      <c r="A1106" t="str">
        <f>Koond_kulud!A1153</f>
        <v>10</v>
      </c>
      <c r="B1106" t="str">
        <f>Koond_kulud!B1153</f>
        <v xml:space="preserve">1020002         </v>
      </c>
      <c r="C1106" t="str">
        <f>Koond_kulud!C1153</f>
        <v xml:space="preserve"> Ulvi Kodu</v>
      </c>
      <c r="D1106" t="str">
        <f>Koond_kulud!D1153</f>
        <v>Eakate sotsiaalhoolekande asutused</v>
      </c>
      <c r="E1106" t="str">
        <f>Koond_kulud!E1153</f>
        <v>Sotsiaalne kaitse</v>
      </c>
      <c r="F1106" t="str">
        <f>Koond_kulud!F1153</f>
        <v>Ulvi kodu</v>
      </c>
      <c r="G1106" t="str">
        <f>Koond_kulud!G1153</f>
        <v>riidekapp 1 tk</v>
      </c>
      <c r="H1106">
        <f>Koond_kulud!H1153</f>
        <v>230</v>
      </c>
      <c r="I1106">
        <f>Koond_kulud!I1153</f>
        <v>0</v>
      </c>
      <c r="J1106">
        <f>Koond_kulud!J1153</f>
        <v>5515</v>
      </c>
      <c r="K1106" t="str">
        <f>Koond_kulud!K1153</f>
        <v>Inventari kulud, v.a infotehnoloogia ja kaitseotstarbelised kulud</v>
      </c>
      <c r="L1106">
        <f>Koond_kulud!L1153</f>
        <v>55</v>
      </c>
      <c r="M1106" t="str">
        <f>Koond_kulud!M1153</f>
        <v>55</v>
      </c>
      <c r="N1106" t="str">
        <f>Koond_kulud!N1153</f>
        <v>Muud tegevuskulud</v>
      </c>
      <c r="O1106" t="str">
        <f>Koond_kulud!O1153</f>
        <v>Majandamiskulud</v>
      </c>
      <c r="P1106" t="str">
        <f>Koond_kulud!P1153</f>
        <v>Põhitegevuse kulu</v>
      </c>
      <c r="Q1106">
        <f>Koond_kulud!Q1153</f>
        <v>0</v>
      </c>
    </row>
    <row r="1107" spans="1:17" hidden="1" x14ac:dyDescent="0.25">
      <c r="A1107" t="str">
        <f>Koond_kulud!A1154</f>
        <v>10</v>
      </c>
      <c r="B1107" t="str">
        <f>Koond_kulud!B1154</f>
        <v xml:space="preserve">1020002         </v>
      </c>
      <c r="C1107" t="str">
        <f>Koond_kulud!C1154</f>
        <v xml:space="preserve"> Ulvi Kodu</v>
      </c>
      <c r="D1107" t="str">
        <f>Koond_kulud!D1154</f>
        <v>Eakate sotsiaalhoolekande asutused</v>
      </c>
      <c r="E1107" t="str">
        <f>Koond_kulud!E1154</f>
        <v>Sotsiaalne kaitse</v>
      </c>
      <c r="F1107" t="str">
        <f>Koond_kulud!F1154</f>
        <v>Ulvi kodu</v>
      </c>
      <c r="G1107" t="str">
        <f>Koond_kulud!G1154</f>
        <v>voodipesu 30</v>
      </c>
      <c r="H1107">
        <f>Koond_kulud!H1154</f>
        <v>600</v>
      </c>
      <c r="I1107">
        <f>Koond_kulud!I1154</f>
        <v>0</v>
      </c>
      <c r="J1107">
        <f>Koond_kulud!J1154</f>
        <v>5515</v>
      </c>
      <c r="K1107" t="str">
        <f>Koond_kulud!K1154</f>
        <v>Inventari kulud, v.a infotehnoloogia ja kaitseotstarbelised kulud</v>
      </c>
      <c r="L1107">
        <f>Koond_kulud!L1154</f>
        <v>55</v>
      </c>
      <c r="M1107" t="str">
        <f>Koond_kulud!M1154</f>
        <v>55</v>
      </c>
      <c r="N1107" t="str">
        <f>Koond_kulud!N1154</f>
        <v>Muud tegevuskulud</v>
      </c>
      <c r="O1107" t="str">
        <f>Koond_kulud!O1154</f>
        <v>Majandamiskulud</v>
      </c>
      <c r="P1107" t="str">
        <f>Koond_kulud!P1154</f>
        <v>Põhitegevuse kulu</v>
      </c>
      <c r="Q1107">
        <f>Koond_kulud!Q1154</f>
        <v>0</v>
      </c>
    </row>
    <row r="1108" spans="1:17" hidden="1" x14ac:dyDescent="0.25">
      <c r="A1108" t="str">
        <f>Koond_kulud!A1155</f>
        <v>10</v>
      </c>
      <c r="B1108" t="str">
        <f>Koond_kulud!B1155</f>
        <v xml:space="preserve">1020002         </v>
      </c>
      <c r="C1108" t="str">
        <f>Koond_kulud!C1155</f>
        <v xml:space="preserve"> Ulvi Kodu</v>
      </c>
      <c r="D1108" t="str">
        <f>Koond_kulud!D1155</f>
        <v>Eakate sotsiaalhoolekande asutused</v>
      </c>
      <c r="E1108" t="str">
        <f>Koond_kulud!E1155</f>
        <v>Sotsiaalne kaitse</v>
      </c>
      <c r="F1108" t="str">
        <f>Koond_kulud!F1155</f>
        <v>Ulvi kodu</v>
      </c>
      <c r="G1108" t="str">
        <f>Koond_kulud!G1155</f>
        <v>köögitarvikud (potid, pannid) kööki, hooldus, remont</v>
      </c>
      <c r="H1108">
        <f>Koond_kulud!H1155</f>
        <v>500</v>
      </c>
      <c r="I1108">
        <f>Koond_kulud!I1155</f>
        <v>0</v>
      </c>
      <c r="J1108">
        <f>Koond_kulud!J1155</f>
        <v>5515</v>
      </c>
      <c r="K1108" t="str">
        <f>Koond_kulud!K1155</f>
        <v>Inventari kulud, v.a infotehnoloogia ja kaitseotstarbelised kulud</v>
      </c>
      <c r="L1108">
        <f>Koond_kulud!L1155</f>
        <v>55</v>
      </c>
      <c r="M1108" t="str">
        <f>Koond_kulud!M1155</f>
        <v>55</v>
      </c>
      <c r="N1108" t="str">
        <f>Koond_kulud!N1155</f>
        <v>Muud tegevuskulud</v>
      </c>
      <c r="O1108" t="str">
        <f>Koond_kulud!O1155</f>
        <v>Majandamiskulud</v>
      </c>
      <c r="P1108" t="str">
        <f>Koond_kulud!P1155</f>
        <v>Põhitegevuse kulu</v>
      </c>
      <c r="Q1108">
        <f>Koond_kulud!Q1155</f>
        <v>0</v>
      </c>
    </row>
    <row r="1109" spans="1:17" hidden="1" x14ac:dyDescent="0.25">
      <c r="A1109" t="str">
        <f>Koond_kulud!A1156</f>
        <v>10</v>
      </c>
      <c r="B1109" t="str">
        <f>Koond_kulud!B1156</f>
        <v xml:space="preserve">1020002         </v>
      </c>
      <c r="C1109" t="str">
        <f>Koond_kulud!C1156</f>
        <v xml:space="preserve"> Ulvi Kodu</v>
      </c>
      <c r="D1109" t="str">
        <f>Koond_kulud!D1156</f>
        <v>Eakate sotsiaalhoolekande asutused</v>
      </c>
      <c r="E1109" t="str">
        <f>Koond_kulud!E1156</f>
        <v>Sotsiaalne kaitse</v>
      </c>
      <c r="F1109" t="str">
        <f>Koond_kulud!F1156</f>
        <v>Ulvi kodu</v>
      </c>
      <c r="G1109" t="str">
        <f>Koond_kulud!G1156</f>
        <v>nõudepesumasin</v>
      </c>
      <c r="H1109">
        <f>Koond_kulud!H1156</f>
        <v>0</v>
      </c>
      <c r="I1109" t="str">
        <f>Koond_kulud!I1156</f>
        <v>Lisavajadustes</v>
      </c>
      <c r="J1109">
        <f>Koond_kulud!J1156</f>
        <v>5515</v>
      </c>
      <c r="K1109" t="str">
        <f>Koond_kulud!K1156</f>
        <v>Inventari kulud, v.a infotehnoloogia ja kaitseotstarbelised kulud</v>
      </c>
      <c r="L1109">
        <f>Koond_kulud!L1156</f>
        <v>55</v>
      </c>
      <c r="M1109" t="str">
        <f>Koond_kulud!M1156</f>
        <v>55</v>
      </c>
      <c r="N1109" t="str">
        <f>Koond_kulud!N1156</f>
        <v>Muud tegevuskulud</v>
      </c>
      <c r="O1109" t="str">
        <f>Koond_kulud!O1156</f>
        <v>Majandamiskulud</v>
      </c>
      <c r="P1109" t="str">
        <f>Koond_kulud!P1156</f>
        <v>Põhitegevuse kulu</v>
      </c>
      <c r="Q1109">
        <f>Koond_kulud!Q1156</f>
        <v>0</v>
      </c>
    </row>
    <row r="1110" spans="1:17" hidden="1" x14ac:dyDescent="0.25">
      <c r="A1110" t="str">
        <f>Koond_kulud!A1157</f>
        <v>10</v>
      </c>
      <c r="B1110" t="str">
        <f>Koond_kulud!B1157</f>
        <v xml:space="preserve">1020002         </v>
      </c>
      <c r="C1110" t="str">
        <f>Koond_kulud!C1157</f>
        <v xml:space="preserve"> Ulvi Kodu</v>
      </c>
      <c r="D1110" t="str">
        <f>Koond_kulud!D1157</f>
        <v>Eakate sotsiaalhoolekande asutused</v>
      </c>
      <c r="E1110" t="str">
        <f>Koond_kulud!E1157</f>
        <v>Sotsiaalne kaitse</v>
      </c>
      <c r="F1110" t="str">
        <f>Koond_kulud!F1157</f>
        <v>Ulvi kodu</v>
      </c>
      <c r="G1110" t="str">
        <f>Koond_kulud!G1157</f>
        <v>madrats 2tk</v>
      </c>
      <c r="H1110">
        <f>Koond_kulud!H1157</f>
        <v>200</v>
      </c>
      <c r="I1110">
        <f>Koond_kulud!I1157</f>
        <v>0</v>
      </c>
      <c r="J1110">
        <f>Koond_kulud!J1157</f>
        <v>5515</v>
      </c>
      <c r="K1110" t="str">
        <f>Koond_kulud!K1157</f>
        <v>Inventari kulud, v.a infotehnoloogia ja kaitseotstarbelised kulud</v>
      </c>
      <c r="L1110">
        <f>Koond_kulud!L1157</f>
        <v>55</v>
      </c>
      <c r="M1110" t="str">
        <f>Koond_kulud!M1157</f>
        <v>55</v>
      </c>
      <c r="N1110" t="str">
        <f>Koond_kulud!N1157</f>
        <v>Muud tegevuskulud</v>
      </c>
      <c r="O1110" t="str">
        <f>Koond_kulud!O1157</f>
        <v>Majandamiskulud</v>
      </c>
      <c r="P1110" t="str">
        <f>Koond_kulud!P1157</f>
        <v>Põhitegevuse kulu</v>
      </c>
      <c r="Q1110">
        <f>Koond_kulud!Q1157</f>
        <v>0</v>
      </c>
    </row>
    <row r="1111" spans="1:17" hidden="1" x14ac:dyDescent="0.25">
      <c r="A1111" t="str">
        <f>Koond_kulud!A1158</f>
        <v>10</v>
      </c>
      <c r="B1111" t="str">
        <f>Koond_kulud!B1158</f>
        <v xml:space="preserve">1020002         </v>
      </c>
      <c r="C1111" t="str">
        <f>Koond_kulud!C1158</f>
        <v xml:space="preserve"> Ulvi Kodu</v>
      </c>
      <c r="D1111" t="str">
        <f>Koond_kulud!D1158</f>
        <v>Eakate sotsiaalhoolekande asutused</v>
      </c>
      <c r="E1111" t="str">
        <f>Koond_kulud!E1158</f>
        <v>Sotsiaalne kaitse</v>
      </c>
      <c r="F1111" t="str">
        <f>Koond_kulud!F1158</f>
        <v>Ulvi kodu</v>
      </c>
      <c r="G1111" t="str">
        <f>Koond_kulud!G1158</f>
        <v>pesukuivati</v>
      </c>
      <c r="H1111">
        <f>Koond_kulud!H1158</f>
        <v>0</v>
      </c>
      <c r="I1111" t="str">
        <f>Koond_kulud!I1158</f>
        <v>Lisavajadustes</v>
      </c>
      <c r="J1111">
        <f>Koond_kulud!J1158</f>
        <v>5515</v>
      </c>
      <c r="K1111" t="str">
        <f>Koond_kulud!K1158</f>
        <v>Inventari kulud, v.a infotehnoloogia ja kaitseotstarbelised kulud</v>
      </c>
      <c r="L1111">
        <f>Koond_kulud!L1158</f>
        <v>55</v>
      </c>
      <c r="M1111" t="str">
        <f>Koond_kulud!M1158</f>
        <v>55</v>
      </c>
      <c r="N1111" t="str">
        <f>Koond_kulud!N1158</f>
        <v>Muud tegevuskulud</v>
      </c>
      <c r="O1111" t="str">
        <f>Koond_kulud!O1158</f>
        <v>Majandamiskulud</v>
      </c>
      <c r="P1111" t="str">
        <f>Koond_kulud!P1158</f>
        <v>Põhitegevuse kulu</v>
      </c>
      <c r="Q1111">
        <f>Koond_kulud!Q1158</f>
        <v>0</v>
      </c>
    </row>
    <row r="1112" spans="1:17" hidden="1" x14ac:dyDescent="0.25">
      <c r="A1112" t="str">
        <f>Koond_kulud!A1159</f>
        <v>10</v>
      </c>
      <c r="B1112" t="str">
        <f>Koond_kulud!B1159</f>
        <v xml:space="preserve">1020002         </v>
      </c>
      <c r="C1112" t="str">
        <f>Koond_kulud!C1159</f>
        <v xml:space="preserve"> Ulvi Kodu</v>
      </c>
      <c r="D1112" t="str">
        <f>Koond_kulud!D1159</f>
        <v>Eakate sotsiaalhoolekande asutused</v>
      </c>
      <c r="E1112" t="str">
        <f>Koond_kulud!E1159</f>
        <v>Sotsiaalne kaitse</v>
      </c>
      <c r="F1112" t="str">
        <f>Koond_kulud!F1159</f>
        <v>Ulvi kodu</v>
      </c>
      <c r="G1112" t="str">
        <f>Koond_kulud!G1159</f>
        <v>Toiduained</v>
      </c>
      <c r="H1112">
        <f>Koond_kulud!H1159</f>
        <v>24012</v>
      </c>
      <c r="I1112">
        <f>Koond_kulud!I1159</f>
        <v>0</v>
      </c>
      <c r="J1112">
        <f>Koond_kulud!J1159</f>
        <v>5521</v>
      </c>
      <c r="K1112" t="str">
        <f>Koond_kulud!K1159</f>
        <v>Toiduained ja toitlustusteenused</v>
      </c>
      <c r="L1112">
        <f>Koond_kulud!L1159</f>
        <v>55</v>
      </c>
      <c r="M1112" t="str">
        <f>Koond_kulud!M1159</f>
        <v>55</v>
      </c>
      <c r="N1112" t="str">
        <f>Koond_kulud!N1159</f>
        <v>Muud tegevuskulud</v>
      </c>
      <c r="O1112" t="str">
        <f>Koond_kulud!O1159</f>
        <v>Majandamiskulud</v>
      </c>
      <c r="P1112" t="str">
        <f>Koond_kulud!P1159</f>
        <v>Põhitegevuse kulu</v>
      </c>
      <c r="Q1112">
        <f>Koond_kulud!Q1159</f>
        <v>0</v>
      </c>
    </row>
    <row r="1113" spans="1:17" hidden="1" x14ac:dyDescent="0.25">
      <c r="A1113" t="str">
        <f>Koond_kulud!A1160</f>
        <v>10</v>
      </c>
      <c r="B1113" t="str">
        <f>Koond_kulud!B1160</f>
        <v xml:space="preserve">1020002         </v>
      </c>
      <c r="C1113" t="str">
        <f>Koond_kulud!C1160</f>
        <v xml:space="preserve"> Ulvi Kodu</v>
      </c>
      <c r="D1113" t="str">
        <f>Koond_kulud!D1160</f>
        <v>Eakate sotsiaalhoolekande asutused</v>
      </c>
      <c r="E1113" t="str">
        <f>Koond_kulud!E1160</f>
        <v>Sotsiaalne kaitse</v>
      </c>
      <c r="F1113" t="str">
        <f>Koond_kulud!F1160</f>
        <v>Ulvi kodu</v>
      </c>
      <c r="G1113" t="str">
        <f>Koond_kulud!G1160</f>
        <v>Personalitoit</v>
      </c>
      <c r="H1113">
        <f>Koond_kulud!H1160</f>
        <v>2200</v>
      </c>
      <c r="I1113">
        <f>Koond_kulud!I1160</f>
        <v>0</v>
      </c>
      <c r="J1113">
        <f>Koond_kulud!J1160</f>
        <v>5521</v>
      </c>
      <c r="K1113" t="str">
        <f>Koond_kulud!K1160</f>
        <v>Toiduained ja toitlustusteenused</v>
      </c>
      <c r="L1113">
        <f>Koond_kulud!L1160</f>
        <v>55</v>
      </c>
      <c r="M1113" t="str">
        <f>Koond_kulud!M1160</f>
        <v>55</v>
      </c>
      <c r="N1113" t="str">
        <f>Koond_kulud!N1160</f>
        <v>Muud tegevuskulud</v>
      </c>
      <c r="O1113" t="str">
        <f>Koond_kulud!O1160</f>
        <v>Majandamiskulud</v>
      </c>
      <c r="P1113" t="str">
        <f>Koond_kulud!P1160</f>
        <v>Põhitegevuse kulu</v>
      </c>
      <c r="Q1113">
        <f>Koond_kulud!Q1160</f>
        <v>0</v>
      </c>
    </row>
    <row r="1114" spans="1:17" hidden="1" x14ac:dyDescent="0.25">
      <c r="A1114" t="str">
        <f>Koond_kulud!A1161</f>
        <v>10</v>
      </c>
      <c r="B1114" t="str">
        <f>Koond_kulud!B1161</f>
        <v xml:space="preserve">1020002         </v>
      </c>
      <c r="C1114" t="str">
        <f>Koond_kulud!C1161</f>
        <v xml:space="preserve"> Ulvi Kodu</v>
      </c>
      <c r="D1114" t="str">
        <f>Koond_kulud!D1161</f>
        <v>Eakate sotsiaalhoolekande asutused</v>
      </c>
      <c r="E1114" t="str">
        <f>Koond_kulud!E1161</f>
        <v>Sotsiaalne kaitse</v>
      </c>
      <c r="F1114" t="str">
        <f>Koond_kulud!F1161</f>
        <v>Ulvi kodu</v>
      </c>
      <c r="G1114" t="str">
        <f>Koond_kulud!G1161</f>
        <v>Ravimid, mähkmed</v>
      </c>
      <c r="H1114">
        <f>Koond_kulud!H1161</f>
        <v>200</v>
      </c>
      <c r="I1114">
        <f>Koond_kulud!I1161</f>
        <v>0</v>
      </c>
      <c r="J1114">
        <f>Koond_kulud!J1161</f>
        <v>5522</v>
      </c>
      <c r="K1114" t="str">
        <f>Koond_kulud!K1161</f>
        <v>Meditsiinikulud ja hügieenitarbed</v>
      </c>
      <c r="L1114">
        <f>Koond_kulud!L1161</f>
        <v>55</v>
      </c>
      <c r="M1114" t="str">
        <f>Koond_kulud!M1161</f>
        <v>55</v>
      </c>
      <c r="N1114" t="str">
        <f>Koond_kulud!N1161</f>
        <v>Muud tegevuskulud</v>
      </c>
      <c r="O1114" t="str">
        <f>Koond_kulud!O1161</f>
        <v>Majandamiskulud</v>
      </c>
      <c r="P1114" t="str">
        <f>Koond_kulud!P1161</f>
        <v>Põhitegevuse kulu</v>
      </c>
      <c r="Q1114">
        <f>Koond_kulud!Q1161</f>
        <v>0</v>
      </c>
    </row>
    <row r="1115" spans="1:17" hidden="1" x14ac:dyDescent="0.25">
      <c r="A1115" t="str">
        <f>Koond_kulud!A1162</f>
        <v>10</v>
      </c>
      <c r="B1115" t="str">
        <f>Koond_kulud!B1162</f>
        <v xml:space="preserve">1020002         </v>
      </c>
      <c r="C1115" t="str">
        <f>Koond_kulud!C1162</f>
        <v xml:space="preserve"> Ulvi Kodu</v>
      </c>
      <c r="D1115" t="str">
        <f>Koond_kulud!D1162</f>
        <v>Eakate sotsiaalhoolekande asutused</v>
      </c>
      <c r="E1115" t="str">
        <f>Koond_kulud!E1162</f>
        <v>Sotsiaalne kaitse</v>
      </c>
      <c r="F1115" t="str">
        <f>Koond_kulud!F1162</f>
        <v>Ulvi kodu</v>
      </c>
      <c r="G1115" t="str">
        <f>Koond_kulud!G1162</f>
        <v xml:space="preserve">kaldtee </v>
      </c>
      <c r="H1115">
        <f>Koond_kulud!H1162</f>
        <v>0</v>
      </c>
      <c r="I1115" t="str">
        <f>Koond_kulud!I1162</f>
        <v>Lisavajadustes</v>
      </c>
      <c r="J1115">
        <f>Koond_kulud!J1162</f>
        <v>5511</v>
      </c>
      <c r="K1115" t="str">
        <f>Koond_kulud!K1162</f>
        <v>Kinnistute, hoonete ja ruumide majandamiskulud</v>
      </c>
      <c r="L1115">
        <f>Koond_kulud!L1162</f>
        <v>55</v>
      </c>
      <c r="M1115" t="str">
        <f>Koond_kulud!M1162</f>
        <v>55</v>
      </c>
      <c r="N1115" t="str">
        <f>Koond_kulud!N1162</f>
        <v>Muud tegevuskulud</v>
      </c>
      <c r="O1115" t="str">
        <f>Koond_kulud!O1162</f>
        <v>Majandamiskulud</v>
      </c>
      <c r="P1115" t="str">
        <f>Koond_kulud!P1162</f>
        <v>Põhitegevuse kulu</v>
      </c>
      <c r="Q1115">
        <f>Koond_kulud!Q1162</f>
        <v>0</v>
      </c>
    </row>
    <row r="1116" spans="1:17" hidden="1" x14ac:dyDescent="0.25">
      <c r="A1116" t="str">
        <f>Koond_kulud!A1163</f>
        <v>10</v>
      </c>
      <c r="B1116" t="str">
        <f>Koond_kulud!B1163</f>
        <v xml:space="preserve">1020002         </v>
      </c>
      <c r="C1116" t="str">
        <f>Koond_kulud!C1163</f>
        <v xml:space="preserve"> Ulvi Kodu</v>
      </c>
      <c r="D1116" t="str">
        <f>Koond_kulud!D1163</f>
        <v>Eakate sotsiaalhoolekande asutused</v>
      </c>
      <c r="E1116" t="str">
        <f>Koond_kulud!E1163</f>
        <v>Sotsiaalne kaitse</v>
      </c>
      <c r="F1116" t="str">
        <f>Koond_kulud!F1163</f>
        <v>Ulvi kodu</v>
      </c>
      <c r="G1116" t="str">
        <f>Koond_kulud!G1163</f>
        <v>üritused, huvitegevus, lilled</v>
      </c>
      <c r="H1116">
        <f>Koond_kulud!H1163</f>
        <v>1600</v>
      </c>
      <c r="I1116">
        <f>Koond_kulud!I1163</f>
        <v>0</v>
      </c>
      <c r="J1116">
        <f>Koond_kulud!J1163</f>
        <v>5525</v>
      </c>
      <c r="K1116" t="str">
        <f>Koond_kulud!K1163</f>
        <v>Kommunikatsiooni-, kultuuri- ja vaba aja sisustamise kulud</v>
      </c>
      <c r="L1116">
        <f>Koond_kulud!L1163</f>
        <v>55</v>
      </c>
      <c r="M1116" t="str">
        <f>Koond_kulud!M1163</f>
        <v>55</v>
      </c>
      <c r="N1116" t="str">
        <f>Koond_kulud!N1163</f>
        <v>Muud tegevuskulud</v>
      </c>
      <c r="O1116" t="str">
        <f>Koond_kulud!O1163</f>
        <v>Majandamiskulud</v>
      </c>
      <c r="P1116" t="str">
        <f>Koond_kulud!P1163</f>
        <v>Põhitegevuse kulu</v>
      </c>
      <c r="Q1116">
        <f>Koond_kulud!Q1163</f>
        <v>0</v>
      </c>
    </row>
    <row r="1117" spans="1:17" hidden="1" x14ac:dyDescent="0.25">
      <c r="A1117" t="str">
        <f>Koond_kulud!A1164</f>
        <v>10</v>
      </c>
      <c r="B1117" t="str">
        <f>Koond_kulud!B1164</f>
        <v xml:space="preserve">1020002         </v>
      </c>
      <c r="C1117" t="str">
        <f>Koond_kulud!C1164</f>
        <v xml:space="preserve"> Ulvi Kodu</v>
      </c>
      <c r="D1117" t="str">
        <f>Koond_kulud!D1164</f>
        <v>Eakate sotsiaalhoolekande asutused</v>
      </c>
      <c r="E1117" t="str">
        <f>Koond_kulud!E1164</f>
        <v>Sotsiaalne kaitse</v>
      </c>
      <c r="F1117" t="str">
        <f>Koond_kulud!F1164</f>
        <v>Ulvi kodu</v>
      </c>
      <c r="G1117" t="str">
        <f>Koond_kulud!G1164</f>
        <v xml:space="preserve">Tööriided  </v>
      </c>
      <c r="H1117">
        <f>Koond_kulud!H1164</f>
        <v>500</v>
      </c>
      <c r="I1117">
        <f>Koond_kulud!I1164</f>
        <v>0</v>
      </c>
      <c r="J1117">
        <f>Koond_kulud!J1164</f>
        <v>5532</v>
      </c>
      <c r="K1117" t="str">
        <f>Koond_kulud!K1164</f>
        <v>Eri- ja vormiriietus</v>
      </c>
      <c r="L1117">
        <f>Koond_kulud!L1164</f>
        <v>55</v>
      </c>
      <c r="M1117" t="str">
        <f>Koond_kulud!M1164</f>
        <v>55</v>
      </c>
      <c r="N1117" t="str">
        <f>Koond_kulud!N1164</f>
        <v>Muud tegevuskulud</v>
      </c>
      <c r="O1117" t="str">
        <f>Koond_kulud!O1164</f>
        <v>Majandamiskulud</v>
      </c>
      <c r="P1117" t="str">
        <f>Koond_kulud!P1164</f>
        <v>Põhitegevuse kulu</v>
      </c>
      <c r="Q1117">
        <f>Koond_kulud!Q1164</f>
        <v>0</v>
      </c>
    </row>
    <row r="1118" spans="1:17" hidden="1" x14ac:dyDescent="0.25">
      <c r="A1118" t="str">
        <f>Koond_kulud!A1165</f>
        <v>10</v>
      </c>
      <c r="B1118" t="str">
        <f>Koond_kulud!B1165</f>
        <v xml:space="preserve">1020002         </v>
      </c>
      <c r="C1118" t="str">
        <f>Koond_kulud!C1165</f>
        <v xml:space="preserve"> Ulvi Kodu</v>
      </c>
      <c r="D1118" t="str">
        <f>Koond_kulud!D1165</f>
        <v>Eakate sotsiaalhoolekande asutused</v>
      </c>
      <c r="E1118" t="str">
        <f>Koond_kulud!E1165</f>
        <v>Sotsiaalne kaitse</v>
      </c>
      <c r="F1118" t="str">
        <f>Koond_kulud!F1165</f>
        <v>Ulvi kodu</v>
      </c>
      <c r="G1118" t="str">
        <f>Koond_kulud!G1165</f>
        <v>sõiduabi (transport haiglast koju)</v>
      </c>
      <c r="H1118">
        <f>Koond_kulud!H1165</f>
        <v>300</v>
      </c>
      <c r="I1118">
        <f>Koond_kulud!I1165</f>
        <v>0</v>
      </c>
      <c r="J1118">
        <f>Koond_kulud!J1165</f>
        <v>5526</v>
      </c>
      <c r="K1118" t="str">
        <f>Koond_kulud!K1165</f>
        <v>Sotsiaalteenused</v>
      </c>
      <c r="L1118">
        <f>Koond_kulud!L1165</f>
        <v>55</v>
      </c>
      <c r="M1118" t="str">
        <f>Koond_kulud!M1165</f>
        <v>55</v>
      </c>
      <c r="N1118" t="str">
        <f>Koond_kulud!N1165</f>
        <v>Muud tegevuskulud</v>
      </c>
      <c r="O1118" t="str">
        <f>Koond_kulud!O1165</f>
        <v>Majandamiskulud</v>
      </c>
      <c r="P1118" t="str">
        <f>Koond_kulud!P1165</f>
        <v>Põhitegevuse kulu</v>
      </c>
      <c r="Q1118">
        <f>Koond_kulud!Q1165</f>
        <v>0</v>
      </c>
    </row>
    <row r="1119" spans="1:17" hidden="1" x14ac:dyDescent="0.25">
      <c r="A1119" t="str">
        <f>Koond_kulud!A1166</f>
        <v>10</v>
      </c>
      <c r="B1119" t="str">
        <f>Koond_kulud!B1166</f>
        <v xml:space="preserve">1020002         </v>
      </c>
      <c r="C1119" t="str">
        <f>Koond_kulud!C1166</f>
        <v xml:space="preserve"> Ulvi Kodu</v>
      </c>
      <c r="D1119" t="str">
        <f>Koond_kulud!D1166</f>
        <v>Eakate sotsiaalhoolekande asutused</v>
      </c>
      <c r="E1119" t="str">
        <f>Koond_kulud!E1166</f>
        <v>Sotsiaalne kaitse</v>
      </c>
      <c r="F1119" t="str">
        <f>Koond_kulud!F1166</f>
        <v>Ulvi kodu</v>
      </c>
      <c r="G1119" t="str">
        <f>Koond_kulud!G1166</f>
        <v>tervishoiuteenuse ostmine ( pereõde)</v>
      </c>
      <c r="H1119">
        <f>Koond_kulud!H1166</f>
        <v>1000</v>
      </c>
      <c r="I1119" t="str">
        <f>Koond_kulud!I1166</f>
        <v>uus teenus</v>
      </c>
      <c r="J1119">
        <f>Koond_kulud!J1166</f>
        <v>5526</v>
      </c>
      <c r="K1119" t="str">
        <f>Koond_kulud!K1166</f>
        <v>Sotsiaalteenused</v>
      </c>
      <c r="L1119">
        <f>Koond_kulud!L1166</f>
        <v>55</v>
      </c>
      <c r="M1119" t="str">
        <f>Koond_kulud!M1166</f>
        <v>55</v>
      </c>
      <c r="N1119" t="str">
        <f>Koond_kulud!N1166</f>
        <v>Muud tegevuskulud</v>
      </c>
      <c r="O1119" t="str">
        <f>Koond_kulud!O1166</f>
        <v>Majandamiskulud</v>
      </c>
      <c r="P1119" t="str">
        <f>Koond_kulud!P1166</f>
        <v>Põhitegevuse kulu</v>
      </c>
      <c r="Q1119">
        <f>Koond_kulud!Q1166</f>
        <v>0</v>
      </c>
    </row>
    <row r="1120" spans="1:17" hidden="1" x14ac:dyDescent="0.25">
      <c r="A1120" t="str">
        <f>Koond_kulud!A1167</f>
        <v>10</v>
      </c>
      <c r="B1120" t="str">
        <f>Koond_kulud!B1167</f>
        <v xml:space="preserve">1020002         </v>
      </c>
      <c r="C1120" t="str">
        <f>Koond_kulud!C1167</f>
        <v xml:space="preserve"> Ulvi Kodu</v>
      </c>
      <c r="D1120" t="str">
        <f>Koond_kulud!D1167</f>
        <v>Eakate sotsiaalhoolekande asutused</v>
      </c>
      <c r="E1120" t="str">
        <f>Koond_kulud!E1167</f>
        <v>Sotsiaalne kaitse</v>
      </c>
      <c r="F1120" t="str">
        <f>Koond_kulud!F1167</f>
        <v>Ulvi kodu</v>
      </c>
      <c r="G1120" t="str">
        <f>Koond_kulud!G1167</f>
        <v>soojusenergia ( küte)</v>
      </c>
      <c r="H1120">
        <f>Koond_kulud!H1167</f>
        <v>9000</v>
      </c>
      <c r="I1120">
        <f>Koond_kulud!I1167</f>
        <v>0</v>
      </c>
      <c r="J1120">
        <f>Koond_kulud!J1167</f>
        <v>5511</v>
      </c>
      <c r="K1120" t="str">
        <f>Koond_kulud!K1167</f>
        <v>Kinnistute, hoonete ja ruumide majandamiskulud</v>
      </c>
      <c r="L1120">
        <f>Koond_kulud!L1167</f>
        <v>55</v>
      </c>
      <c r="M1120" t="str">
        <f>Koond_kulud!M1167</f>
        <v>55</v>
      </c>
      <c r="N1120" t="str">
        <f>Koond_kulud!N1167</f>
        <v>Muud tegevuskulud</v>
      </c>
      <c r="O1120" t="str">
        <f>Koond_kulud!O1167</f>
        <v>Majandamiskulud</v>
      </c>
      <c r="P1120" t="str">
        <f>Koond_kulud!P1167</f>
        <v>Põhitegevuse kulu</v>
      </c>
      <c r="Q1120">
        <f>Koond_kulud!Q1167</f>
        <v>0</v>
      </c>
    </row>
    <row r="1121" spans="1:17" hidden="1" x14ac:dyDescent="0.25">
      <c r="A1121" t="str">
        <f>Koond_kulud!A1168</f>
        <v>10</v>
      </c>
      <c r="B1121" t="str">
        <f>Koond_kulud!B1168</f>
        <v xml:space="preserve">1020002         </v>
      </c>
      <c r="C1121" t="str">
        <f>Koond_kulud!C1168</f>
        <v xml:space="preserve"> Ulvi Kodu</v>
      </c>
      <c r="D1121" t="str">
        <f>Koond_kulud!D1168</f>
        <v>Eakate sotsiaalhoolekande asutused</v>
      </c>
      <c r="E1121" t="str">
        <f>Koond_kulud!E1168</f>
        <v>Sotsiaalne kaitse</v>
      </c>
      <c r="F1121" t="str">
        <f>Koond_kulud!F1168</f>
        <v>Ulvi kodu</v>
      </c>
      <c r="G1121" t="str">
        <f>Koond_kulud!G1168</f>
        <v>elekter</v>
      </c>
      <c r="H1121">
        <f>Koond_kulud!H1168</f>
        <v>6000</v>
      </c>
      <c r="I1121">
        <f>Koond_kulud!I1168</f>
        <v>0</v>
      </c>
      <c r="J1121">
        <f>Koond_kulud!J1168</f>
        <v>5511</v>
      </c>
      <c r="K1121" t="str">
        <f>Koond_kulud!K1168</f>
        <v>Kinnistute, hoonete ja ruumide majandamiskulud</v>
      </c>
      <c r="L1121">
        <f>Koond_kulud!L1168</f>
        <v>55</v>
      </c>
      <c r="M1121" t="str">
        <f>Koond_kulud!M1168</f>
        <v>55</v>
      </c>
      <c r="N1121" t="str">
        <f>Koond_kulud!N1168</f>
        <v>Muud tegevuskulud</v>
      </c>
      <c r="O1121" t="str">
        <f>Koond_kulud!O1168</f>
        <v>Majandamiskulud</v>
      </c>
      <c r="P1121" t="str">
        <f>Koond_kulud!P1168</f>
        <v>Põhitegevuse kulu</v>
      </c>
      <c r="Q1121">
        <f>Koond_kulud!Q1168</f>
        <v>0</v>
      </c>
    </row>
    <row r="1122" spans="1:17" hidden="1" x14ac:dyDescent="0.25">
      <c r="A1122" t="str">
        <f>Koond_kulud!A1169</f>
        <v>10</v>
      </c>
      <c r="B1122" t="str">
        <f>Koond_kulud!B1169</f>
        <v xml:space="preserve">1020002         </v>
      </c>
      <c r="C1122" t="str">
        <f>Koond_kulud!C1169</f>
        <v xml:space="preserve"> Ulvi Kodu</v>
      </c>
      <c r="D1122" t="str">
        <f>Koond_kulud!D1169</f>
        <v>Eakate sotsiaalhoolekande asutused</v>
      </c>
      <c r="E1122" t="str">
        <f>Koond_kulud!E1169</f>
        <v>Sotsiaalne kaitse</v>
      </c>
      <c r="F1122" t="str">
        <f>Koond_kulud!F1169</f>
        <v>Ulvi kodu</v>
      </c>
      <c r="G1122" t="str">
        <f>Koond_kulud!G1169</f>
        <v>vesi ja kanalisatsioon</v>
      </c>
      <c r="H1122">
        <f>Koond_kulud!H1169</f>
        <v>2400</v>
      </c>
      <c r="I1122">
        <f>Koond_kulud!I1169</f>
        <v>0</v>
      </c>
      <c r="J1122">
        <f>Koond_kulud!J1169</f>
        <v>5511</v>
      </c>
      <c r="K1122" t="str">
        <f>Koond_kulud!K1169</f>
        <v>Kinnistute, hoonete ja ruumide majandamiskulud</v>
      </c>
      <c r="L1122">
        <f>Koond_kulud!L1169</f>
        <v>55</v>
      </c>
      <c r="M1122" t="str">
        <f>Koond_kulud!M1169</f>
        <v>55</v>
      </c>
      <c r="N1122" t="str">
        <f>Koond_kulud!N1169</f>
        <v>Muud tegevuskulud</v>
      </c>
      <c r="O1122" t="str">
        <f>Koond_kulud!O1169</f>
        <v>Majandamiskulud</v>
      </c>
      <c r="P1122" t="str">
        <f>Koond_kulud!P1169</f>
        <v>Põhitegevuse kulu</v>
      </c>
      <c r="Q1122">
        <f>Koond_kulud!Q1169</f>
        <v>0</v>
      </c>
    </row>
    <row r="1123" spans="1:17" hidden="1" x14ac:dyDescent="0.25">
      <c r="A1123" t="str">
        <f>Koond_kulud!A1170</f>
        <v>10</v>
      </c>
      <c r="B1123" t="str">
        <f>Koond_kulud!B1170</f>
        <v xml:space="preserve">1020002         </v>
      </c>
      <c r="C1123" t="str">
        <f>Koond_kulud!C1170</f>
        <v xml:space="preserve"> Ulvi Kodu</v>
      </c>
      <c r="D1123" t="str">
        <f>Koond_kulud!D1170</f>
        <v>Eakate sotsiaalhoolekande asutused</v>
      </c>
      <c r="E1123" t="str">
        <f>Koond_kulud!E1170</f>
        <v>Sotsiaalne kaitse</v>
      </c>
      <c r="F1123" t="str">
        <f>Koond_kulud!F1170</f>
        <v>Ulvi kodu</v>
      </c>
      <c r="G1123" t="str">
        <f>Koond_kulud!G1170</f>
        <v>korrashoid ja remont tubades</v>
      </c>
      <c r="H1123">
        <f>Koond_kulud!H1170</f>
        <v>1000</v>
      </c>
      <c r="I1123">
        <f>Koond_kulud!I1170</f>
        <v>0</v>
      </c>
      <c r="J1123">
        <f>Koond_kulud!J1170</f>
        <v>5511</v>
      </c>
      <c r="K1123" t="str">
        <f>Koond_kulud!K1170</f>
        <v>Kinnistute, hoonete ja ruumide majandamiskulud</v>
      </c>
      <c r="L1123">
        <f>Koond_kulud!L1170</f>
        <v>55</v>
      </c>
      <c r="M1123" t="str">
        <f>Koond_kulud!M1170</f>
        <v>55</v>
      </c>
      <c r="N1123" t="str">
        <f>Koond_kulud!N1170</f>
        <v>Muud tegevuskulud</v>
      </c>
      <c r="O1123" t="str">
        <f>Koond_kulud!O1170</f>
        <v>Majandamiskulud</v>
      </c>
      <c r="P1123" t="str">
        <f>Koond_kulud!P1170</f>
        <v>Põhitegevuse kulu</v>
      </c>
      <c r="Q1123">
        <f>Koond_kulud!Q1170</f>
        <v>0</v>
      </c>
    </row>
    <row r="1124" spans="1:17" hidden="1" x14ac:dyDescent="0.25">
      <c r="A1124" t="str">
        <f>Koond_kulud!A1171</f>
        <v>10</v>
      </c>
      <c r="B1124" t="str">
        <f>Koond_kulud!B1171</f>
        <v xml:space="preserve">1020002         </v>
      </c>
      <c r="C1124" t="str">
        <f>Koond_kulud!C1171</f>
        <v xml:space="preserve"> Ulvi Kodu</v>
      </c>
      <c r="D1124" t="str">
        <f>Koond_kulud!D1171</f>
        <v>Eakate sotsiaalhoolekande asutused</v>
      </c>
      <c r="E1124" t="str">
        <f>Koond_kulud!E1171</f>
        <v>Sotsiaalne kaitse</v>
      </c>
      <c r="F1124" t="str">
        <f>Koond_kulud!F1171</f>
        <v>Ulvi kodu</v>
      </c>
      <c r="G1124" t="str">
        <f>Koond_kulud!G1171</f>
        <v>prügi vedu+energia kontroll)</v>
      </c>
      <c r="H1124">
        <f>Koond_kulud!H1171</f>
        <v>900</v>
      </c>
      <c r="I1124">
        <f>Koond_kulud!I1171</f>
        <v>0</v>
      </c>
      <c r="J1124">
        <f>Koond_kulud!J1171</f>
        <v>5511</v>
      </c>
      <c r="K1124" t="str">
        <f>Koond_kulud!K1171</f>
        <v>Kinnistute, hoonete ja ruumide majandamiskulud</v>
      </c>
      <c r="L1124">
        <f>Koond_kulud!L1171</f>
        <v>55</v>
      </c>
      <c r="M1124" t="str">
        <f>Koond_kulud!M1171</f>
        <v>55</v>
      </c>
      <c r="N1124" t="str">
        <f>Koond_kulud!N1171</f>
        <v>Muud tegevuskulud</v>
      </c>
      <c r="O1124" t="str">
        <f>Koond_kulud!O1171</f>
        <v>Majandamiskulud</v>
      </c>
      <c r="P1124" t="str">
        <f>Koond_kulud!P1171</f>
        <v>Põhitegevuse kulu</v>
      </c>
      <c r="Q1124">
        <f>Koond_kulud!Q1171</f>
        <v>0</v>
      </c>
    </row>
    <row r="1125" spans="1:17" hidden="1" x14ac:dyDescent="0.25">
      <c r="A1125" t="str">
        <f>Koond_kulud!A1172</f>
        <v>10</v>
      </c>
      <c r="B1125" t="str">
        <f>Koond_kulud!B1172</f>
        <v xml:space="preserve">1020002         </v>
      </c>
      <c r="C1125" t="str">
        <f>Koond_kulud!C1172</f>
        <v xml:space="preserve"> Ulvi Kodu</v>
      </c>
      <c r="D1125" t="str">
        <f>Koond_kulud!D1172</f>
        <v>Eakate sotsiaalhoolekande asutused</v>
      </c>
      <c r="E1125" t="str">
        <f>Koond_kulud!E1172</f>
        <v>Sotsiaalne kaitse</v>
      </c>
      <c r="F1125" t="str">
        <f>Koond_kulud!F1172</f>
        <v>Ulvi kodu</v>
      </c>
      <c r="G1125" t="str">
        <f>Koond_kulud!G1172</f>
        <v>ruumide korrashoid, pesu pesemine</v>
      </c>
      <c r="H1125">
        <f>Koond_kulud!H1172</f>
        <v>6000</v>
      </c>
      <c r="I1125">
        <f>Koond_kulud!I1172</f>
        <v>0</v>
      </c>
      <c r="J1125">
        <f>Koond_kulud!J1172</f>
        <v>5511</v>
      </c>
      <c r="K1125" t="str">
        <f>Koond_kulud!K1172</f>
        <v>Kinnistute, hoonete ja ruumide majandamiskulud</v>
      </c>
      <c r="L1125">
        <f>Koond_kulud!L1172</f>
        <v>55</v>
      </c>
      <c r="M1125" t="str">
        <f>Koond_kulud!M1172</f>
        <v>55</v>
      </c>
      <c r="N1125" t="str">
        <f>Koond_kulud!N1172</f>
        <v>Muud tegevuskulud</v>
      </c>
      <c r="O1125" t="str">
        <f>Koond_kulud!O1172</f>
        <v>Majandamiskulud</v>
      </c>
      <c r="P1125" t="str">
        <f>Koond_kulud!P1172</f>
        <v>Põhitegevuse kulu</v>
      </c>
      <c r="Q1125">
        <f>Koond_kulud!Q1172</f>
        <v>0</v>
      </c>
    </row>
    <row r="1126" spans="1:17" hidden="1" x14ac:dyDescent="0.25">
      <c r="A1126" t="str">
        <f>Koond_kulud!A1173</f>
        <v>10</v>
      </c>
      <c r="B1126" t="str">
        <f>Koond_kulud!B1173</f>
        <v xml:space="preserve">1020002         </v>
      </c>
      <c r="C1126" t="str">
        <f>Koond_kulud!C1173</f>
        <v xml:space="preserve"> Ulvi Kodu</v>
      </c>
      <c r="D1126" t="str">
        <f>Koond_kulud!D1173</f>
        <v>Eakate sotsiaalhoolekande asutused</v>
      </c>
      <c r="E1126" t="str">
        <f>Koond_kulud!E1173</f>
        <v>Sotsiaalne kaitse</v>
      </c>
      <c r="F1126" t="str">
        <f>Koond_kulud!F1173</f>
        <v>Ulvi kodu</v>
      </c>
      <c r="G1126" t="str">
        <f>Koond_kulud!G1173</f>
        <v>ettevõttekindlustus</v>
      </c>
      <c r="H1126">
        <f>Koond_kulud!H1173</f>
        <v>180</v>
      </c>
      <c r="I1126">
        <f>Koond_kulud!I1173</f>
        <v>0</v>
      </c>
      <c r="J1126">
        <f>Koond_kulud!J1173</f>
        <v>5511</v>
      </c>
      <c r="K1126" t="str">
        <f>Koond_kulud!K1173</f>
        <v>Kinnistute, hoonete ja ruumide majandamiskulud</v>
      </c>
      <c r="L1126">
        <f>Koond_kulud!L1173</f>
        <v>55</v>
      </c>
      <c r="M1126" t="str">
        <f>Koond_kulud!M1173</f>
        <v>55</v>
      </c>
      <c r="N1126" t="str">
        <f>Koond_kulud!N1173</f>
        <v>Muud tegevuskulud</v>
      </c>
      <c r="O1126" t="str">
        <f>Koond_kulud!O1173</f>
        <v>Majandamiskulud</v>
      </c>
      <c r="P1126" t="str">
        <f>Koond_kulud!P1173</f>
        <v>Põhitegevuse kulu</v>
      </c>
      <c r="Q1126">
        <f>Koond_kulud!Q1173</f>
        <v>0</v>
      </c>
    </row>
    <row r="1127" spans="1:17" hidden="1" x14ac:dyDescent="0.25">
      <c r="A1127" t="str">
        <f>Koond_kulud!A1174</f>
        <v>10</v>
      </c>
      <c r="B1127" t="str">
        <f>Koond_kulud!B1174</f>
        <v xml:space="preserve">1020002         </v>
      </c>
      <c r="C1127" t="str">
        <f>Koond_kulud!C1174</f>
        <v xml:space="preserve"> Ulvi Kodu</v>
      </c>
      <c r="D1127" t="str">
        <f>Koond_kulud!D1174</f>
        <v>Eakate sotsiaalhoolekande asutused</v>
      </c>
      <c r="E1127" t="str">
        <f>Koond_kulud!E1174</f>
        <v>Sotsiaalne kaitse</v>
      </c>
      <c r="F1127" t="str">
        <f>Koond_kulud!F1174</f>
        <v>Ulvi kodu</v>
      </c>
      <c r="G1127" t="str">
        <f>Koond_kulud!G1174</f>
        <v>internet ja teler, telefon</v>
      </c>
      <c r="H1127">
        <f>Koond_kulud!H1174</f>
        <v>650</v>
      </c>
      <c r="I1127">
        <f>Koond_kulud!I1174</f>
        <v>0</v>
      </c>
      <c r="J1127">
        <f>Koond_kulud!J1174</f>
        <v>5514</v>
      </c>
      <c r="K1127" t="str">
        <f>Koond_kulud!K1174</f>
        <v>Info- ja kommunikatsioonitehnoliigised kulud</v>
      </c>
      <c r="L1127">
        <f>Koond_kulud!L1174</f>
        <v>55</v>
      </c>
      <c r="M1127" t="str">
        <f>Koond_kulud!M1174</f>
        <v>55</v>
      </c>
      <c r="N1127" t="str">
        <f>Koond_kulud!N1174</f>
        <v>Muud tegevuskulud</v>
      </c>
      <c r="O1127" t="str">
        <f>Koond_kulud!O1174</f>
        <v>Majandamiskulud</v>
      </c>
      <c r="P1127" t="str">
        <f>Koond_kulud!P1174</f>
        <v>Põhitegevuse kulu</v>
      </c>
      <c r="Q1127">
        <f>Koond_kulud!Q1174</f>
        <v>0</v>
      </c>
    </row>
    <row r="1128" spans="1:17" hidden="1" x14ac:dyDescent="0.25">
      <c r="A1128" t="str">
        <f>Koond_kulud!A1175</f>
        <v>10</v>
      </c>
      <c r="B1128" t="str">
        <f>Koond_kulud!B1175</f>
        <v xml:space="preserve">1020002         </v>
      </c>
      <c r="C1128" t="str">
        <f>Koond_kulud!C1175</f>
        <v xml:space="preserve"> Ulvi Kodu</v>
      </c>
      <c r="D1128" t="str">
        <f>Koond_kulud!D1175</f>
        <v>Eakate sotsiaalhoolekande asutused</v>
      </c>
      <c r="E1128" t="str">
        <f>Koond_kulud!E1175</f>
        <v>Sotsiaalne kaitse</v>
      </c>
      <c r="F1128" t="str">
        <f>Koond_kulud!F1175</f>
        <v>Ulvi kodu</v>
      </c>
      <c r="G1128" t="str">
        <f>Koond_kulud!G1175</f>
        <v>tarkvara hooldus</v>
      </c>
      <c r="H1128">
        <f>Koond_kulud!H1175</f>
        <v>100</v>
      </c>
      <c r="I1128">
        <f>Koond_kulud!I1175</f>
        <v>0</v>
      </c>
      <c r="J1128">
        <f>Koond_kulud!J1175</f>
        <v>5514</v>
      </c>
      <c r="K1128" t="str">
        <f>Koond_kulud!K1175</f>
        <v>Info- ja kommunikatsioonitehnoliigised kulud</v>
      </c>
      <c r="L1128">
        <f>Koond_kulud!L1175</f>
        <v>55</v>
      </c>
      <c r="M1128" t="str">
        <f>Koond_kulud!M1175</f>
        <v>55</v>
      </c>
      <c r="N1128" t="str">
        <f>Koond_kulud!N1175</f>
        <v>Muud tegevuskulud</v>
      </c>
      <c r="O1128" t="str">
        <f>Koond_kulud!O1175</f>
        <v>Majandamiskulud</v>
      </c>
      <c r="P1128" t="str">
        <f>Koond_kulud!P1175</f>
        <v>Põhitegevuse kulu</v>
      </c>
      <c r="Q1128">
        <f>Koond_kulud!Q1175</f>
        <v>0</v>
      </c>
    </row>
    <row r="1129" spans="1:17" hidden="1" x14ac:dyDescent="0.25">
      <c r="A1129" t="str">
        <f>Koond_kulud!A1176</f>
        <v>10</v>
      </c>
      <c r="B1129" t="str">
        <f>Koond_kulud!B1176</f>
        <v xml:space="preserve">1020002         </v>
      </c>
      <c r="C1129" t="str">
        <f>Koond_kulud!C1176</f>
        <v xml:space="preserve"> Ulvi Kodu</v>
      </c>
      <c r="D1129" t="str">
        <f>Koond_kulud!D1176</f>
        <v>Eakate sotsiaalhoolekande asutused</v>
      </c>
      <c r="E1129" t="str">
        <f>Koond_kulud!E1176</f>
        <v>Sotsiaalne kaitse</v>
      </c>
      <c r="F1129" t="str">
        <f>Koond_kulud!F1176</f>
        <v>Ulvi kodu</v>
      </c>
      <c r="G1129" t="str">
        <f>Koond_kulud!G1176</f>
        <v>Personalitoit</v>
      </c>
      <c r="H1129">
        <f>Koond_kulud!H1176</f>
        <v>-2200</v>
      </c>
      <c r="I1129" t="str">
        <f>Koond_kulud!I1176</f>
        <v>Töötajad tasuvad ise tagasi</v>
      </c>
      <c r="J1129">
        <f>Koond_kulud!J1176</f>
        <v>5521</v>
      </c>
      <c r="K1129" t="str">
        <f>Koond_kulud!K1176</f>
        <v>Toiduained ja toitlustusteenused</v>
      </c>
      <c r="L1129">
        <f>Koond_kulud!L1176</f>
        <v>55</v>
      </c>
      <c r="M1129" t="str">
        <f>Koond_kulud!M1176</f>
        <v>55</v>
      </c>
      <c r="N1129" t="str">
        <f>Koond_kulud!N1176</f>
        <v>Muud tegevuskulud</v>
      </c>
      <c r="O1129" t="str">
        <f>Koond_kulud!O1176</f>
        <v>Majandamiskulud</v>
      </c>
      <c r="P1129" t="str">
        <f>Koond_kulud!P1176</f>
        <v>Põhitegevuse kulu</v>
      </c>
      <c r="Q1129">
        <f>Koond_kulud!Q1176</f>
        <v>0</v>
      </c>
    </row>
    <row r="1130" spans="1:17" hidden="1" x14ac:dyDescent="0.25">
      <c r="A1130" t="str">
        <f>Koond_kulud!A1177</f>
        <v>10</v>
      </c>
      <c r="B1130" t="str">
        <f>Koond_kulud!B1177</f>
        <v xml:space="preserve">1020002         </v>
      </c>
      <c r="C1130" t="str">
        <f>Koond_kulud!C1177</f>
        <v xml:space="preserve"> Ulvi Kodu</v>
      </c>
      <c r="D1130" t="str">
        <f>Koond_kulud!D1177</f>
        <v>Eakate sotsiaalhoolekande asutused</v>
      </c>
      <c r="E1130" t="str">
        <f>Koond_kulud!E1177</f>
        <v>Sotsiaalne kaitse</v>
      </c>
      <c r="F1130" t="str">
        <f>Koond_kulud!F1177</f>
        <v>Ulvi kodu</v>
      </c>
      <c r="G1130" t="str">
        <f>Koond_kulud!G1177</f>
        <v>Ravimid, mähkmed</v>
      </c>
      <c r="H1130">
        <f>Koond_kulud!H1177</f>
        <v>12000</v>
      </c>
      <c r="I1130">
        <f>Koond_kulud!I1177</f>
        <v>0</v>
      </c>
      <c r="J1130">
        <f>Koond_kulud!J1177</f>
        <v>5522</v>
      </c>
      <c r="K1130" t="str">
        <f>Koond_kulud!K1177</f>
        <v>Meditsiinikulud ja hügieenitarbed</v>
      </c>
      <c r="L1130">
        <f>Koond_kulud!L1177</f>
        <v>55</v>
      </c>
      <c r="M1130" t="str">
        <f>Koond_kulud!M1177</f>
        <v>55</v>
      </c>
      <c r="N1130" t="str">
        <f>Koond_kulud!N1177</f>
        <v>Muud tegevuskulud</v>
      </c>
      <c r="O1130" t="str">
        <f>Koond_kulud!O1177</f>
        <v>Majandamiskulud</v>
      </c>
      <c r="P1130" t="str">
        <f>Koond_kulud!P1177</f>
        <v>Põhitegevuse kulu</v>
      </c>
      <c r="Q1130">
        <f>Koond_kulud!Q1177</f>
        <v>0</v>
      </c>
    </row>
    <row r="1131" spans="1:17" hidden="1" x14ac:dyDescent="0.25">
      <c r="A1131" t="str">
        <f>Koond_kulud!A1178</f>
        <v>10</v>
      </c>
      <c r="B1131" t="str">
        <f>Koond_kulud!B1178</f>
        <v xml:space="preserve">1020002         </v>
      </c>
      <c r="C1131" t="str">
        <f>Koond_kulud!C1178</f>
        <v xml:space="preserve"> Ulvi Kodu</v>
      </c>
      <c r="D1131" t="str">
        <f>Koond_kulud!D1178</f>
        <v>Eakate sotsiaalhoolekande asutused</v>
      </c>
      <c r="E1131" t="str">
        <f>Koond_kulud!E1178</f>
        <v>Sotsiaalne kaitse</v>
      </c>
      <c r="F1131" t="str">
        <f>Koond_kulud!F1178</f>
        <v>Ulvi kodu</v>
      </c>
      <c r="G1131" t="str">
        <f>Koond_kulud!G1178</f>
        <v>Ravimid, mähkmed</v>
      </c>
      <c r="H1131">
        <f>Koond_kulud!H1178</f>
        <v>-12000</v>
      </c>
      <c r="I1131" t="str">
        <f>Koond_kulud!I1178</f>
        <v>Kulu kaetakse hooldajate pere poolt</v>
      </c>
      <c r="J1131">
        <f>Koond_kulud!J1178</f>
        <v>5522</v>
      </c>
      <c r="K1131" t="str">
        <f>Koond_kulud!K1178</f>
        <v>Meditsiinikulud ja hügieenitarbed</v>
      </c>
      <c r="L1131">
        <f>Koond_kulud!L1178</f>
        <v>55</v>
      </c>
      <c r="M1131" t="str">
        <f>Koond_kulud!M1178</f>
        <v>55</v>
      </c>
      <c r="N1131" t="str">
        <f>Koond_kulud!N1178</f>
        <v>Muud tegevuskulud</v>
      </c>
      <c r="O1131" t="str">
        <f>Koond_kulud!O1178</f>
        <v>Majandamiskulud</v>
      </c>
      <c r="P1131" t="str">
        <f>Koond_kulud!P1178</f>
        <v>Põhitegevuse kulu</v>
      </c>
      <c r="Q1131">
        <f>Koond_kulud!Q1178</f>
        <v>0</v>
      </c>
    </row>
    <row r="1132" spans="1:17" hidden="1" x14ac:dyDescent="0.25">
      <c r="A1132" t="str">
        <f>Koond_kulud!A1179</f>
        <v>10</v>
      </c>
      <c r="B1132" t="str">
        <f>Koond_kulud!B1179</f>
        <v xml:space="preserve">1020003         </v>
      </c>
      <c r="C1132" t="str">
        <f>Koond_kulud!C1179</f>
        <v xml:space="preserve"> Muud asutused</v>
      </c>
      <c r="D1132" t="str">
        <f>Koond_kulud!D1179</f>
        <v>Eakate sotsiaalhoolekande asutused</v>
      </c>
      <c r="E1132" t="str">
        <f>Koond_kulud!E1179</f>
        <v>Sotsiaalne kaitse</v>
      </c>
      <c r="F1132" t="str">
        <f>Koond_kulud!F1179</f>
        <v>Sotsiaalosakond</v>
      </c>
      <c r="G1132" t="str">
        <f>Koond_kulud!G1179</f>
        <v>Üldtüüpi hooldekodusse paigut.in.ülalp.kulud</v>
      </c>
      <c r="H1132">
        <f>Koond_kulud!H1179</f>
        <v>70000</v>
      </c>
      <c r="I1132">
        <f>Koond_kulud!I1179</f>
        <v>0</v>
      </c>
      <c r="J1132">
        <f>Koond_kulud!J1179</f>
        <v>5526</v>
      </c>
      <c r="K1132" t="str">
        <f>Koond_kulud!K1179</f>
        <v>Sotsiaalteenused</v>
      </c>
      <c r="L1132">
        <f>Koond_kulud!L1179</f>
        <v>55</v>
      </c>
      <c r="M1132" t="str">
        <f>Koond_kulud!M1179</f>
        <v>55</v>
      </c>
      <c r="N1132" t="str">
        <f>Koond_kulud!N1179</f>
        <v>Muud tegevuskulud</v>
      </c>
      <c r="O1132" t="str">
        <f>Koond_kulud!O1179</f>
        <v>Majandamiskulud</v>
      </c>
      <c r="P1132" t="str">
        <f>Koond_kulud!P1179</f>
        <v>Põhitegevuse kulu</v>
      </c>
      <c r="Q1132">
        <f>Koond_kulud!Q1179</f>
        <v>0</v>
      </c>
    </row>
    <row r="1133" spans="1:17" x14ac:dyDescent="0.25">
      <c r="A1133" t="str">
        <f>Koond_kulud!A1180</f>
        <v>10</v>
      </c>
      <c r="B1133" t="str">
        <f>Koond_kulud!B1180</f>
        <v xml:space="preserve">1020004         </v>
      </c>
      <c r="C1133" t="str">
        <f>Koond_kulud!C1180</f>
        <v xml:space="preserve"> Vinni päevakeskus</v>
      </c>
      <c r="D1133" t="str">
        <f>Koond_kulud!D1180</f>
        <v>Eakate sotsiaalhoolekande asutused</v>
      </c>
      <c r="E1133" t="str">
        <f>Koond_kulud!E1180</f>
        <v>Sotsiaalne kaitse</v>
      </c>
      <c r="F1133" t="str">
        <f>Koond_kulud!F1180</f>
        <v>Vinni Päevakeskus</v>
      </c>
      <c r="G1133" t="str">
        <f>Koond_kulud!G1180</f>
        <v>tahm, paber</v>
      </c>
      <c r="H1133">
        <f>Koond_kulud!H1180</f>
        <v>40</v>
      </c>
      <c r="I1133">
        <f>Koond_kulud!I1180</f>
        <v>0</v>
      </c>
      <c r="J1133">
        <f>Koond_kulud!J1180</f>
        <v>5500</v>
      </c>
      <c r="K1133" t="str">
        <f>Koond_kulud!K1180</f>
        <v>Administreerimiskulud</v>
      </c>
      <c r="L1133">
        <f>Koond_kulud!L1180</f>
        <v>55</v>
      </c>
      <c r="M1133" t="str">
        <f>Koond_kulud!M1180</f>
        <v>55</v>
      </c>
      <c r="N1133" t="str">
        <f>Koond_kulud!N1180</f>
        <v>Muud tegevuskulud</v>
      </c>
      <c r="O1133" t="str">
        <f>Koond_kulud!O1180</f>
        <v>Majandamiskulud</v>
      </c>
      <c r="P1133" t="str">
        <f>Koond_kulud!P1180</f>
        <v>Põhitegevuse kulu</v>
      </c>
      <c r="Q1133">
        <f>Koond_kulud!Q1180</f>
        <v>0</v>
      </c>
    </row>
    <row r="1134" spans="1:17" x14ac:dyDescent="0.25">
      <c r="A1134" t="str">
        <f>Koond_kulud!A1181</f>
        <v>10</v>
      </c>
      <c r="B1134" t="str">
        <f>Koond_kulud!B1181</f>
        <v xml:space="preserve">1020004         </v>
      </c>
      <c r="C1134" t="str">
        <f>Koond_kulud!C1181</f>
        <v xml:space="preserve"> Vinni päevakeskus</v>
      </c>
      <c r="D1134" t="str">
        <f>Koond_kulud!D1181</f>
        <v>Eakate sotsiaalhoolekande asutused</v>
      </c>
      <c r="E1134" t="str">
        <f>Koond_kulud!E1181</f>
        <v>Sotsiaalne kaitse</v>
      </c>
      <c r="F1134" t="str">
        <f>Koond_kulud!F1181</f>
        <v>Vinni Päevakeskus</v>
      </c>
      <c r="G1134" t="str">
        <f>Koond_kulud!G1181</f>
        <v>ajakirjad (Tervendaja ja 60+)</v>
      </c>
      <c r="H1134">
        <f>Koond_kulud!H1181</f>
        <v>50</v>
      </c>
      <c r="I1134">
        <f>Koond_kulud!I1181</f>
        <v>0</v>
      </c>
      <c r="J1134">
        <f>Koond_kulud!J1181</f>
        <v>5500</v>
      </c>
      <c r="K1134" t="str">
        <f>Koond_kulud!K1181</f>
        <v>Administreerimiskulud</v>
      </c>
      <c r="L1134">
        <f>Koond_kulud!L1181</f>
        <v>55</v>
      </c>
      <c r="M1134" t="str">
        <f>Koond_kulud!M1181</f>
        <v>55</v>
      </c>
      <c r="N1134" t="str">
        <f>Koond_kulud!N1181</f>
        <v>Muud tegevuskulud</v>
      </c>
      <c r="O1134" t="str">
        <f>Koond_kulud!O1181</f>
        <v>Majandamiskulud</v>
      </c>
      <c r="P1134" t="str">
        <f>Koond_kulud!P1181</f>
        <v>Põhitegevuse kulu</v>
      </c>
      <c r="Q1134">
        <f>Koond_kulud!Q1181</f>
        <v>0</v>
      </c>
    </row>
    <row r="1135" spans="1:17" x14ac:dyDescent="0.25">
      <c r="A1135" t="str">
        <f>Koond_kulud!A1182</f>
        <v>10</v>
      </c>
      <c r="B1135" t="str">
        <f>Koond_kulud!B1182</f>
        <v xml:space="preserve">1020004         </v>
      </c>
      <c r="C1135" t="str">
        <f>Koond_kulud!C1182</f>
        <v xml:space="preserve"> Vinni päevakeskus</v>
      </c>
      <c r="D1135" t="str">
        <f>Koond_kulud!D1182</f>
        <v>Eakate sotsiaalhoolekande asutused</v>
      </c>
      <c r="E1135" t="str">
        <f>Koond_kulud!E1182</f>
        <v>Sotsiaalne kaitse</v>
      </c>
      <c r="F1135" t="str">
        <f>Koond_kulud!F1182</f>
        <v>Vinni Päevakeskus</v>
      </c>
      <c r="G1135" t="str">
        <f>Koond_kulud!G1182</f>
        <v>lilled</v>
      </c>
      <c r="H1135">
        <f>Koond_kulud!H1182</f>
        <v>200</v>
      </c>
      <c r="I1135">
        <f>Koond_kulud!I1182</f>
        <v>0</v>
      </c>
      <c r="J1135">
        <f>Koond_kulud!J1182</f>
        <v>5500</v>
      </c>
      <c r="K1135" t="str">
        <f>Koond_kulud!K1182</f>
        <v>Administreerimiskulud</v>
      </c>
      <c r="L1135">
        <f>Koond_kulud!L1182</f>
        <v>55</v>
      </c>
      <c r="M1135" t="str">
        <f>Koond_kulud!M1182</f>
        <v>55</v>
      </c>
      <c r="N1135" t="str">
        <f>Koond_kulud!N1182</f>
        <v>Muud tegevuskulud</v>
      </c>
      <c r="O1135" t="str">
        <f>Koond_kulud!O1182</f>
        <v>Majandamiskulud</v>
      </c>
      <c r="P1135" t="str">
        <f>Koond_kulud!P1182</f>
        <v>Põhitegevuse kulu</v>
      </c>
      <c r="Q1135">
        <f>Koond_kulud!Q1182</f>
        <v>0</v>
      </c>
    </row>
    <row r="1136" spans="1:17" x14ac:dyDescent="0.25">
      <c r="A1136" t="str">
        <f>Koond_kulud!A1183</f>
        <v>10</v>
      </c>
      <c r="B1136" t="str">
        <f>Koond_kulud!B1183</f>
        <v xml:space="preserve">1020004         </v>
      </c>
      <c r="C1136" t="str">
        <f>Koond_kulud!C1183</f>
        <v xml:space="preserve"> Vinni päevakeskus</v>
      </c>
      <c r="D1136" t="str">
        <f>Koond_kulud!D1183</f>
        <v>Eakate sotsiaalhoolekande asutused</v>
      </c>
      <c r="E1136" t="str">
        <f>Koond_kulud!E1183</f>
        <v>Sotsiaalne kaitse</v>
      </c>
      <c r="F1136" t="str">
        <f>Koond_kulud!F1183</f>
        <v>Vinni Päevakeskus</v>
      </c>
      <c r="G1136" t="str">
        <f>Koond_kulud!G1183</f>
        <v>Koolituskulud</v>
      </c>
      <c r="H1136">
        <f>Koond_kulud!H1183</f>
        <v>50</v>
      </c>
      <c r="I1136">
        <f>Koond_kulud!I1183</f>
        <v>0</v>
      </c>
      <c r="J1136">
        <f>Koond_kulud!J1183</f>
        <v>5504</v>
      </c>
      <c r="K1136" t="str">
        <f>Koond_kulud!K1183</f>
        <v>Koolituskulud</v>
      </c>
      <c r="L1136">
        <f>Koond_kulud!L1183</f>
        <v>55</v>
      </c>
      <c r="M1136" t="str">
        <f>Koond_kulud!M1183</f>
        <v>55</v>
      </c>
      <c r="N1136" t="str">
        <f>Koond_kulud!N1183</f>
        <v>Muud tegevuskulud</v>
      </c>
      <c r="O1136" t="str">
        <f>Koond_kulud!O1183</f>
        <v>Majandamiskulud</v>
      </c>
      <c r="P1136" t="str">
        <f>Koond_kulud!P1183</f>
        <v>Põhitegevuse kulu</v>
      </c>
      <c r="Q1136">
        <f>Koond_kulud!Q1183</f>
        <v>0</v>
      </c>
    </row>
    <row r="1137" spans="1:17" x14ac:dyDescent="0.25">
      <c r="A1137" t="str">
        <f>Koond_kulud!A1184</f>
        <v>10</v>
      </c>
      <c r="B1137" t="str">
        <f>Koond_kulud!B1184</f>
        <v xml:space="preserve">1020004         </v>
      </c>
      <c r="C1137" t="str">
        <f>Koond_kulud!C1184</f>
        <v xml:space="preserve"> Vinni päevakeskus</v>
      </c>
      <c r="D1137" t="str">
        <f>Koond_kulud!D1184</f>
        <v>Eakate sotsiaalhoolekande asutused</v>
      </c>
      <c r="E1137" t="str">
        <f>Koond_kulud!E1184</f>
        <v>Sotsiaalne kaitse</v>
      </c>
      <c r="F1137" t="str">
        <f>Koond_kulud!F1184</f>
        <v>Vinni Päevakeskus</v>
      </c>
      <c r="G1137" t="str">
        <f>Koond_kulud!G1184</f>
        <v>Isikliku sõiduauto komp.</v>
      </c>
      <c r="H1137">
        <f>Koond_kulud!H1184</f>
        <v>760</v>
      </c>
      <c r="I1137">
        <f>Koond_kulud!I1184</f>
        <v>0</v>
      </c>
      <c r="J1137">
        <f>Koond_kulud!J1184</f>
        <v>5513</v>
      </c>
      <c r="K1137" t="str">
        <f>Koond_kulud!K1184</f>
        <v>Sõidukite ülalpidamise kulud</v>
      </c>
      <c r="L1137">
        <f>Koond_kulud!L1184</f>
        <v>55</v>
      </c>
      <c r="M1137" t="str">
        <f>Koond_kulud!M1184</f>
        <v>55</v>
      </c>
      <c r="N1137" t="str">
        <f>Koond_kulud!N1184</f>
        <v>Muud tegevuskulud</v>
      </c>
      <c r="O1137" t="str">
        <f>Koond_kulud!O1184</f>
        <v>Majandamiskulud</v>
      </c>
      <c r="P1137" t="str">
        <f>Koond_kulud!P1184</f>
        <v>Põhitegevuse kulu</v>
      </c>
      <c r="Q1137">
        <f>Koond_kulud!Q1184</f>
        <v>0</v>
      </c>
    </row>
    <row r="1138" spans="1:17" x14ac:dyDescent="0.25">
      <c r="A1138" t="str">
        <f>Koond_kulud!A1185</f>
        <v>10</v>
      </c>
      <c r="B1138" t="str">
        <f>Koond_kulud!B1185</f>
        <v xml:space="preserve">1020004         </v>
      </c>
      <c r="C1138" t="str">
        <f>Koond_kulud!C1185</f>
        <v xml:space="preserve"> Vinni päevakeskus</v>
      </c>
      <c r="D1138" t="str">
        <f>Koond_kulud!D1185</f>
        <v>Eakate sotsiaalhoolekande asutused</v>
      </c>
      <c r="E1138" t="str">
        <f>Koond_kulud!E1185</f>
        <v>Sotsiaalne kaitse</v>
      </c>
      <c r="F1138" t="str">
        <f>Koond_kulud!F1185</f>
        <v>Vinni Päevakeskus</v>
      </c>
      <c r="G1138" t="str">
        <f>Koond_kulud!G1185</f>
        <v>eakate päev, jõulud ja kevadpidu</v>
      </c>
      <c r="H1138">
        <f>Koond_kulud!H1185</f>
        <v>200</v>
      </c>
      <c r="I1138">
        <f>Koond_kulud!I1185</f>
        <v>0</v>
      </c>
      <c r="J1138">
        <f>Koond_kulud!J1185</f>
        <v>5525</v>
      </c>
      <c r="K1138" t="str">
        <f>Koond_kulud!K1185</f>
        <v>Kommunikatsiooni-, kultuuri- ja vaba aja sisustamise kulud</v>
      </c>
      <c r="L1138">
        <f>Koond_kulud!L1185</f>
        <v>55</v>
      </c>
      <c r="M1138" t="str">
        <f>Koond_kulud!M1185</f>
        <v>55</v>
      </c>
      <c r="N1138" t="str">
        <f>Koond_kulud!N1185</f>
        <v>Muud tegevuskulud</v>
      </c>
      <c r="O1138" t="str">
        <f>Koond_kulud!O1185</f>
        <v>Majandamiskulud</v>
      </c>
      <c r="P1138" t="str">
        <f>Koond_kulud!P1185</f>
        <v>Põhitegevuse kulu</v>
      </c>
      <c r="Q1138">
        <f>Koond_kulud!Q1185</f>
        <v>0</v>
      </c>
    </row>
    <row r="1139" spans="1:17" x14ac:dyDescent="0.25">
      <c r="A1139" t="str">
        <f>Koond_kulud!A1186</f>
        <v>10</v>
      </c>
      <c r="B1139" t="str">
        <f>Koond_kulud!B1186</f>
        <v xml:space="preserve">1020004         </v>
      </c>
      <c r="C1139" t="str">
        <f>Koond_kulud!C1186</f>
        <v xml:space="preserve"> Vinni päevakeskus</v>
      </c>
      <c r="D1139" t="str">
        <f>Koond_kulud!D1186</f>
        <v>Eakate sotsiaalhoolekande asutused</v>
      </c>
      <c r="E1139" t="str">
        <f>Koond_kulud!E1186</f>
        <v>Sotsiaalne kaitse</v>
      </c>
      <c r="F1139" t="str">
        <f>Koond_kulud!F1186</f>
        <v>Vinni Päevakeskus</v>
      </c>
      <c r="G1139" t="str">
        <f>Koond_kulud!G1186</f>
        <v>käeline tegevus (materjalid)</v>
      </c>
      <c r="H1139">
        <f>Koond_kulud!H1186</f>
        <v>100</v>
      </c>
      <c r="I1139">
        <f>Koond_kulud!I1186</f>
        <v>0</v>
      </c>
      <c r="J1139">
        <f>Koond_kulud!J1186</f>
        <v>5525</v>
      </c>
      <c r="K1139" t="str">
        <f>Koond_kulud!K1186</f>
        <v>Kommunikatsiooni-, kultuuri- ja vaba aja sisustamise kulud</v>
      </c>
      <c r="L1139">
        <f>Koond_kulud!L1186</f>
        <v>55</v>
      </c>
      <c r="M1139" t="str">
        <f>Koond_kulud!M1186</f>
        <v>55</v>
      </c>
      <c r="N1139" t="str">
        <f>Koond_kulud!N1186</f>
        <v>Muud tegevuskulud</v>
      </c>
      <c r="O1139" t="str">
        <f>Koond_kulud!O1186</f>
        <v>Majandamiskulud</v>
      </c>
      <c r="P1139" t="str">
        <f>Koond_kulud!P1186</f>
        <v>Põhitegevuse kulu</v>
      </c>
      <c r="Q1139">
        <f>Koond_kulud!Q1186</f>
        <v>0</v>
      </c>
    </row>
    <row r="1140" spans="1:17" x14ac:dyDescent="0.25">
      <c r="A1140" t="str">
        <f>Koond_kulud!A1187</f>
        <v>10</v>
      </c>
      <c r="B1140" t="str">
        <f>Koond_kulud!B1187</f>
        <v xml:space="preserve">1020004         </v>
      </c>
      <c r="C1140" t="str">
        <f>Koond_kulud!C1187</f>
        <v xml:space="preserve"> Vinni päevakeskus</v>
      </c>
      <c r="D1140" t="str">
        <f>Koond_kulud!D1187</f>
        <v>Eakate sotsiaalhoolekande asutused</v>
      </c>
      <c r="E1140" t="str">
        <f>Koond_kulud!E1187</f>
        <v>Sotsiaalne kaitse</v>
      </c>
      <c r="F1140" t="str">
        <f>Koond_kulud!F1187</f>
        <v>Vinni Päevakeskus</v>
      </c>
      <c r="G1140" t="str">
        <f>Koond_kulud!G1187</f>
        <v>mälutreening 2xkuus, 16x40,00</v>
      </c>
      <c r="H1140">
        <f>Koond_kulud!H1187</f>
        <v>640</v>
      </c>
      <c r="I1140">
        <f>Koond_kulud!I1187</f>
        <v>0</v>
      </c>
      <c r="J1140">
        <f>Koond_kulud!J1187</f>
        <v>5525</v>
      </c>
      <c r="K1140" t="str">
        <f>Koond_kulud!K1187</f>
        <v>Kommunikatsiooni-, kultuuri- ja vaba aja sisustamise kulud</v>
      </c>
      <c r="L1140">
        <f>Koond_kulud!L1187</f>
        <v>55</v>
      </c>
      <c r="M1140" t="str">
        <f>Koond_kulud!M1187</f>
        <v>55</v>
      </c>
      <c r="N1140" t="str">
        <f>Koond_kulud!N1187</f>
        <v>Muud tegevuskulud</v>
      </c>
      <c r="O1140" t="str">
        <f>Koond_kulud!O1187</f>
        <v>Majandamiskulud</v>
      </c>
      <c r="P1140" t="str">
        <f>Koond_kulud!P1187</f>
        <v>Põhitegevuse kulu</v>
      </c>
      <c r="Q1140">
        <f>Koond_kulud!Q1187</f>
        <v>0</v>
      </c>
    </row>
    <row r="1141" spans="1:17" x14ac:dyDescent="0.25">
      <c r="A1141" t="str">
        <f>Koond_kulud!A1188</f>
        <v>10</v>
      </c>
      <c r="B1141" t="str">
        <f>Koond_kulud!B1188</f>
        <v xml:space="preserve">1020004         </v>
      </c>
      <c r="C1141" t="str">
        <f>Koond_kulud!C1188</f>
        <v xml:space="preserve"> Vinni päevakeskus</v>
      </c>
      <c r="D1141" t="str">
        <f>Koond_kulud!D1188</f>
        <v>Eakate sotsiaalhoolekande asutused</v>
      </c>
      <c r="E1141" t="str">
        <f>Koond_kulud!E1188</f>
        <v>Sotsiaalne kaitse</v>
      </c>
      <c r="F1141" t="str">
        <f>Koond_kulud!F1188</f>
        <v>Vinni Päevakeskus</v>
      </c>
      <c r="G1141" t="str">
        <f>Koond_kulud!G1188</f>
        <v>võimlemine 4x kuus, 30x 45,00</v>
      </c>
      <c r="H1141">
        <f>Koond_kulud!H1188</f>
        <v>1350</v>
      </c>
      <c r="I1141">
        <f>Koond_kulud!I1188</f>
        <v>0</v>
      </c>
      <c r="J1141">
        <f>Koond_kulud!J1188</f>
        <v>5525</v>
      </c>
      <c r="K1141" t="str">
        <f>Koond_kulud!K1188</f>
        <v>Kommunikatsiooni-, kultuuri- ja vaba aja sisustamise kulud</v>
      </c>
      <c r="L1141">
        <f>Koond_kulud!L1188</f>
        <v>55</v>
      </c>
      <c r="M1141" t="str">
        <f>Koond_kulud!M1188</f>
        <v>55</v>
      </c>
      <c r="N1141" t="str">
        <f>Koond_kulud!N1188</f>
        <v>Muud tegevuskulud</v>
      </c>
      <c r="O1141" t="str">
        <f>Koond_kulud!O1188</f>
        <v>Majandamiskulud</v>
      </c>
      <c r="P1141" t="str">
        <f>Koond_kulud!P1188</f>
        <v>Põhitegevuse kulu</v>
      </c>
      <c r="Q1141">
        <f>Koond_kulud!Q1188</f>
        <v>0</v>
      </c>
    </row>
    <row r="1142" spans="1:17" x14ac:dyDescent="0.25">
      <c r="A1142" t="str">
        <f>Koond_kulud!A1189</f>
        <v>10</v>
      </c>
      <c r="B1142" t="str">
        <f>Koond_kulud!B1189</f>
        <v xml:space="preserve">1020004         </v>
      </c>
      <c r="C1142" t="str">
        <f>Koond_kulud!C1189</f>
        <v xml:space="preserve"> Vinni päevakeskus</v>
      </c>
      <c r="D1142" t="str">
        <f>Koond_kulud!D1189</f>
        <v>Eakate sotsiaalhoolekande asutused</v>
      </c>
      <c r="E1142" t="str">
        <f>Koond_kulud!E1189</f>
        <v>Sotsiaalne kaitse</v>
      </c>
      <c r="F1142" t="str">
        <f>Koond_kulud!F1189</f>
        <v>Vinni Päevakeskus</v>
      </c>
      <c r="G1142" t="str">
        <f>Koond_kulud!G1189</f>
        <v>laulmine</v>
      </c>
      <c r="H1142">
        <f>Koond_kulud!H1189</f>
        <v>500</v>
      </c>
      <c r="I1142">
        <f>Koond_kulud!I1189</f>
        <v>0</v>
      </c>
      <c r="J1142">
        <f>Koond_kulud!J1189</f>
        <v>5525</v>
      </c>
      <c r="K1142" t="str">
        <f>Koond_kulud!K1189</f>
        <v>Kommunikatsiooni-, kultuuri- ja vaba aja sisustamise kulud</v>
      </c>
      <c r="L1142">
        <f>Koond_kulud!L1189</f>
        <v>55</v>
      </c>
      <c r="M1142" t="str">
        <f>Koond_kulud!M1189</f>
        <v>55</v>
      </c>
      <c r="N1142" t="str">
        <f>Koond_kulud!N1189</f>
        <v>Muud tegevuskulud</v>
      </c>
      <c r="O1142" t="str">
        <f>Koond_kulud!O1189</f>
        <v>Majandamiskulud</v>
      </c>
      <c r="P1142" t="str">
        <f>Koond_kulud!P1189</f>
        <v>Põhitegevuse kulu</v>
      </c>
      <c r="Q1142">
        <f>Koond_kulud!Q1189</f>
        <v>0</v>
      </c>
    </row>
    <row r="1143" spans="1:17" x14ac:dyDescent="0.25">
      <c r="A1143" t="str">
        <f>Koond_kulud!A1190</f>
        <v>10</v>
      </c>
      <c r="B1143" t="str">
        <f>Koond_kulud!B1190</f>
        <v xml:space="preserve">1020004         </v>
      </c>
      <c r="C1143" t="str">
        <f>Koond_kulud!C1190</f>
        <v xml:space="preserve"> Vinni päevakeskus</v>
      </c>
      <c r="D1143" t="str">
        <f>Koond_kulud!D1190</f>
        <v>Eakate sotsiaalhoolekande asutused</v>
      </c>
      <c r="E1143" t="str">
        <f>Koond_kulud!E1190</f>
        <v>Sotsiaalne kaitse</v>
      </c>
      <c r="F1143" t="str">
        <f>Koond_kulud!F1190</f>
        <v>Vinni Päevakeskus</v>
      </c>
      <c r="G1143" t="str">
        <f>Koond_kulud!G1190</f>
        <v>ettearvamatud</v>
      </c>
      <c r="H1143">
        <f>Koond_kulud!H1190</f>
        <v>100</v>
      </c>
      <c r="I1143">
        <f>Koond_kulud!I1190</f>
        <v>0</v>
      </c>
      <c r="J1143">
        <f>Koond_kulud!J1190</f>
        <v>5511</v>
      </c>
      <c r="K1143" t="str">
        <f>Koond_kulud!K1190</f>
        <v>Kinnistute, hoonete ja ruumide majandamiskulud</v>
      </c>
      <c r="L1143">
        <f>Koond_kulud!L1190</f>
        <v>55</v>
      </c>
      <c r="M1143" t="str">
        <f>Koond_kulud!M1190</f>
        <v>55</v>
      </c>
      <c r="N1143" t="str">
        <f>Koond_kulud!N1190</f>
        <v>Muud tegevuskulud</v>
      </c>
      <c r="O1143" t="str">
        <f>Koond_kulud!O1190</f>
        <v>Majandamiskulud</v>
      </c>
      <c r="P1143" t="str">
        <f>Koond_kulud!P1190</f>
        <v>Põhitegevuse kulu</v>
      </c>
      <c r="Q1143">
        <f>Koond_kulud!Q1190</f>
        <v>0</v>
      </c>
    </row>
    <row r="1144" spans="1:17" x14ac:dyDescent="0.25">
      <c r="A1144" t="str">
        <f>Koond_kulud!A1191</f>
        <v>10</v>
      </c>
      <c r="B1144" t="str">
        <f>Koond_kulud!B1191</f>
        <v xml:space="preserve">1020004         </v>
      </c>
      <c r="C1144" t="str">
        <f>Koond_kulud!C1191</f>
        <v xml:space="preserve"> Vinni päevakeskus</v>
      </c>
      <c r="D1144" t="str">
        <f>Koond_kulud!D1191</f>
        <v>Eakate sotsiaalhoolekande asutused</v>
      </c>
      <c r="E1144" t="str">
        <f>Koond_kulud!E1191</f>
        <v>Sotsiaalne kaitse</v>
      </c>
      <c r="F1144" t="str">
        <f>Koond_kulud!F1191</f>
        <v>Vinni Päevakeskus</v>
      </c>
      <c r="G1144" t="str">
        <f>Koond_kulud!G1191</f>
        <v>vesi ja kanalisatsioon</v>
      </c>
      <c r="H1144">
        <f>Koond_kulud!H1191</f>
        <v>50</v>
      </c>
      <c r="I1144">
        <f>Koond_kulud!I1191</f>
        <v>0</v>
      </c>
      <c r="J1144">
        <f>Koond_kulud!J1191</f>
        <v>5511</v>
      </c>
      <c r="K1144" t="str">
        <f>Koond_kulud!K1191</f>
        <v>Kinnistute, hoonete ja ruumide majandamiskulud</v>
      </c>
      <c r="L1144">
        <f>Koond_kulud!L1191</f>
        <v>55</v>
      </c>
      <c r="M1144" t="str">
        <f>Koond_kulud!M1191</f>
        <v>55</v>
      </c>
      <c r="N1144" t="str">
        <f>Koond_kulud!N1191</f>
        <v>Muud tegevuskulud</v>
      </c>
      <c r="O1144" t="str">
        <f>Koond_kulud!O1191</f>
        <v>Majandamiskulud</v>
      </c>
      <c r="P1144" t="str">
        <f>Koond_kulud!P1191</f>
        <v>Põhitegevuse kulu</v>
      </c>
      <c r="Q1144">
        <f>Koond_kulud!Q1191</f>
        <v>0</v>
      </c>
    </row>
    <row r="1145" spans="1:17" x14ac:dyDescent="0.25">
      <c r="A1145" t="str">
        <f>Koond_kulud!A1192</f>
        <v>10</v>
      </c>
      <c r="B1145" t="str">
        <f>Koond_kulud!B1192</f>
        <v xml:space="preserve">1020004         </v>
      </c>
      <c r="C1145" t="str">
        <f>Koond_kulud!C1192</f>
        <v xml:space="preserve"> Vinni päevakeskus</v>
      </c>
      <c r="D1145" t="str">
        <f>Koond_kulud!D1192</f>
        <v>Eakate sotsiaalhoolekande asutused</v>
      </c>
      <c r="E1145" t="str">
        <f>Koond_kulud!E1192</f>
        <v>Sotsiaalne kaitse</v>
      </c>
      <c r="F1145" t="str">
        <f>Koond_kulud!F1192</f>
        <v>Vinni Päevakeskus</v>
      </c>
      <c r="G1145" t="str">
        <f>Koond_kulud!G1192</f>
        <v>puhastus vahendid</v>
      </c>
      <c r="H1145">
        <f>Koond_kulud!H1192</f>
        <v>50</v>
      </c>
      <c r="I1145">
        <f>Koond_kulud!I1192</f>
        <v>0</v>
      </c>
      <c r="J1145">
        <f>Koond_kulud!J1192</f>
        <v>5511</v>
      </c>
      <c r="K1145" t="str">
        <f>Koond_kulud!K1192</f>
        <v>Kinnistute, hoonete ja ruumide majandamiskulud</v>
      </c>
      <c r="L1145">
        <f>Koond_kulud!L1192</f>
        <v>55</v>
      </c>
      <c r="M1145" t="str">
        <f>Koond_kulud!M1192</f>
        <v>55</v>
      </c>
      <c r="N1145" t="str">
        <f>Koond_kulud!N1192</f>
        <v>Muud tegevuskulud</v>
      </c>
      <c r="O1145" t="str">
        <f>Koond_kulud!O1192</f>
        <v>Majandamiskulud</v>
      </c>
      <c r="P1145" t="str">
        <f>Koond_kulud!P1192</f>
        <v>Põhitegevuse kulu</v>
      </c>
      <c r="Q1145">
        <f>Koond_kulud!Q1192</f>
        <v>0</v>
      </c>
    </row>
    <row r="1146" spans="1:17" hidden="1" x14ac:dyDescent="0.25">
      <c r="A1146" t="str">
        <f>Koond_kulud!A1193</f>
        <v>10</v>
      </c>
      <c r="B1146" t="str">
        <f>Koond_kulud!B1193</f>
        <v xml:space="preserve">1020101         </v>
      </c>
      <c r="C1146" t="str">
        <f>Koond_kulud!C1193</f>
        <v xml:space="preserve"> Hooldajad</v>
      </c>
      <c r="D1146" t="str">
        <f>Koond_kulud!D1193</f>
        <v>Muu eakate sotsiaalne kaitse</v>
      </c>
      <c r="E1146" t="str">
        <f>Koond_kulud!E1193</f>
        <v>Sotsiaalne kaitse</v>
      </c>
      <c r="F1146" t="str">
        <f>Koond_kulud!F1193</f>
        <v>Sotsiaalosakond</v>
      </c>
      <c r="G1146" t="str">
        <f>Koond_kulud!G1193</f>
        <v>Hooldustöötaja el.auto hooldus, remont, jms</v>
      </c>
      <c r="H1146">
        <f>Koond_kulud!H1193</f>
        <v>1000</v>
      </c>
      <c r="I1146" t="str">
        <f>Koond_kulud!I1193</f>
        <v>sh. Kredex laadimistasud</v>
      </c>
      <c r="J1146">
        <f>Koond_kulud!J1193</f>
        <v>5513</v>
      </c>
      <c r="K1146" t="str">
        <f>Koond_kulud!K1193</f>
        <v>Sõidukite ülalpidamise kulud</v>
      </c>
      <c r="L1146">
        <f>Koond_kulud!L1193</f>
        <v>55</v>
      </c>
      <c r="M1146" t="str">
        <f>Koond_kulud!M1193</f>
        <v>55</v>
      </c>
      <c r="N1146" t="str">
        <f>Koond_kulud!N1193</f>
        <v>Muud tegevuskulud</v>
      </c>
      <c r="O1146" t="str">
        <f>Koond_kulud!O1193</f>
        <v>Majandamiskulud</v>
      </c>
      <c r="P1146" t="str">
        <f>Koond_kulud!P1193</f>
        <v>Põhitegevuse kulu</v>
      </c>
      <c r="Q1146">
        <f>Koond_kulud!Q1193</f>
        <v>0</v>
      </c>
    </row>
    <row r="1147" spans="1:17" hidden="1" x14ac:dyDescent="0.25">
      <c r="A1147" t="str">
        <f>Koond_kulud!A1194</f>
        <v>10</v>
      </c>
      <c r="B1147" t="str">
        <f>Koond_kulud!B1194</f>
        <v xml:space="preserve">1020101         </v>
      </c>
      <c r="C1147" t="str">
        <f>Koond_kulud!C1194</f>
        <v xml:space="preserve"> Hooldajad</v>
      </c>
      <c r="D1147" t="str">
        <f>Koond_kulud!D1194</f>
        <v>Muu eakate sotsiaalne kaitse</v>
      </c>
      <c r="E1147" t="str">
        <f>Koond_kulud!E1194</f>
        <v>Sotsiaalne kaitse</v>
      </c>
      <c r="F1147" t="str">
        <f>Koond_kulud!F1194</f>
        <v>Sotsiaalosakond</v>
      </c>
      <c r="G1147" t="str">
        <f>Koond_kulud!G1194</f>
        <v>Hooldustöötajate koolitused</v>
      </c>
      <c r="H1147">
        <f>Koond_kulud!H1194</f>
        <v>600</v>
      </c>
      <c r="I1147">
        <f>Koond_kulud!I1194</f>
        <v>0</v>
      </c>
      <c r="J1147">
        <f>Koond_kulud!J1194</f>
        <v>5504</v>
      </c>
      <c r="K1147" t="str">
        <f>Koond_kulud!K1194</f>
        <v>Koolituskulud</v>
      </c>
      <c r="L1147">
        <f>Koond_kulud!L1194</f>
        <v>55</v>
      </c>
      <c r="M1147" t="str">
        <f>Koond_kulud!M1194</f>
        <v>55</v>
      </c>
      <c r="N1147" t="str">
        <f>Koond_kulud!N1194</f>
        <v>Muud tegevuskulud</v>
      </c>
      <c r="O1147" t="str">
        <f>Koond_kulud!O1194</f>
        <v>Majandamiskulud</v>
      </c>
      <c r="P1147" t="str">
        <f>Koond_kulud!P1194</f>
        <v>Põhitegevuse kulu</v>
      </c>
      <c r="Q1147">
        <f>Koond_kulud!Q1194</f>
        <v>0</v>
      </c>
    </row>
    <row r="1148" spans="1:17" hidden="1" x14ac:dyDescent="0.25">
      <c r="A1148" t="str">
        <f>Koond_kulud!A1195</f>
        <v>10</v>
      </c>
      <c r="B1148" t="str">
        <f>Koond_kulud!B1195</f>
        <v xml:space="preserve">1020101         </v>
      </c>
      <c r="C1148" t="str">
        <f>Koond_kulud!C1195</f>
        <v xml:space="preserve"> Hooldajad</v>
      </c>
      <c r="D1148" t="str">
        <f>Koond_kulud!D1195</f>
        <v>Muu eakate sotsiaalne kaitse</v>
      </c>
      <c r="E1148" t="str">
        <f>Koond_kulud!E1195</f>
        <v>Sotsiaalne kaitse</v>
      </c>
      <c r="F1148" t="str">
        <f>Koond_kulud!F1195</f>
        <v>Sotsiaalosakond</v>
      </c>
      <c r="G1148" t="str">
        <f>Koond_kulud!G1195</f>
        <v>Inventar</v>
      </c>
      <c r="H1148">
        <f>Koond_kulud!H1195</f>
        <v>900</v>
      </c>
      <c r="I1148" t="str">
        <f>Koond_kulud!I1195</f>
        <v>el.jalgratta hooldus( akud) jms</v>
      </c>
      <c r="J1148">
        <f>Koond_kulud!J1195</f>
        <v>5515</v>
      </c>
      <c r="K1148" t="str">
        <f>Koond_kulud!K1195</f>
        <v>Inventari kulud, v.a infotehnoloogia ja kaitseotstarbelised kulud</v>
      </c>
      <c r="L1148">
        <f>Koond_kulud!L1195</f>
        <v>55</v>
      </c>
      <c r="M1148" t="str">
        <f>Koond_kulud!M1195</f>
        <v>55</v>
      </c>
      <c r="N1148" t="str">
        <f>Koond_kulud!N1195</f>
        <v>Muud tegevuskulud</v>
      </c>
      <c r="O1148" t="str">
        <f>Koond_kulud!O1195</f>
        <v>Majandamiskulud</v>
      </c>
      <c r="P1148" t="str">
        <f>Koond_kulud!P1195</f>
        <v>Põhitegevuse kulu</v>
      </c>
      <c r="Q1148">
        <f>Koond_kulud!Q1195</f>
        <v>0</v>
      </c>
    </row>
    <row r="1149" spans="1:17" hidden="1" x14ac:dyDescent="0.25">
      <c r="A1149" t="str">
        <f>Koond_kulud!A1196</f>
        <v>10</v>
      </c>
      <c r="B1149" t="str">
        <f>Koond_kulud!B1196</f>
        <v xml:space="preserve">1020102         </v>
      </c>
      <c r="C1149" t="str">
        <f>Koond_kulud!C1196</f>
        <v xml:space="preserve"> Eakate toetused</v>
      </c>
      <c r="D1149" t="str">
        <f>Koond_kulud!D1196</f>
        <v>Muu eakate sotsiaalne kaitse</v>
      </c>
      <c r="E1149" t="str">
        <f>Koond_kulud!E1196</f>
        <v>Sotsiaalne kaitse</v>
      </c>
      <c r="F1149" t="str">
        <f>Koond_kulud!F1196</f>
        <v>Sotsiaalosakond</v>
      </c>
      <c r="G1149" t="str">
        <f>Koond_kulud!G1196</f>
        <v>Ühekordsed toetused</v>
      </c>
      <c r="H1149">
        <f>Koond_kulud!H1196</f>
        <v>35500</v>
      </c>
      <c r="I1149">
        <f>Koond_kulud!I1196</f>
        <v>0</v>
      </c>
      <c r="J1149">
        <f>Koond_kulud!J1196</f>
        <v>41380</v>
      </c>
      <c r="K1149" t="str">
        <f>Koond_kulud!K1196</f>
        <v>Toetused eakatele</v>
      </c>
      <c r="L1149">
        <f>Koond_kulud!L1196</f>
        <v>413</v>
      </c>
      <c r="M1149" t="str">
        <f>Koond_kulud!M1196</f>
        <v>41</v>
      </c>
      <c r="N1149" t="str">
        <f>Koond_kulud!N1196</f>
        <v>Antavad toetused tegevuskuludeks</v>
      </c>
      <c r="O1149" t="str">
        <f>Koond_kulud!O1196</f>
        <v>Sotsiaalabitoetused ja muud toetused füüsilistele isikutele</v>
      </c>
      <c r="P1149" t="str">
        <f>Koond_kulud!P1196</f>
        <v>Põhitegevuse kulu</v>
      </c>
      <c r="Q1149">
        <f>Koond_kulud!Q1196</f>
        <v>0</v>
      </c>
    </row>
    <row r="1150" spans="1:17" hidden="1" x14ac:dyDescent="0.25">
      <c r="A1150" t="str">
        <f>Koond_kulud!A1197</f>
        <v>10</v>
      </c>
      <c r="B1150" t="str">
        <f>Koond_kulud!B1197</f>
        <v xml:space="preserve">1020103         </v>
      </c>
      <c r="C1150" t="str">
        <f>Koond_kulud!C1197</f>
        <v xml:space="preserve"> Juubeli toetused</v>
      </c>
      <c r="D1150" t="str">
        <f>Koond_kulud!D1197</f>
        <v>Muu eakate sotsiaalne kaitse</v>
      </c>
      <c r="E1150" t="str">
        <f>Koond_kulud!E1197</f>
        <v>Sotsiaalne kaitse</v>
      </c>
      <c r="F1150" t="str">
        <f>Koond_kulud!F1197</f>
        <v>Sotsiaalosakond</v>
      </c>
      <c r="G1150" t="str">
        <f>Koond_kulud!G1197</f>
        <v>Juubelitoetused (+ lilled)</v>
      </c>
      <c r="H1150">
        <f>Koond_kulud!H1197</f>
        <v>9500</v>
      </c>
      <c r="I1150">
        <f>Koond_kulud!I1197</f>
        <v>0</v>
      </c>
      <c r="J1150">
        <f>Koond_kulud!J1197</f>
        <v>41380</v>
      </c>
      <c r="K1150" t="str">
        <f>Koond_kulud!K1197</f>
        <v>Toetused eakatele</v>
      </c>
      <c r="L1150">
        <f>Koond_kulud!L1197</f>
        <v>413</v>
      </c>
      <c r="M1150" t="str">
        <f>Koond_kulud!M1197</f>
        <v>41</v>
      </c>
      <c r="N1150" t="str">
        <f>Koond_kulud!N1197</f>
        <v>Antavad toetused tegevuskuludeks</v>
      </c>
      <c r="O1150" t="str">
        <f>Koond_kulud!O1197</f>
        <v>Sotsiaalabitoetused ja muud toetused füüsilistele isikutele</v>
      </c>
      <c r="P1150" t="str">
        <f>Koond_kulud!P1197</f>
        <v>Põhitegevuse kulu</v>
      </c>
      <c r="Q1150">
        <f>Koond_kulud!Q1197</f>
        <v>0</v>
      </c>
    </row>
    <row r="1151" spans="1:17" hidden="1" x14ac:dyDescent="0.25">
      <c r="A1151" t="str">
        <f>Koond_kulud!A1198</f>
        <v>10</v>
      </c>
      <c r="B1151" t="str">
        <f>Koond_kulud!B1198</f>
        <v xml:space="preserve">1020102         </v>
      </c>
      <c r="C1151" t="str">
        <f>Koond_kulud!C1198</f>
        <v xml:space="preserve"> Eakate toetused</v>
      </c>
      <c r="D1151" t="str">
        <f>Koond_kulud!D1198</f>
        <v>Muu eakate sotsiaalne kaitse</v>
      </c>
      <c r="E1151" t="str">
        <f>Koond_kulud!E1198</f>
        <v>Sotsiaalne kaitse</v>
      </c>
      <c r="F1151" t="str">
        <f>Koond_kulud!F1198</f>
        <v>Sotsiaalosakond</v>
      </c>
      <c r="G1151" t="str">
        <f>Koond_kulud!G1198</f>
        <v>Täiendav ravimite toetus</v>
      </c>
      <c r="H1151">
        <f>Koond_kulud!H1198</f>
        <v>3000</v>
      </c>
      <c r="I1151">
        <f>Koond_kulud!I1198</f>
        <v>0</v>
      </c>
      <c r="J1151">
        <f>Koond_kulud!J1198</f>
        <v>41380</v>
      </c>
      <c r="K1151" t="str">
        <f>Koond_kulud!K1198</f>
        <v>Toetused eakatele</v>
      </c>
      <c r="L1151">
        <f>Koond_kulud!L1198</f>
        <v>413</v>
      </c>
      <c r="M1151" t="str">
        <f>Koond_kulud!M1198</f>
        <v>41</v>
      </c>
      <c r="N1151" t="str">
        <f>Koond_kulud!N1198</f>
        <v>Antavad toetused tegevuskuludeks</v>
      </c>
      <c r="O1151" t="str">
        <f>Koond_kulud!O1198</f>
        <v>Sotsiaalabitoetused ja muud toetused füüsilistele isikutele</v>
      </c>
      <c r="P1151" t="str">
        <f>Koond_kulud!P1198</f>
        <v>Põhitegevuse kulu</v>
      </c>
      <c r="Q1151">
        <f>Koond_kulud!Q1198</f>
        <v>0</v>
      </c>
    </row>
    <row r="1152" spans="1:17" hidden="1" x14ac:dyDescent="0.25">
      <c r="A1152" t="str">
        <f>Koond_kulud!A1199</f>
        <v>10</v>
      </c>
      <c r="B1152" t="str">
        <f>Koond_kulud!B1199</f>
        <v xml:space="preserve">1040001         </v>
      </c>
      <c r="C1152" t="str">
        <f>Koond_kulud!C1199</f>
        <v xml:space="preserve"> Vinni Perekodu</v>
      </c>
      <c r="D1152" t="str">
        <f>Koond_kulud!D1199</f>
        <v>Laste ja noorte sotsiaalhoolekande asutused</v>
      </c>
      <c r="E1152" t="str">
        <f>Koond_kulud!E1199</f>
        <v>Sotsiaalne kaitse</v>
      </c>
      <c r="F1152" t="str">
        <f>Koond_kulud!F1199</f>
        <v>Vinni Perekodu</v>
      </c>
      <c r="G1152" t="str">
        <f>Koond_kulud!G1199</f>
        <v xml:space="preserve">telefon, internet, TV </v>
      </c>
      <c r="H1152">
        <f>Koond_kulud!H1199</f>
        <v>4000</v>
      </c>
      <c r="I1152">
        <f>Koond_kulud!I1199</f>
        <v>0</v>
      </c>
      <c r="J1152">
        <f>Koond_kulud!J1199</f>
        <v>5500</v>
      </c>
      <c r="K1152" t="str">
        <f>Koond_kulud!K1199</f>
        <v>Administreerimiskulud</v>
      </c>
      <c r="L1152">
        <f>Koond_kulud!L1199</f>
        <v>55</v>
      </c>
      <c r="M1152" t="str">
        <f>Koond_kulud!M1199</f>
        <v>55</v>
      </c>
      <c r="N1152" t="str">
        <f>Koond_kulud!N1199</f>
        <v>Muud tegevuskulud</v>
      </c>
      <c r="O1152" t="str">
        <f>Koond_kulud!O1199</f>
        <v>Majandamiskulud</v>
      </c>
      <c r="P1152" t="str">
        <f>Koond_kulud!P1199</f>
        <v>Põhitegevuse kulu</v>
      </c>
      <c r="Q1152">
        <f>Koond_kulud!Q1199</f>
        <v>0</v>
      </c>
    </row>
    <row r="1153" spans="1:17" hidden="1" x14ac:dyDescent="0.25">
      <c r="A1153" t="str">
        <f>Koond_kulud!A1200</f>
        <v>10</v>
      </c>
      <c r="B1153" t="str">
        <f>Koond_kulud!B1200</f>
        <v xml:space="preserve">1040001         </v>
      </c>
      <c r="C1153" t="str">
        <f>Koond_kulud!C1200</f>
        <v xml:space="preserve"> Vinni Perekodu</v>
      </c>
      <c r="D1153" t="str">
        <f>Koond_kulud!D1200</f>
        <v>Laste ja noorte sotsiaalhoolekande asutused</v>
      </c>
      <c r="E1153" t="str">
        <f>Koond_kulud!E1200</f>
        <v>Sotsiaalne kaitse</v>
      </c>
      <c r="F1153" t="str">
        <f>Koond_kulud!F1200</f>
        <v>Vinni Perekodu</v>
      </c>
      <c r="G1153" t="str">
        <f>Koond_kulud!G1200</f>
        <v>postikulu</v>
      </c>
      <c r="H1153">
        <f>Koond_kulud!H1200</f>
        <v>80</v>
      </c>
      <c r="I1153">
        <f>Koond_kulud!I1200</f>
        <v>0</v>
      </c>
      <c r="J1153">
        <f>Koond_kulud!J1200</f>
        <v>5500</v>
      </c>
      <c r="K1153" t="str">
        <f>Koond_kulud!K1200</f>
        <v>Administreerimiskulud</v>
      </c>
      <c r="L1153">
        <f>Koond_kulud!L1200</f>
        <v>55</v>
      </c>
      <c r="M1153" t="str">
        <f>Koond_kulud!M1200</f>
        <v>55</v>
      </c>
      <c r="N1153" t="str">
        <f>Koond_kulud!N1200</f>
        <v>Muud tegevuskulud</v>
      </c>
      <c r="O1153" t="str">
        <f>Koond_kulud!O1200</f>
        <v>Majandamiskulud</v>
      </c>
      <c r="P1153" t="str">
        <f>Koond_kulud!P1200</f>
        <v>Põhitegevuse kulu</v>
      </c>
      <c r="Q1153">
        <f>Koond_kulud!Q1200</f>
        <v>0</v>
      </c>
    </row>
    <row r="1154" spans="1:17" hidden="1" x14ac:dyDescent="0.25">
      <c r="A1154" t="str">
        <f>Koond_kulud!A1201</f>
        <v>10</v>
      </c>
      <c r="B1154" t="str">
        <f>Koond_kulud!B1201</f>
        <v xml:space="preserve">1040001         </v>
      </c>
      <c r="C1154" t="str">
        <f>Koond_kulud!C1201</f>
        <v xml:space="preserve"> Vinni Perekodu</v>
      </c>
      <c r="D1154" t="str">
        <f>Koond_kulud!D1201</f>
        <v>Laste ja noorte sotsiaalhoolekande asutused</v>
      </c>
      <c r="E1154" t="str">
        <f>Koond_kulud!E1201</f>
        <v>Sotsiaalne kaitse</v>
      </c>
      <c r="F1154" t="str">
        <f>Koond_kulud!F1201</f>
        <v>Vinni Perekodu</v>
      </c>
      <c r="G1154" t="str">
        <f>Koond_kulud!G1201</f>
        <v>kantseleikulu</v>
      </c>
      <c r="H1154">
        <f>Koond_kulud!H1201</f>
        <v>1300</v>
      </c>
      <c r="I1154">
        <f>Koond_kulud!I1201</f>
        <v>0</v>
      </c>
      <c r="J1154">
        <f>Koond_kulud!J1201</f>
        <v>5500</v>
      </c>
      <c r="K1154" t="str">
        <f>Koond_kulud!K1201</f>
        <v>Administreerimiskulud</v>
      </c>
      <c r="L1154">
        <f>Koond_kulud!L1201</f>
        <v>55</v>
      </c>
      <c r="M1154" t="str">
        <f>Koond_kulud!M1201</f>
        <v>55</v>
      </c>
      <c r="N1154" t="str">
        <f>Koond_kulud!N1201</f>
        <v>Muud tegevuskulud</v>
      </c>
      <c r="O1154" t="str">
        <f>Koond_kulud!O1201</f>
        <v>Majandamiskulud</v>
      </c>
      <c r="P1154" t="str">
        <f>Koond_kulud!P1201</f>
        <v>Põhitegevuse kulu</v>
      </c>
      <c r="Q1154">
        <f>Koond_kulud!Q1201</f>
        <v>0</v>
      </c>
    </row>
    <row r="1155" spans="1:17" hidden="1" x14ac:dyDescent="0.25">
      <c r="A1155" t="str">
        <f>Koond_kulud!A1202</f>
        <v>10</v>
      </c>
      <c r="B1155" t="str">
        <f>Koond_kulud!B1202</f>
        <v xml:space="preserve">1040001         </v>
      </c>
      <c r="C1155" t="str">
        <f>Koond_kulud!C1202</f>
        <v xml:space="preserve"> Vinni Perekodu</v>
      </c>
      <c r="D1155" t="str">
        <f>Koond_kulud!D1202</f>
        <v>Laste ja noorte sotsiaalhoolekande asutused</v>
      </c>
      <c r="E1155" t="str">
        <f>Koond_kulud!E1202</f>
        <v>Sotsiaalne kaitse</v>
      </c>
      <c r="F1155" t="str">
        <f>Koond_kulud!F1202</f>
        <v>Vinni Perekodu</v>
      </c>
      <c r="G1155" t="str">
        <f>Koond_kulud!G1202</f>
        <v>mobiilkõned</v>
      </c>
      <c r="H1155">
        <f>Koond_kulud!H1202</f>
        <v>420</v>
      </c>
      <c r="I1155">
        <f>Koond_kulud!I1202</f>
        <v>0</v>
      </c>
      <c r="J1155">
        <f>Koond_kulud!J1202</f>
        <v>5500</v>
      </c>
      <c r="K1155" t="str">
        <f>Koond_kulud!K1202</f>
        <v>Administreerimiskulud</v>
      </c>
      <c r="L1155">
        <f>Koond_kulud!L1202</f>
        <v>55</v>
      </c>
      <c r="M1155" t="str">
        <f>Koond_kulud!M1202</f>
        <v>55</v>
      </c>
      <c r="N1155" t="str">
        <f>Koond_kulud!N1202</f>
        <v>Muud tegevuskulud</v>
      </c>
      <c r="O1155" t="str">
        <f>Koond_kulud!O1202</f>
        <v>Majandamiskulud</v>
      </c>
      <c r="P1155" t="str">
        <f>Koond_kulud!P1202</f>
        <v>Põhitegevuse kulu</v>
      </c>
      <c r="Q1155">
        <f>Koond_kulud!Q1202</f>
        <v>0</v>
      </c>
    </row>
    <row r="1156" spans="1:17" hidden="1" x14ac:dyDescent="0.25">
      <c r="A1156" t="str">
        <f>Koond_kulud!A1203</f>
        <v>10</v>
      </c>
      <c r="B1156" t="str">
        <f>Koond_kulud!B1203</f>
        <v xml:space="preserve">1040001         </v>
      </c>
      <c r="C1156" t="str">
        <f>Koond_kulud!C1203</f>
        <v xml:space="preserve"> Vinni Perekodu</v>
      </c>
      <c r="D1156" t="str">
        <f>Koond_kulud!D1203</f>
        <v>Laste ja noorte sotsiaalhoolekande asutused</v>
      </c>
      <c r="E1156" t="str">
        <f>Koond_kulud!E1203</f>
        <v>Sotsiaalne kaitse</v>
      </c>
      <c r="F1156" t="str">
        <f>Koond_kulud!F1203</f>
        <v>Vinni Perekodu</v>
      </c>
      <c r="G1156" t="str">
        <f>Koond_kulud!G1203</f>
        <v>koolituste plaan</v>
      </c>
      <c r="H1156">
        <f>Koond_kulud!H1203</f>
        <v>2500</v>
      </c>
      <c r="I1156">
        <f>Koond_kulud!I1203</f>
        <v>0</v>
      </c>
      <c r="J1156">
        <f>Koond_kulud!J1203</f>
        <v>5504</v>
      </c>
      <c r="K1156" t="str">
        <f>Koond_kulud!K1203</f>
        <v>Koolituskulud</v>
      </c>
      <c r="L1156">
        <f>Koond_kulud!L1203</f>
        <v>55</v>
      </c>
      <c r="M1156" t="str">
        <f>Koond_kulud!M1203</f>
        <v>55</v>
      </c>
      <c r="N1156" t="str">
        <f>Koond_kulud!N1203</f>
        <v>Muud tegevuskulud</v>
      </c>
      <c r="O1156" t="str">
        <f>Koond_kulud!O1203</f>
        <v>Majandamiskulud</v>
      </c>
      <c r="P1156" t="str">
        <f>Koond_kulud!P1203</f>
        <v>Põhitegevuse kulu</v>
      </c>
      <c r="Q1156">
        <f>Koond_kulud!Q1203</f>
        <v>0</v>
      </c>
    </row>
    <row r="1157" spans="1:17" hidden="1" x14ac:dyDescent="0.25">
      <c r="A1157" t="str">
        <f>Koond_kulud!A1204</f>
        <v>10</v>
      </c>
      <c r="B1157" t="str">
        <f>Koond_kulud!B1204</f>
        <v xml:space="preserve">1040001         </v>
      </c>
      <c r="C1157" t="str">
        <f>Koond_kulud!C1204</f>
        <v xml:space="preserve"> Vinni Perekodu</v>
      </c>
      <c r="D1157" t="str">
        <f>Koond_kulud!D1204</f>
        <v>Laste ja noorte sotsiaalhoolekande asutused</v>
      </c>
      <c r="E1157" t="str">
        <f>Koond_kulud!E1204</f>
        <v>Sotsiaalne kaitse</v>
      </c>
      <c r="F1157" t="str">
        <f>Koond_kulud!F1204</f>
        <v>Vinni Perekodu</v>
      </c>
      <c r="G1157" t="str">
        <f>Koond_kulud!G1204</f>
        <v>liising, kasko</v>
      </c>
      <c r="H1157">
        <f>Koond_kulud!H1204</f>
        <v>11200</v>
      </c>
      <c r="I1157">
        <f>Koond_kulud!I1204</f>
        <v>0</v>
      </c>
      <c r="J1157">
        <f>Koond_kulud!J1204</f>
        <v>5513</v>
      </c>
      <c r="K1157" t="str">
        <f>Koond_kulud!K1204</f>
        <v>Sõidukite ülalpidamise kulud</v>
      </c>
      <c r="L1157">
        <f>Koond_kulud!L1204</f>
        <v>55</v>
      </c>
      <c r="M1157" t="str">
        <f>Koond_kulud!M1204</f>
        <v>55</v>
      </c>
      <c r="N1157" t="str">
        <f>Koond_kulud!N1204</f>
        <v>Muud tegevuskulud</v>
      </c>
      <c r="O1157" t="str">
        <f>Koond_kulud!O1204</f>
        <v>Majandamiskulud</v>
      </c>
      <c r="P1157" t="str">
        <f>Koond_kulud!P1204</f>
        <v>Põhitegevuse kulu</v>
      </c>
      <c r="Q1157">
        <f>Koond_kulud!Q1204</f>
        <v>0</v>
      </c>
    </row>
    <row r="1158" spans="1:17" hidden="1" x14ac:dyDescent="0.25">
      <c r="A1158" t="str">
        <f>Koond_kulud!A1205</f>
        <v>10</v>
      </c>
      <c r="B1158" t="str">
        <f>Koond_kulud!B1205</f>
        <v xml:space="preserve">1040001         </v>
      </c>
      <c r="C1158" t="str">
        <f>Koond_kulud!C1205</f>
        <v xml:space="preserve"> Vinni Perekodu</v>
      </c>
      <c r="D1158" t="str">
        <f>Koond_kulud!D1205</f>
        <v>Laste ja noorte sotsiaalhoolekande asutused</v>
      </c>
      <c r="E1158" t="str">
        <f>Koond_kulud!E1205</f>
        <v>Sotsiaalne kaitse</v>
      </c>
      <c r="F1158" t="str">
        <f>Koond_kulud!F1205</f>
        <v>Vinni Perekodu</v>
      </c>
      <c r="G1158" t="str">
        <f>Koond_kulud!G1205</f>
        <v>kütus</v>
      </c>
      <c r="H1158">
        <f>Koond_kulud!H1205</f>
        <v>2800</v>
      </c>
      <c r="I1158">
        <f>Koond_kulud!I1205</f>
        <v>0</v>
      </c>
      <c r="J1158">
        <f>Koond_kulud!J1205</f>
        <v>5513</v>
      </c>
      <c r="K1158" t="str">
        <f>Koond_kulud!K1205</f>
        <v>Sõidukite ülalpidamise kulud</v>
      </c>
      <c r="L1158">
        <f>Koond_kulud!L1205</f>
        <v>55</v>
      </c>
      <c r="M1158" t="str">
        <f>Koond_kulud!M1205</f>
        <v>55</v>
      </c>
      <c r="N1158" t="str">
        <f>Koond_kulud!N1205</f>
        <v>Muud tegevuskulud</v>
      </c>
      <c r="O1158" t="str">
        <f>Koond_kulud!O1205</f>
        <v>Majandamiskulud</v>
      </c>
      <c r="P1158" t="str">
        <f>Koond_kulud!P1205</f>
        <v>Põhitegevuse kulu</v>
      </c>
      <c r="Q1158">
        <f>Koond_kulud!Q1205</f>
        <v>0</v>
      </c>
    </row>
    <row r="1159" spans="1:17" hidden="1" x14ac:dyDescent="0.25">
      <c r="A1159" t="str">
        <f>Koond_kulud!A1206</f>
        <v>10</v>
      </c>
      <c r="B1159" t="str">
        <f>Koond_kulud!B1206</f>
        <v xml:space="preserve">1040001         </v>
      </c>
      <c r="C1159" t="str">
        <f>Koond_kulud!C1206</f>
        <v xml:space="preserve"> Vinni Perekodu</v>
      </c>
      <c r="D1159" t="str">
        <f>Koond_kulud!D1206</f>
        <v>Laste ja noorte sotsiaalhoolekande asutused</v>
      </c>
      <c r="E1159" t="str">
        <f>Koond_kulud!E1206</f>
        <v>Sotsiaalne kaitse</v>
      </c>
      <c r="F1159" t="str">
        <f>Koond_kulud!F1206</f>
        <v>Vinni Perekodu</v>
      </c>
      <c r="G1159" t="str">
        <f>Koond_kulud!G1206</f>
        <v xml:space="preserve">Inventar </v>
      </c>
      <c r="H1159">
        <f>Koond_kulud!H1206</f>
        <v>3000</v>
      </c>
      <c r="I1159">
        <f>Koond_kulud!I1206</f>
        <v>0</v>
      </c>
      <c r="J1159">
        <f>Koond_kulud!J1206</f>
        <v>5515</v>
      </c>
      <c r="K1159" t="str">
        <f>Koond_kulud!K1206</f>
        <v>Inventari kulud, v.a infotehnoloogia ja kaitseotstarbelised kulud</v>
      </c>
      <c r="L1159">
        <f>Koond_kulud!L1206</f>
        <v>55</v>
      </c>
      <c r="M1159" t="str">
        <f>Koond_kulud!M1206</f>
        <v>55</v>
      </c>
      <c r="N1159" t="str">
        <f>Koond_kulud!N1206</f>
        <v>Muud tegevuskulud</v>
      </c>
      <c r="O1159" t="str">
        <f>Koond_kulud!O1206</f>
        <v>Majandamiskulud</v>
      </c>
      <c r="P1159" t="str">
        <f>Koond_kulud!P1206</f>
        <v>Põhitegevuse kulu</v>
      </c>
      <c r="Q1159">
        <f>Koond_kulud!Q1206</f>
        <v>0</v>
      </c>
    </row>
    <row r="1160" spans="1:17" hidden="1" x14ac:dyDescent="0.25">
      <c r="A1160" t="str">
        <f>Koond_kulud!A1207</f>
        <v>10</v>
      </c>
      <c r="B1160" t="str">
        <f>Koond_kulud!B1207</f>
        <v xml:space="preserve">1040001         </v>
      </c>
      <c r="C1160" t="str">
        <f>Koond_kulud!C1207</f>
        <v xml:space="preserve"> Vinni Perekodu</v>
      </c>
      <c r="D1160" t="str">
        <f>Koond_kulud!D1207</f>
        <v>Laste ja noorte sotsiaalhoolekande asutused</v>
      </c>
      <c r="E1160" t="str">
        <f>Koond_kulud!E1207</f>
        <v>Sotsiaalne kaitse</v>
      </c>
      <c r="F1160" t="str">
        <f>Koond_kulud!F1207</f>
        <v>Vinni Perekodu</v>
      </c>
      <c r="G1160" t="str">
        <f>Koond_kulud!G1207</f>
        <v>riided , jalanõud</v>
      </c>
      <c r="H1160">
        <f>Koond_kulud!H1207</f>
        <v>13920</v>
      </c>
      <c r="I1160" t="str">
        <f>Koond_kulud!I1207</f>
        <v>29 last x 40€kuusx 12 kuud</v>
      </c>
      <c r="J1160">
        <f>Koond_kulud!J1207</f>
        <v>5515</v>
      </c>
      <c r="K1160" t="str">
        <f>Koond_kulud!K1207</f>
        <v>Inventari kulud, v.a infotehnoloogia ja kaitseotstarbelised kulud</v>
      </c>
      <c r="L1160">
        <f>Koond_kulud!L1207</f>
        <v>55</v>
      </c>
      <c r="M1160" t="str">
        <f>Koond_kulud!M1207</f>
        <v>55</v>
      </c>
      <c r="N1160" t="str">
        <f>Koond_kulud!N1207</f>
        <v>Muud tegevuskulud</v>
      </c>
      <c r="O1160" t="str">
        <f>Koond_kulud!O1207</f>
        <v>Majandamiskulud</v>
      </c>
      <c r="P1160" t="str">
        <f>Koond_kulud!P1207</f>
        <v>Põhitegevuse kulu</v>
      </c>
      <c r="Q1160">
        <f>Koond_kulud!Q1207</f>
        <v>0</v>
      </c>
    </row>
    <row r="1161" spans="1:17" hidden="1" x14ac:dyDescent="0.25">
      <c r="A1161" t="str">
        <f>Koond_kulud!A1208</f>
        <v>10</v>
      </c>
      <c r="B1161" t="str">
        <f>Koond_kulud!B1208</f>
        <v xml:space="preserve">1040001         </v>
      </c>
      <c r="C1161" t="str">
        <f>Koond_kulud!C1208</f>
        <v xml:space="preserve"> Vinni Perekodu</v>
      </c>
      <c r="D1161" t="str">
        <f>Koond_kulud!D1208</f>
        <v>Laste ja noorte sotsiaalhoolekande asutused</v>
      </c>
      <c r="E1161" t="str">
        <f>Koond_kulud!E1208</f>
        <v>Sotsiaalne kaitse</v>
      </c>
      <c r="F1161" t="str">
        <f>Koond_kulud!F1208</f>
        <v>Vinni Perekodu</v>
      </c>
      <c r="G1161" t="str">
        <f>Koond_kulud!G1208</f>
        <v>toitlustamine kodus</v>
      </c>
      <c r="H1161">
        <f>Koond_kulud!H1208</f>
        <v>42340</v>
      </c>
      <c r="I1161" t="str">
        <f>Koond_kulud!I1208</f>
        <v>29 last x 4 € päev x 365 päeva</v>
      </c>
      <c r="J1161">
        <f>Koond_kulud!J1208</f>
        <v>5521</v>
      </c>
      <c r="K1161" t="str">
        <f>Koond_kulud!K1208</f>
        <v>Toiduained ja toitlustusteenused</v>
      </c>
      <c r="L1161">
        <f>Koond_kulud!L1208</f>
        <v>55</v>
      </c>
      <c r="M1161" t="str">
        <f>Koond_kulud!M1208</f>
        <v>55</v>
      </c>
      <c r="N1161" t="str">
        <f>Koond_kulud!N1208</f>
        <v>Muud tegevuskulud</v>
      </c>
      <c r="O1161" t="str">
        <f>Koond_kulud!O1208</f>
        <v>Majandamiskulud</v>
      </c>
      <c r="P1161" t="str">
        <f>Koond_kulud!P1208</f>
        <v>Põhitegevuse kulu</v>
      </c>
      <c r="Q1161">
        <f>Koond_kulud!Q1208</f>
        <v>0</v>
      </c>
    </row>
    <row r="1162" spans="1:17" hidden="1" x14ac:dyDescent="0.25">
      <c r="A1162" t="str">
        <f>Koond_kulud!A1209</f>
        <v>10</v>
      </c>
      <c r="B1162" t="str">
        <f>Koond_kulud!B1209</f>
        <v xml:space="preserve">1040001         </v>
      </c>
      <c r="C1162" t="str">
        <f>Koond_kulud!C1209</f>
        <v xml:space="preserve"> Vinni Perekodu</v>
      </c>
      <c r="D1162" t="str">
        <f>Koond_kulud!D1209</f>
        <v>Laste ja noorte sotsiaalhoolekande asutused</v>
      </c>
      <c r="E1162" t="str">
        <f>Koond_kulud!E1209</f>
        <v>Sotsiaalne kaitse</v>
      </c>
      <c r="F1162" t="str">
        <f>Koond_kulud!F1209</f>
        <v>Vinni Perekodu</v>
      </c>
      <c r="G1162" t="str">
        <f>Koond_kulud!G1209</f>
        <v>lasteaed, kaugel õppijad, väljas</v>
      </c>
      <c r="H1162">
        <f>Koond_kulud!H1209</f>
        <v>1500</v>
      </c>
      <c r="I1162">
        <f>Koond_kulud!I1209</f>
        <v>0</v>
      </c>
      <c r="J1162">
        <f>Koond_kulud!J1209</f>
        <v>5521</v>
      </c>
      <c r="K1162" t="str">
        <f>Koond_kulud!K1209</f>
        <v>Toiduained ja toitlustusteenused</v>
      </c>
      <c r="L1162">
        <f>Koond_kulud!L1209</f>
        <v>55</v>
      </c>
      <c r="M1162" t="str">
        <f>Koond_kulud!M1209</f>
        <v>55</v>
      </c>
      <c r="N1162" t="str">
        <f>Koond_kulud!N1209</f>
        <v>Muud tegevuskulud</v>
      </c>
      <c r="O1162" t="str">
        <f>Koond_kulud!O1209</f>
        <v>Majandamiskulud</v>
      </c>
      <c r="P1162" t="str">
        <f>Koond_kulud!P1209</f>
        <v>Põhitegevuse kulu</v>
      </c>
      <c r="Q1162">
        <f>Koond_kulud!Q1209</f>
        <v>0</v>
      </c>
    </row>
    <row r="1163" spans="1:17" hidden="1" x14ac:dyDescent="0.25">
      <c r="A1163" t="str">
        <f>Koond_kulud!A1210</f>
        <v>10</v>
      </c>
      <c r="B1163" t="str">
        <f>Koond_kulud!B1210</f>
        <v xml:space="preserve">1040001         </v>
      </c>
      <c r="C1163" t="str">
        <f>Koond_kulud!C1210</f>
        <v xml:space="preserve"> Vinni Perekodu</v>
      </c>
      <c r="D1163" t="str">
        <f>Koond_kulud!D1210</f>
        <v>Laste ja noorte sotsiaalhoolekande asutused</v>
      </c>
      <c r="E1163" t="str">
        <f>Koond_kulud!E1210</f>
        <v>Sotsiaalne kaitse</v>
      </c>
      <c r="F1163" t="str">
        <f>Koond_kulud!F1210</f>
        <v>Vinni Perekodu</v>
      </c>
      <c r="G1163" t="str">
        <f>Koond_kulud!G1210</f>
        <v>ravimid, hügieen</v>
      </c>
      <c r="H1163">
        <f>Koond_kulud!H1210</f>
        <v>6200</v>
      </c>
      <c r="I1163">
        <f>Koond_kulud!I1210</f>
        <v>0</v>
      </c>
      <c r="J1163">
        <f>Koond_kulud!J1210</f>
        <v>5522</v>
      </c>
      <c r="K1163" t="str">
        <f>Koond_kulud!K1210</f>
        <v>Meditsiinikulud ja hügieenitarbed</v>
      </c>
      <c r="L1163">
        <f>Koond_kulud!L1210</f>
        <v>55</v>
      </c>
      <c r="M1163" t="str">
        <f>Koond_kulud!M1210</f>
        <v>55</v>
      </c>
      <c r="N1163" t="str">
        <f>Koond_kulud!N1210</f>
        <v>Muud tegevuskulud</v>
      </c>
      <c r="O1163" t="str">
        <f>Koond_kulud!O1210</f>
        <v>Majandamiskulud</v>
      </c>
      <c r="P1163" t="str">
        <f>Koond_kulud!P1210</f>
        <v>Põhitegevuse kulu</v>
      </c>
      <c r="Q1163">
        <f>Koond_kulud!Q1210</f>
        <v>0</v>
      </c>
    </row>
    <row r="1164" spans="1:17" hidden="1" x14ac:dyDescent="0.25">
      <c r="A1164" t="str">
        <f>Koond_kulud!A1211</f>
        <v>10</v>
      </c>
      <c r="B1164" t="str">
        <f>Koond_kulud!B1211</f>
        <v xml:space="preserve">1040001         </v>
      </c>
      <c r="C1164" t="str">
        <f>Koond_kulud!C1211</f>
        <v xml:space="preserve"> Vinni Perekodu</v>
      </c>
      <c r="D1164" t="str">
        <f>Koond_kulud!D1211</f>
        <v>Laste ja noorte sotsiaalhoolekande asutused</v>
      </c>
      <c r="E1164" t="str">
        <f>Koond_kulud!E1211</f>
        <v>Sotsiaalne kaitse</v>
      </c>
      <c r="F1164" t="str">
        <f>Koond_kulud!F1211</f>
        <v>Vinni Perekodu</v>
      </c>
      <c r="G1164" t="str">
        <f>Koond_kulud!G1211</f>
        <v>eriarstide vastuvõtt</v>
      </c>
      <c r="H1164">
        <f>Koond_kulud!H1211</f>
        <v>1040</v>
      </c>
      <c r="I1164">
        <f>Koond_kulud!I1211</f>
        <v>0</v>
      </c>
      <c r="J1164">
        <f>Koond_kulud!J1211</f>
        <v>5522</v>
      </c>
      <c r="K1164" t="str">
        <f>Koond_kulud!K1211</f>
        <v>Meditsiinikulud ja hügieenitarbed</v>
      </c>
      <c r="L1164">
        <f>Koond_kulud!L1211</f>
        <v>55</v>
      </c>
      <c r="M1164" t="str">
        <f>Koond_kulud!M1211</f>
        <v>55</v>
      </c>
      <c r="N1164" t="str">
        <f>Koond_kulud!N1211</f>
        <v>Muud tegevuskulud</v>
      </c>
      <c r="O1164" t="str">
        <f>Koond_kulud!O1211</f>
        <v>Majandamiskulud</v>
      </c>
      <c r="P1164" t="str">
        <f>Koond_kulud!P1211</f>
        <v>Põhitegevuse kulu</v>
      </c>
      <c r="Q1164">
        <f>Koond_kulud!Q1211</f>
        <v>0</v>
      </c>
    </row>
    <row r="1165" spans="1:17" hidden="1" x14ac:dyDescent="0.25">
      <c r="A1165" t="str">
        <f>Koond_kulud!A1212</f>
        <v>10</v>
      </c>
      <c r="B1165" t="str">
        <f>Koond_kulud!B1212</f>
        <v xml:space="preserve">1040001         </v>
      </c>
      <c r="C1165" t="str">
        <f>Koond_kulud!C1212</f>
        <v xml:space="preserve"> Vinni Perekodu</v>
      </c>
      <c r="D1165" t="str">
        <f>Koond_kulud!D1212</f>
        <v>Laste ja noorte sotsiaalhoolekande asutused</v>
      </c>
      <c r="E1165" t="str">
        <f>Koond_kulud!E1212</f>
        <v>Sotsiaalne kaitse</v>
      </c>
      <c r="F1165" t="str">
        <f>Koond_kulud!F1212</f>
        <v>Vinni Perekodu</v>
      </c>
      <c r="G1165" t="str">
        <f>Koond_kulud!G1212</f>
        <v xml:space="preserve">kohatasu lasteaed </v>
      </c>
      <c r="H1165">
        <f>Koond_kulud!H1212</f>
        <v>960</v>
      </c>
      <c r="I1165">
        <f>Koond_kulud!I1212</f>
        <v>0</v>
      </c>
      <c r="J1165">
        <f>Koond_kulud!J1212</f>
        <v>5524</v>
      </c>
      <c r="K1165" t="str">
        <f>Koond_kulud!K1212</f>
        <v>Õppevahendid</v>
      </c>
      <c r="L1165">
        <f>Koond_kulud!L1212</f>
        <v>55</v>
      </c>
      <c r="M1165" t="str">
        <f>Koond_kulud!M1212</f>
        <v>55</v>
      </c>
      <c r="N1165" t="str">
        <f>Koond_kulud!N1212</f>
        <v>Muud tegevuskulud</v>
      </c>
      <c r="O1165" t="str">
        <f>Koond_kulud!O1212</f>
        <v>Majandamiskulud</v>
      </c>
      <c r="P1165" t="str">
        <f>Koond_kulud!P1212</f>
        <v>Põhitegevuse kulu</v>
      </c>
      <c r="Q1165">
        <f>Koond_kulud!Q1212</f>
        <v>0</v>
      </c>
    </row>
    <row r="1166" spans="1:17" hidden="1" x14ac:dyDescent="0.25">
      <c r="A1166" t="str">
        <f>Koond_kulud!A1213</f>
        <v>10</v>
      </c>
      <c r="B1166" t="str">
        <f>Koond_kulud!B1213</f>
        <v xml:space="preserve">1040001         </v>
      </c>
      <c r="C1166" t="str">
        <f>Koond_kulud!C1213</f>
        <v xml:space="preserve"> Vinni Perekodu</v>
      </c>
      <c r="D1166" t="str">
        <f>Koond_kulud!D1213</f>
        <v>Laste ja noorte sotsiaalhoolekande asutused</v>
      </c>
      <c r="E1166" t="str">
        <f>Koond_kulud!E1213</f>
        <v>Sotsiaalne kaitse</v>
      </c>
      <c r="F1166" t="str">
        <f>Koond_kulud!F1213</f>
        <v>Vinni Perekodu</v>
      </c>
      <c r="G1166" t="str">
        <f>Koond_kulud!G1213</f>
        <v>sünnipäev, jõulukink</v>
      </c>
      <c r="H1166">
        <f>Koond_kulud!H1213</f>
        <v>200</v>
      </c>
      <c r="I1166">
        <f>Koond_kulud!I1213</f>
        <v>0</v>
      </c>
      <c r="J1166">
        <f>Koond_kulud!J1213</f>
        <v>5525</v>
      </c>
      <c r="K1166" t="str">
        <f>Koond_kulud!K1213</f>
        <v>Kommunikatsiooni-, kultuuri- ja vaba aja sisustamise kulud</v>
      </c>
      <c r="L1166">
        <f>Koond_kulud!L1213</f>
        <v>55</v>
      </c>
      <c r="M1166" t="str">
        <f>Koond_kulud!M1213</f>
        <v>55</v>
      </c>
      <c r="N1166" t="str">
        <f>Koond_kulud!N1213</f>
        <v>Muud tegevuskulud</v>
      </c>
      <c r="O1166" t="str">
        <f>Koond_kulud!O1213</f>
        <v>Majandamiskulud</v>
      </c>
      <c r="P1166" t="str">
        <f>Koond_kulud!P1213</f>
        <v>Põhitegevuse kulu</v>
      </c>
      <c r="Q1166">
        <f>Koond_kulud!Q1213</f>
        <v>0</v>
      </c>
    </row>
    <row r="1167" spans="1:17" hidden="1" x14ac:dyDescent="0.25">
      <c r="A1167" t="str">
        <f>Koond_kulud!A1214</f>
        <v>10</v>
      </c>
      <c r="B1167" t="str">
        <f>Koond_kulud!B1214</f>
        <v xml:space="preserve">1040001         </v>
      </c>
      <c r="C1167" t="str">
        <f>Koond_kulud!C1214</f>
        <v xml:space="preserve"> Vinni Perekodu</v>
      </c>
      <c r="D1167" t="str">
        <f>Koond_kulud!D1214</f>
        <v>Laste ja noorte sotsiaalhoolekande asutused</v>
      </c>
      <c r="E1167" t="str">
        <f>Koond_kulud!E1214</f>
        <v>Sotsiaalne kaitse</v>
      </c>
      <c r="F1167" t="str">
        <f>Koond_kulud!F1214</f>
        <v>Vinni Perekodu</v>
      </c>
      <c r="G1167" t="str">
        <f>Koond_kulud!G1214</f>
        <v>koolide väljasõidud</v>
      </c>
      <c r="H1167">
        <f>Koond_kulud!H1214</f>
        <v>1500</v>
      </c>
      <c r="I1167">
        <f>Koond_kulud!I1214</f>
        <v>0</v>
      </c>
      <c r="J1167">
        <f>Koond_kulud!J1214</f>
        <v>5525</v>
      </c>
      <c r="K1167" t="str">
        <f>Koond_kulud!K1214</f>
        <v>Kommunikatsiooni-, kultuuri- ja vaba aja sisustamise kulud</v>
      </c>
      <c r="L1167">
        <f>Koond_kulud!L1214</f>
        <v>55</v>
      </c>
      <c r="M1167" t="str">
        <f>Koond_kulud!M1214</f>
        <v>55</v>
      </c>
      <c r="N1167" t="str">
        <f>Koond_kulud!N1214</f>
        <v>Muud tegevuskulud</v>
      </c>
      <c r="O1167" t="str">
        <f>Koond_kulud!O1214</f>
        <v>Majandamiskulud</v>
      </c>
      <c r="P1167" t="str">
        <f>Koond_kulud!P1214</f>
        <v>Põhitegevuse kulu</v>
      </c>
      <c r="Q1167">
        <f>Koond_kulud!Q1214</f>
        <v>0</v>
      </c>
    </row>
    <row r="1168" spans="1:17" hidden="1" x14ac:dyDescent="0.25">
      <c r="A1168" t="str">
        <f>Koond_kulud!A1215</f>
        <v>10</v>
      </c>
      <c r="B1168" t="str">
        <f>Koond_kulud!B1215</f>
        <v xml:space="preserve">1040001         </v>
      </c>
      <c r="C1168" t="str">
        <f>Koond_kulud!C1215</f>
        <v xml:space="preserve"> Vinni Perekodu</v>
      </c>
      <c r="D1168" t="str">
        <f>Koond_kulud!D1215</f>
        <v>Laste ja noorte sotsiaalhoolekande asutused</v>
      </c>
      <c r="E1168" t="str">
        <f>Koond_kulud!E1215</f>
        <v>Sotsiaalne kaitse</v>
      </c>
      <c r="F1168" t="str">
        <f>Koond_kulud!F1215</f>
        <v>Vinni Perekodu</v>
      </c>
      <c r="G1168" t="str">
        <f>Koond_kulud!G1215</f>
        <v>trenn/hobi</v>
      </c>
      <c r="H1168">
        <f>Koond_kulud!H1215</f>
        <v>1540</v>
      </c>
      <c r="I1168">
        <f>Koond_kulud!I1215</f>
        <v>0</v>
      </c>
      <c r="J1168">
        <f>Koond_kulud!J1215</f>
        <v>5525</v>
      </c>
      <c r="K1168" t="str">
        <f>Koond_kulud!K1215</f>
        <v>Kommunikatsiooni-, kultuuri- ja vaba aja sisustamise kulud</v>
      </c>
      <c r="L1168">
        <f>Koond_kulud!L1215</f>
        <v>55</v>
      </c>
      <c r="M1168" t="str">
        <f>Koond_kulud!M1215</f>
        <v>55</v>
      </c>
      <c r="N1168" t="str">
        <f>Koond_kulud!N1215</f>
        <v>Muud tegevuskulud</v>
      </c>
      <c r="O1168" t="str">
        <f>Koond_kulud!O1215</f>
        <v>Majandamiskulud</v>
      </c>
      <c r="P1168" t="str">
        <f>Koond_kulud!P1215</f>
        <v>Põhitegevuse kulu</v>
      </c>
      <c r="Q1168">
        <f>Koond_kulud!Q1215</f>
        <v>0</v>
      </c>
    </row>
    <row r="1169" spans="1:17" hidden="1" x14ac:dyDescent="0.25">
      <c r="A1169" t="str">
        <f>Koond_kulud!A1216</f>
        <v>10</v>
      </c>
      <c r="B1169" t="str">
        <f>Koond_kulud!B1216</f>
        <v xml:space="preserve">1040001         </v>
      </c>
      <c r="C1169" t="str">
        <f>Koond_kulud!C1216</f>
        <v xml:space="preserve"> Vinni Perekodu</v>
      </c>
      <c r="D1169" t="str">
        <f>Koond_kulud!D1216</f>
        <v>Laste ja noorte sotsiaalhoolekande asutused</v>
      </c>
      <c r="E1169" t="str">
        <f>Koond_kulud!E1216</f>
        <v>Sotsiaalne kaitse</v>
      </c>
      <c r="F1169" t="str">
        <f>Koond_kulud!F1216</f>
        <v>Vinni Perekodu</v>
      </c>
      <c r="G1169" t="str">
        <f>Koond_kulud!G1216</f>
        <v>koolitarbed (sh eririietus, ....</v>
      </c>
      <c r="H1169">
        <f>Koond_kulud!H1216</f>
        <v>5220</v>
      </c>
      <c r="I1169" t="str">
        <f>Koond_kulud!I1216</f>
        <v>29 last  x 15 € x 12 kuud</v>
      </c>
      <c r="J1169">
        <f>Koond_kulud!J1216</f>
        <v>5523</v>
      </c>
      <c r="K1169" t="str">
        <f>Koond_kulud!K1216</f>
        <v>Teavikud ja kunstiesemed</v>
      </c>
      <c r="L1169">
        <f>Koond_kulud!L1216</f>
        <v>55</v>
      </c>
      <c r="M1169" t="str">
        <f>Koond_kulud!M1216</f>
        <v>55</v>
      </c>
      <c r="N1169" t="str">
        <f>Koond_kulud!N1216</f>
        <v>Muud tegevuskulud</v>
      </c>
      <c r="O1169" t="str">
        <f>Koond_kulud!O1216</f>
        <v>Majandamiskulud</v>
      </c>
      <c r="P1169" t="str">
        <f>Koond_kulud!P1216</f>
        <v>Põhitegevuse kulu</v>
      </c>
      <c r="Q1169">
        <f>Koond_kulud!Q1216</f>
        <v>0</v>
      </c>
    </row>
    <row r="1170" spans="1:17" hidden="1" x14ac:dyDescent="0.25">
      <c r="A1170" t="str">
        <f>Koond_kulud!A1217</f>
        <v>10</v>
      </c>
      <c r="B1170" t="str">
        <f>Koond_kulud!B1217</f>
        <v xml:space="preserve">1040001         </v>
      </c>
      <c r="C1170" t="str">
        <f>Koond_kulud!C1217</f>
        <v xml:space="preserve"> Vinni Perekodu</v>
      </c>
      <c r="D1170" t="str">
        <f>Koond_kulud!D1217</f>
        <v>Laste ja noorte sotsiaalhoolekande asutused</v>
      </c>
      <c r="E1170" t="str">
        <f>Koond_kulud!E1217</f>
        <v>Sotsiaalne kaitse</v>
      </c>
      <c r="F1170" t="str">
        <f>Koond_kulud!F1217</f>
        <v>Vinni Perekodu</v>
      </c>
      <c r="G1170" t="str">
        <f>Koond_kulud!G1217</f>
        <v>2019. aasta eelarve prognoositav jääk</v>
      </c>
      <c r="H1170">
        <f>Koond_kulud!H1217</f>
        <v>-21410.4399999999</v>
      </c>
      <c r="I1170">
        <f>Koond_kulud!I1217</f>
        <v>0</v>
      </c>
      <c r="J1170">
        <f>Koond_kulud!J1217</f>
        <v>5521</v>
      </c>
      <c r="K1170" t="str">
        <f>Koond_kulud!K1217</f>
        <v>Toiduained ja toitlustusteenused</v>
      </c>
      <c r="L1170">
        <f>Koond_kulud!L1217</f>
        <v>55</v>
      </c>
      <c r="M1170" t="str">
        <f>Koond_kulud!M1217</f>
        <v>55</v>
      </c>
      <c r="N1170" t="str">
        <f>Koond_kulud!N1217</f>
        <v>Muud tegevuskulud</v>
      </c>
      <c r="O1170" t="str">
        <f>Koond_kulud!O1217</f>
        <v>Majandamiskulud</v>
      </c>
      <c r="P1170" t="str">
        <f>Koond_kulud!P1217</f>
        <v>Põhitegevuse kulu</v>
      </c>
      <c r="Q1170">
        <f>Koond_kulud!Q1217</f>
        <v>0</v>
      </c>
    </row>
    <row r="1171" spans="1:17" hidden="1" x14ac:dyDescent="0.25">
      <c r="A1171" t="str">
        <f>Koond_kulud!A1219</f>
        <v>10</v>
      </c>
      <c r="B1171" t="str">
        <f>Koond_kulud!B1219</f>
        <v xml:space="preserve">1040001         </v>
      </c>
      <c r="C1171" t="str">
        <f>Koond_kulud!C1219</f>
        <v xml:space="preserve"> Vinni Perekodu</v>
      </c>
      <c r="D1171" t="str">
        <f>Koond_kulud!D1219</f>
        <v>Laste ja noorte sotsiaalhoolekande asutused</v>
      </c>
      <c r="E1171" t="str">
        <f>Koond_kulud!E1219</f>
        <v>Sotsiaalne kaitse</v>
      </c>
      <c r="F1171" t="str">
        <f>Koond_kulud!F1219</f>
        <v>Vinni Perekodu</v>
      </c>
      <c r="G1171" t="str">
        <f>Koond_kulud!G1219</f>
        <v>Taskurahad</v>
      </c>
      <c r="H1171">
        <f>Koond_kulud!H1219</f>
        <v>480</v>
      </c>
      <c r="I1171" t="str">
        <f>Koond_kulud!I1219</f>
        <v>Eelkooliealised</v>
      </c>
      <c r="J1171">
        <f>Koond_kulud!J1219</f>
        <v>413899</v>
      </c>
      <c r="K1171" t="str">
        <f>Koond_kulud!K1219</f>
        <v>Muud sotsiaalabitoetused ja hüvitised</v>
      </c>
      <c r="L1171">
        <f>Koond_kulud!L1219</f>
        <v>413</v>
      </c>
      <c r="M1171" t="str">
        <f>Koond_kulud!M1219</f>
        <v>41</v>
      </c>
      <c r="N1171" t="str">
        <f>Koond_kulud!N1219</f>
        <v>Antavad toetused tegevuskuludeks</v>
      </c>
      <c r="O1171" t="str">
        <f>Koond_kulud!O1219</f>
        <v>Sotsiaalabitoetused ja muud toetused füüsilistele isikutele</v>
      </c>
      <c r="P1171" t="str">
        <f>Koond_kulud!P1219</f>
        <v>Põhitegevuse kulu</v>
      </c>
      <c r="Q1171">
        <f>Koond_kulud!Q1219</f>
        <v>0</v>
      </c>
    </row>
    <row r="1172" spans="1:17" hidden="1" x14ac:dyDescent="0.25">
      <c r="A1172" t="str">
        <f>Koond_kulud!A1220</f>
        <v>10</v>
      </c>
      <c r="B1172" t="str">
        <f>Koond_kulud!B1220</f>
        <v xml:space="preserve">1040001         </v>
      </c>
      <c r="C1172" t="str">
        <f>Koond_kulud!C1220</f>
        <v xml:space="preserve"> Vinni Perekodu</v>
      </c>
      <c r="D1172" t="str">
        <f>Koond_kulud!D1220</f>
        <v>Laste ja noorte sotsiaalhoolekande asutused</v>
      </c>
      <c r="E1172" t="str">
        <f>Koond_kulud!E1220</f>
        <v>Sotsiaalne kaitse</v>
      </c>
      <c r="F1172" t="str">
        <f>Koond_kulud!F1220</f>
        <v>Vinni Perekodu</v>
      </c>
      <c r="G1172" t="str">
        <f>Koond_kulud!G1220</f>
        <v>Taskurahad</v>
      </c>
      <c r="H1172">
        <f>Koond_kulud!H1220</f>
        <v>1980</v>
      </c>
      <c r="I1172" t="str">
        <f>Koond_kulud!I1220</f>
        <v>1-4 klassi lapsed</v>
      </c>
      <c r="J1172">
        <f>Koond_kulud!J1220</f>
        <v>413899</v>
      </c>
      <c r="K1172" t="str">
        <f>Koond_kulud!K1220</f>
        <v>Muud sotsiaalabitoetused ja hüvitised</v>
      </c>
      <c r="L1172">
        <f>Koond_kulud!L1220</f>
        <v>413</v>
      </c>
      <c r="M1172" t="str">
        <f>Koond_kulud!M1220</f>
        <v>41</v>
      </c>
      <c r="N1172" t="str">
        <f>Koond_kulud!N1220</f>
        <v>Antavad toetused tegevuskuludeks</v>
      </c>
      <c r="O1172" t="str">
        <f>Koond_kulud!O1220</f>
        <v>Sotsiaalabitoetused ja muud toetused füüsilistele isikutele</v>
      </c>
      <c r="P1172" t="str">
        <f>Koond_kulud!P1220</f>
        <v>Põhitegevuse kulu</v>
      </c>
      <c r="Q1172">
        <f>Koond_kulud!Q1220</f>
        <v>0</v>
      </c>
    </row>
    <row r="1173" spans="1:17" hidden="1" x14ac:dyDescent="0.25">
      <c r="A1173" t="str">
        <f>Koond_kulud!A1221</f>
        <v>10</v>
      </c>
      <c r="B1173" t="str">
        <f>Koond_kulud!B1221</f>
        <v xml:space="preserve">1040001         </v>
      </c>
      <c r="C1173" t="str">
        <f>Koond_kulud!C1221</f>
        <v xml:space="preserve"> Vinni Perekodu</v>
      </c>
      <c r="D1173" t="str">
        <f>Koond_kulud!D1221</f>
        <v>Laste ja noorte sotsiaalhoolekande asutused</v>
      </c>
      <c r="E1173" t="str">
        <f>Koond_kulud!E1221</f>
        <v>Sotsiaalne kaitse</v>
      </c>
      <c r="F1173" t="str">
        <f>Koond_kulud!F1221</f>
        <v>Vinni Perekodu</v>
      </c>
      <c r="G1173" t="str">
        <f>Koond_kulud!G1221</f>
        <v>Taskurahad</v>
      </c>
      <c r="H1173">
        <f>Koond_kulud!H1221</f>
        <v>3840</v>
      </c>
      <c r="I1173" t="str">
        <f>Koond_kulud!I1221</f>
        <v>5-.. Lapsed</v>
      </c>
      <c r="J1173">
        <f>Koond_kulud!J1221</f>
        <v>413899</v>
      </c>
      <c r="K1173" t="str">
        <f>Koond_kulud!K1221</f>
        <v>Muud sotsiaalabitoetused ja hüvitised</v>
      </c>
      <c r="L1173">
        <f>Koond_kulud!L1221</f>
        <v>413</v>
      </c>
      <c r="M1173" t="str">
        <f>Koond_kulud!M1221</f>
        <v>41</v>
      </c>
      <c r="N1173" t="str">
        <f>Koond_kulud!N1221</f>
        <v>Antavad toetused tegevuskuludeks</v>
      </c>
      <c r="O1173" t="str">
        <f>Koond_kulud!O1221</f>
        <v>Sotsiaalabitoetused ja muud toetused füüsilistele isikutele</v>
      </c>
      <c r="P1173" t="str">
        <f>Koond_kulud!P1221</f>
        <v>Põhitegevuse kulu</v>
      </c>
      <c r="Q1173">
        <f>Koond_kulud!Q1221</f>
        <v>0</v>
      </c>
    </row>
    <row r="1174" spans="1:17" hidden="1" x14ac:dyDescent="0.25">
      <c r="A1174" t="str">
        <f>Koond_kulud!A1222</f>
        <v>10</v>
      </c>
      <c r="B1174" t="str">
        <f>Koond_kulud!B1222</f>
        <v xml:space="preserve">1040001         </v>
      </c>
      <c r="C1174" t="str">
        <f>Koond_kulud!C1222</f>
        <v xml:space="preserve"> Vinni Perekodu</v>
      </c>
      <c r="D1174" t="str">
        <f>Koond_kulud!D1222</f>
        <v>Laste ja noorte sotsiaalhoolekande asutused</v>
      </c>
      <c r="E1174" t="str">
        <f>Koond_kulud!E1222</f>
        <v>Sotsiaalne kaitse</v>
      </c>
      <c r="F1174" t="str">
        <f>Koond_kulud!F1222</f>
        <v>Vinni Perekodu</v>
      </c>
      <c r="G1174" t="str">
        <f>Koond_kulud!G1222</f>
        <v>elekter</v>
      </c>
      <c r="H1174">
        <f>Koond_kulud!H1222</f>
        <v>19000</v>
      </c>
      <c r="I1174">
        <f>Koond_kulud!I1222</f>
        <v>0</v>
      </c>
      <c r="J1174">
        <f>Koond_kulud!J1222</f>
        <v>5511</v>
      </c>
      <c r="K1174" t="str">
        <f>Koond_kulud!K1222</f>
        <v>Kinnistute, hoonete ja ruumide majandamiskulud</v>
      </c>
      <c r="L1174">
        <f>Koond_kulud!L1222</f>
        <v>55</v>
      </c>
      <c r="M1174" t="str">
        <f>Koond_kulud!M1222</f>
        <v>55</v>
      </c>
      <c r="N1174" t="str">
        <f>Koond_kulud!N1222</f>
        <v>Muud tegevuskulud</v>
      </c>
      <c r="O1174" t="str">
        <f>Koond_kulud!O1222</f>
        <v>Majandamiskulud</v>
      </c>
      <c r="P1174" t="str">
        <f>Koond_kulud!P1222</f>
        <v>Põhitegevuse kulu</v>
      </c>
      <c r="Q1174">
        <f>Koond_kulud!Q1222</f>
        <v>0</v>
      </c>
    </row>
    <row r="1175" spans="1:17" hidden="1" x14ac:dyDescent="0.25">
      <c r="A1175" t="str">
        <f>Koond_kulud!A1223</f>
        <v>10</v>
      </c>
      <c r="B1175" t="str">
        <f>Koond_kulud!B1223</f>
        <v xml:space="preserve">1040001         </v>
      </c>
      <c r="C1175" t="str">
        <f>Koond_kulud!C1223</f>
        <v xml:space="preserve"> Vinni Perekodu</v>
      </c>
      <c r="D1175" t="str">
        <f>Koond_kulud!D1223</f>
        <v>Laste ja noorte sotsiaalhoolekande asutused</v>
      </c>
      <c r="E1175" t="str">
        <f>Koond_kulud!E1223</f>
        <v>Sotsiaalne kaitse</v>
      </c>
      <c r="F1175" t="str">
        <f>Koond_kulud!F1223</f>
        <v>Vinni Perekodu</v>
      </c>
      <c r="G1175" t="str">
        <f>Koond_kulud!G1223</f>
        <v>vesi-kanalisatsioon</v>
      </c>
      <c r="H1175">
        <f>Koond_kulud!H1223</f>
        <v>7000</v>
      </c>
      <c r="I1175">
        <f>Koond_kulud!I1223</f>
        <v>0</v>
      </c>
      <c r="J1175">
        <f>Koond_kulud!J1223</f>
        <v>5511</v>
      </c>
      <c r="K1175" t="str">
        <f>Koond_kulud!K1223</f>
        <v>Kinnistute, hoonete ja ruumide majandamiskulud</v>
      </c>
      <c r="L1175">
        <f>Koond_kulud!L1223</f>
        <v>55</v>
      </c>
      <c r="M1175" t="str">
        <f>Koond_kulud!M1223</f>
        <v>55</v>
      </c>
      <c r="N1175" t="str">
        <f>Koond_kulud!N1223</f>
        <v>Muud tegevuskulud</v>
      </c>
      <c r="O1175" t="str">
        <f>Koond_kulud!O1223</f>
        <v>Majandamiskulud</v>
      </c>
      <c r="P1175" t="str">
        <f>Koond_kulud!P1223</f>
        <v>Põhitegevuse kulu</v>
      </c>
      <c r="Q1175">
        <f>Koond_kulud!Q1223</f>
        <v>0</v>
      </c>
    </row>
    <row r="1176" spans="1:17" hidden="1" x14ac:dyDescent="0.25">
      <c r="A1176" t="str">
        <f>Koond_kulud!A1224</f>
        <v>10</v>
      </c>
      <c r="B1176" t="str">
        <f>Koond_kulud!B1224</f>
        <v xml:space="preserve">1040001         </v>
      </c>
      <c r="C1176" t="str">
        <f>Koond_kulud!C1224</f>
        <v xml:space="preserve"> Vinni Perekodu</v>
      </c>
      <c r="D1176" t="str">
        <f>Koond_kulud!D1224</f>
        <v>Laste ja noorte sotsiaalhoolekande asutused</v>
      </c>
      <c r="E1176" t="str">
        <f>Koond_kulud!E1224</f>
        <v>Sotsiaalne kaitse</v>
      </c>
      <c r="F1176" t="str">
        <f>Koond_kulud!F1224</f>
        <v>Vinni Perekodu</v>
      </c>
      <c r="G1176" t="str">
        <f>Koond_kulud!G1224</f>
        <v>korrashoiuvah.</v>
      </c>
      <c r="H1176">
        <f>Koond_kulud!H1224</f>
        <v>4500</v>
      </c>
      <c r="I1176">
        <f>Koond_kulud!I1224</f>
        <v>0</v>
      </c>
      <c r="J1176">
        <f>Koond_kulud!J1224</f>
        <v>5511</v>
      </c>
      <c r="K1176" t="str">
        <f>Koond_kulud!K1224</f>
        <v>Kinnistute, hoonete ja ruumide majandamiskulud</v>
      </c>
      <c r="L1176">
        <f>Koond_kulud!L1224</f>
        <v>55</v>
      </c>
      <c r="M1176" t="str">
        <f>Koond_kulud!M1224</f>
        <v>55</v>
      </c>
      <c r="N1176" t="str">
        <f>Koond_kulud!N1224</f>
        <v>Muud tegevuskulud</v>
      </c>
      <c r="O1176" t="str">
        <f>Koond_kulud!O1224</f>
        <v>Majandamiskulud</v>
      </c>
      <c r="P1176" t="str">
        <f>Koond_kulud!P1224</f>
        <v>Põhitegevuse kulu</v>
      </c>
      <c r="Q1176">
        <f>Koond_kulud!Q1224</f>
        <v>0</v>
      </c>
    </row>
    <row r="1177" spans="1:17" hidden="1" x14ac:dyDescent="0.25">
      <c r="A1177" t="str">
        <f>Koond_kulud!A1225</f>
        <v>10</v>
      </c>
      <c r="B1177" t="str">
        <f>Koond_kulud!B1225</f>
        <v xml:space="preserve">1040001         </v>
      </c>
      <c r="C1177" t="str">
        <f>Koond_kulud!C1225</f>
        <v xml:space="preserve"> Vinni Perekodu</v>
      </c>
      <c r="D1177" t="str">
        <f>Koond_kulud!D1225</f>
        <v>Laste ja noorte sotsiaalhoolekande asutused</v>
      </c>
      <c r="E1177" t="str">
        <f>Koond_kulud!E1225</f>
        <v>Sotsiaalne kaitse</v>
      </c>
      <c r="F1177" t="str">
        <f>Koond_kulud!F1225</f>
        <v>Vinni Perekodu</v>
      </c>
      <c r="G1177" t="str">
        <f>Koond_kulud!G1225</f>
        <v>ühiselamumaksud</v>
      </c>
      <c r="H1177">
        <f>Koond_kulud!H1225</f>
        <v>900</v>
      </c>
      <c r="I1177">
        <f>Koond_kulud!I1225</f>
        <v>0</v>
      </c>
      <c r="J1177">
        <f>Koond_kulud!J1225</f>
        <v>5511</v>
      </c>
      <c r="K1177" t="str">
        <f>Koond_kulud!K1225</f>
        <v>Kinnistute, hoonete ja ruumide majandamiskulud</v>
      </c>
      <c r="L1177">
        <f>Koond_kulud!L1225</f>
        <v>55</v>
      </c>
      <c r="M1177" t="str">
        <f>Koond_kulud!M1225</f>
        <v>55</v>
      </c>
      <c r="N1177" t="str">
        <f>Koond_kulud!N1225</f>
        <v>Muud tegevuskulud</v>
      </c>
      <c r="O1177" t="str">
        <f>Koond_kulud!O1225</f>
        <v>Majandamiskulud</v>
      </c>
      <c r="P1177" t="str">
        <f>Koond_kulud!P1225</f>
        <v>Põhitegevuse kulu</v>
      </c>
      <c r="Q1177">
        <f>Koond_kulud!Q1225</f>
        <v>0</v>
      </c>
    </row>
    <row r="1178" spans="1:17" hidden="1" x14ac:dyDescent="0.25">
      <c r="A1178" t="str">
        <f>Koond_kulud!A1226</f>
        <v>10</v>
      </c>
      <c r="B1178" t="str">
        <f>Koond_kulud!B1226</f>
        <v xml:space="preserve">1040001         </v>
      </c>
      <c r="C1178" t="str">
        <f>Koond_kulud!C1226</f>
        <v xml:space="preserve"> Vinni Perekodu</v>
      </c>
      <c r="D1178" t="str">
        <f>Koond_kulud!D1226</f>
        <v>Laste ja noorte sotsiaalhoolekande asutused</v>
      </c>
      <c r="E1178" t="str">
        <f>Koond_kulud!E1226</f>
        <v>Sotsiaalne kaitse</v>
      </c>
      <c r="F1178" t="str">
        <f>Koond_kulud!F1226</f>
        <v>Vinni Perekodu</v>
      </c>
      <c r="G1178" t="str">
        <f>Koond_kulud!G1226</f>
        <v>prügi</v>
      </c>
      <c r="H1178">
        <f>Koond_kulud!H1226</f>
        <v>900</v>
      </c>
      <c r="I1178">
        <f>Koond_kulud!I1226</f>
        <v>0</v>
      </c>
      <c r="J1178">
        <f>Koond_kulud!J1226</f>
        <v>5511</v>
      </c>
      <c r="K1178" t="str">
        <f>Koond_kulud!K1226</f>
        <v>Kinnistute, hoonete ja ruumide majandamiskulud</v>
      </c>
      <c r="L1178">
        <f>Koond_kulud!L1226</f>
        <v>55</v>
      </c>
      <c r="M1178" t="str">
        <f>Koond_kulud!M1226</f>
        <v>55</v>
      </c>
      <c r="N1178" t="str">
        <f>Koond_kulud!N1226</f>
        <v>Muud tegevuskulud</v>
      </c>
      <c r="O1178" t="str">
        <f>Koond_kulud!O1226</f>
        <v>Majandamiskulud</v>
      </c>
      <c r="P1178" t="str">
        <f>Koond_kulud!P1226</f>
        <v>Põhitegevuse kulu</v>
      </c>
      <c r="Q1178">
        <f>Koond_kulud!Q1226</f>
        <v>0</v>
      </c>
    </row>
    <row r="1179" spans="1:17" hidden="1" x14ac:dyDescent="0.25">
      <c r="A1179" t="str">
        <f>Koond_kulud!A1227</f>
        <v>10</v>
      </c>
      <c r="B1179" t="str">
        <f>Koond_kulud!B1227</f>
        <v xml:space="preserve">1040001         </v>
      </c>
      <c r="C1179" t="str">
        <f>Koond_kulud!C1227</f>
        <v xml:space="preserve"> Vinni Perekodu</v>
      </c>
      <c r="D1179" t="str">
        <f>Koond_kulud!D1227</f>
        <v>Laste ja noorte sotsiaalhoolekande asutused</v>
      </c>
      <c r="E1179" t="str">
        <f>Koond_kulud!E1227</f>
        <v>Sotsiaalne kaitse</v>
      </c>
      <c r="F1179" t="str">
        <f>Koond_kulud!F1227</f>
        <v>Vinni Perekodu</v>
      </c>
      <c r="G1179" t="str">
        <f>Koond_kulud!G1227</f>
        <v>signalisatsioon</v>
      </c>
      <c r="H1179">
        <f>Koond_kulud!H1227</f>
        <v>320</v>
      </c>
      <c r="I1179">
        <f>Koond_kulud!I1227</f>
        <v>0</v>
      </c>
      <c r="J1179">
        <f>Koond_kulud!J1227</f>
        <v>5511</v>
      </c>
      <c r="K1179" t="str">
        <f>Koond_kulud!K1227</f>
        <v>Kinnistute, hoonete ja ruumide majandamiskulud</v>
      </c>
      <c r="L1179">
        <f>Koond_kulud!L1227</f>
        <v>55</v>
      </c>
      <c r="M1179" t="str">
        <f>Koond_kulud!M1227</f>
        <v>55</v>
      </c>
      <c r="N1179" t="str">
        <f>Koond_kulud!N1227</f>
        <v>Muud tegevuskulud</v>
      </c>
      <c r="O1179" t="str">
        <f>Koond_kulud!O1227</f>
        <v>Majandamiskulud</v>
      </c>
      <c r="P1179" t="str">
        <f>Koond_kulud!P1227</f>
        <v>Põhitegevuse kulu</v>
      </c>
      <c r="Q1179">
        <f>Koond_kulud!Q1227</f>
        <v>0</v>
      </c>
    </row>
    <row r="1180" spans="1:17" hidden="1" x14ac:dyDescent="0.25">
      <c r="A1180" t="str">
        <f>Koond_kulud!A1228</f>
        <v>10</v>
      </c>
      <c r="B1180" t="str">
        <f>Koond_kulud!B1228</f>
        <v xml:space="preserve">1040001         </v>
      </c>
      <c r="C1180" t="str">
        <f>Koond_kulud!C1228</f>
        <v xml:space="preserve"> Vinni Perekodu</v>
      </c>
      <c r="D1180" t="str">
        <f>Koond_kulud!D1228</f>
        <v>Laste ja noorte sotsiaalhoolekande asutused</v>
      </c>
      <c r="E1180" t="str">
        <f>Koond_kulud!E1228</f>
        <v>Sotsiaalne kaitse</v>
      </c>
      <c r="F1180" t="str">
        <f>Koond_kulud!F1228</f>
        <v>Vinni Perekodu</v>
      </c>
      <c r="G1180" t="str">
        <f>Koond_kulud!G1228</f>
        <v>el. Käidu leping</v>
      </c>
      <c r="H1180">
        <f>Koond_kulud!H1228</f>
        <v>600</v>
      </c>
      <c r="I1180">
        <f>Koond_kulud!I1228</f>
        <v>0</v>
      </c>
      <c r="J1180">
        <f>Koond_kulud!J1228</f>
        <v>5511</v>
      </c>
      <c r="K1180" t="str">
        <f>Koond_kulud!K1228</f>
        <v>Kinnistute, hoonete ja ruumide majandamiskulud</v>
      </c>
      <c r="L1180">
        <f>Koond_kulud!L1228</f>
        <v>55</v>
      </c>
      <c r="M1180" t="str">
        <f>Koond_kulud!M1228</f>
        <v>55</v>
      </c>
      <c r="N1180" t="str">
        <f>Koond_kulud!N1228</f>
        <v>Muud tegevuskulud</v>
      </c>
      <c r="O1180" t="str">
        <f>Koond_kulud!O1228</f>
        <v>Majandamiskulud</v>
      </c>
      <c r="P1180" t="str">
        <f>Koond_kulud!P1228</f>
        <v>Põhitegevuse kulu</v>
      </c>
      <c r="Q1180">
        <f>Koond_kulud!Q1228</f>
        <v>0</v>
      </c>
    </row>
    <row r="1181" spans="1:17" hidden="1" x14ac:dyDescent="0.25">
      <c r="A1181" t="str">
        <f>Koond_kulud!A1229</f>
        <v>10</v>
      </c>
      <c r="B1181" t="str">
        <f>Koond_kulud!B1229</f>
        <v xml:space="preserve">1040001         </v>
      </c>
      <c r="C1181" t="str">
        <f>Koond_kulud!C1229</f>
        <v xml:space="preserve"> Vinni Perekodu</v>
      </c>
      <c r="D1181" t="str">
        <f>Koond_kulud!D1229</f>
        <v>Laste ja noorte sotsiaalhoolekande asutused</v>
      </c>
      <c r="E1181" t="str">
        <f>Koond_kulud!E1229</f>
        <v>Sotsiaalne kaitse</v>
      </c>
      <c r="F1181" t="str">
        <f>Koond_kulud!F1229</f>
        <v>Vinni Perekodu</v>
      </c>
      <c r="G1181" t="str">
        <f>Koond_kulud!G1229</f>
        <v>tehnoseadmed</v>
      </c>
      <c r="H1181">
        <f>Koond_kulud!H1229</f>
        <v>2955</v>
      </c>
      <c r="I1181">
        <f>Koond_kulud!I1229</f>
        <v>0</v>
      </c>
      <c r="J1181">
        <f>Koond_kulud!J1229</f>
        <v>5511</v>
      </c>
      <c r="K1181" t="str">
        <f>Koond_kulud!K1229</f>
        <v>Kinnistute, hoonete ja ruumide majandamiskulud</v>
      </c>
      <c r="L1181">
        <f>Koond_kulud!L1229</f>
        <v>55</v>
      </c>
      <c r="M1181" t="str">
        <f>Koond_kulud!M1229</f>
        <v>55</v>
      </c>
      <c r="N1181" t="str">
        <f>Koond_kulud!N1229</f>
        <v>Muud tegevuskulud</v>
      </c>
      <c r="O1181" t="str">
        <f>Koond_kulud!O1229</f>
        <v>Majandamiskulud</v>
      </c>
      <c r="P1181" t="str">
        <f>Koond_kulud!P1229</f>
        <v>Põhitegevuse kulu</v>
      </c>
      <c r="Q1181">
        <f>Koond_kulud!Q1229</f>
        <v>0</v>
      </c>
    </row>
    <row r="1182" spans="1:17" hidden="1" x14ac:dyDescent="0.25">
      <c r="A1182" t="str">
        <f>Koond_kulud!A1230</f>
        <v>10</v>
      </c>
      <c r="B1182" t="str">
        <f>Koond_kulud!B1230</f>
        <v xml:space="preserve">1040002         </v>
      </c>
      <c r="C1182" t="str">
        <f>Koond_kulud!C1230</f>
        <v xml:space="preserve"> Muud asutused</v>
      </c>
      <c r="D1182" t="str">
        <f>Koond_kulud!D1230</f>
        <v>Laste ja noorte sotsiaalhoolekande asutused</v>
      </c>
      <c r="E1182" t="str">
        <f>Koond_kulud!E1230</f>
        <v>Sotsiaalne kaitse</v>
      </c>
      <c r="F1182" t="str">
        <f>Koond_kulud!F1230</f>
        <v>Sotsiaalosakond</v>
      </c>
      <c r="G1182" t="str">
        <f>Koond_kulud!G1230</f>
        <v>Keila SOS lastekodu täiendav toetus</v>
      </c>
      <c r="H1182">
        <f>Koond_kulud!H1230</f>
        <v>800</v>
      </c>
      <c r="I1182">
        <f>Koond_kulud!I1230</f>
        <v>0</v>
      </c>
      <c r="J1182">
        <f>Koond_kulud!J1230</f>
        <v>45008</v>
      </c>
      <c r="K1182" t="str">
        <f>Koond_kulud!K1230</f>
        <v>Sihtotstarbelised eraldised muudele residentidele</v>
      </c>
      <c r="L1182">
        <f>Koond_kulud!L1230</f>
        <v>4500</v>
      </c>
      <c r="M1182" t="str">
        <f>Koond_kulud!M1230</f>
        <v>45</v>
      </c>
      <c r="N1182" t="str">
        <f>Koond_kulud!N1230</f>
        <v>Antavad toetused tegevuskuludeks</v>
      </c>
      <c r="O1182" t="str">
        <f>Koond_kulud!O1230</f>
        <v>Sihtotstarbelised toetused tegevuskuludeks</v>
      </c>
      <c r="P1182" t="str">
        <f>Koond_kulud!P1230</f>
        <v>Põhitegevuse kulu</v>
      </c>
      <c r="Q1182">
        <f>Koond_kulud!Q1230</f>
        <v>0</v>
      </c>
    </row>
    <row r="1183" spans="1:17" hidden="1" x14ac:dyDescent="0.25">
      <c r="A1183" t="str">
        <f>Koond_kulud!A1231</f>
        <v>10</v>
      </c>
      <c r="B1183" t="str">
        <f>Koond_kulud!B1231</f>
        <v xml:space="preserve">1040002         </v>
      </c>
      <c r="C1183" t="str">
        <f>Koond_kulud!C1231</f>
        <v xml:space="preserve"> Muud asutused</v>
      </c>
      <c r="D1183" t="str">
        <f>Koond_kulud!D1231</f>
        <v>Laste ja noorte sotsiaalhoolekande asutused</v>
      </c>
      <c r="E1183" t="str">
        <f>Koond_kulud!E1231</f>
        <v>Sotsiaalne kaitse</v>
      </c>
      <c r="F1183" t="str">
        <f>Koond_kulud!F1231</f>
        <v>Sotsiaalosakond</v>
      </c>
      <c r="G1183" t="str">
        <f>Koond_kulud!G1231</f>
        <v>Sõidukompensatsioon + Porkuni leping</v>
      </c>
      <c r="H1183">
        <f>Koond_kulud!H1231</f>
        <v>2820</v>
      </c>
      <c r="I1183">
        <f>Koond_kulud!I1231</f>
        <v>0</v>
      </c>
      <c r="J1183">
        <f>Koond_kulud!J1231</f>
        <v>5526</v>
      </c>
      <c r="K1183" t="str">
        <f>Koond_kulud!K1231</f>
        <v>Sotsiaalteenused</v>
      </c>
      <c r="L1183">
        <f>Koond_kulud!L1231</f>
        <v>55</v>
      </c>
      <c r="M1183" t="str">
        <f>Koond_kulud!M1231</f>
        <v>55</v>
      </c>
      <c r="N1183" t="str">
        <f>Koond_kulud!N1231</f>
        <v>Muud tegevuskulud</v>
      </c>
      <c r="O1183" t="str">
        <f>Koond_kulud!O1231</f>
        <v>Majandamiskulud</v>
      </c>
      <c r="P1183" t="str">
        <f>Koond_kulud!P1231</f>
        <v>Põhitegevuse kulu</v>
      </c>
      <c r="Q1183">
        <f>Koond_kulud!Q1231</f>
        <v>0</v>
      </c>
    </row>
    <row r="1184" spans="1:17" hidden="1" x14ac:dyDescent="0.25">
      <c r="A1184" t="str">
        <f>Koond_kulud!A1232</f>
        <v>10</v>
      </c>
      <c r="B1184" t="str">
        <f>Koond_kulud!B1232</f>
        <v xml:space="preserve">1040002         </v>
      </c>
      <c r="C1184" t="str">
        <f>Koond_kulud!C1232</f>
        <v xml:space="preserve"> Muud asutused</v>
      </c>
      <c r="D1184" t="str">
        <f>Koond_kulud!D1232</f>
        <v>Laste ja noorte sotsiaalhoolekande asutused</v>
      </c>
      <c r="E1184" t="str">
        <f>Koond_kulud!E1232</f>
        <v>Sotsiaalne kaitse</v>
      </c>
      <c r="F1184" t="str">
        <f>Koond_kulud!F1232</f>
        <v>Sotsiaalosakond</v>
      </c>
      <c r="G1184" t="str">
        <f>Koond_kulud!G1232</f>
        <v>L-Viru Suurte perede Ühendus</v>
      </c>
      <c r="H1184">
        <f>Koond_kulud!H1232</f>
        <v>3000</v>
      </c>
      <c r="I1184">
        <f>Koond_kulud!I1232</f>
        <v>0</v>
      </c>
      <c r="J1184">
        <f>Koond_kulud!J1232</f>
        <v>4500</v>
      </c>
      <c r="K1184" t="str">
        <f>Koond_kulud!K1232</f>
        <v>Sihtotstarbelised eraldised jooksvateks kuludeks</v>
      </c>
      <c r="L1184">
        <f>Koond_kulud!L1232</f>
        <v>4500</v>
      </c>
      <c r="M1184" t="str">
        <f>Koond_kulud!M1232</f>
        <v>45</v>
      </c>
      <c r="N1184" t="str">
        <f>Koond_kulud!N1232</f>
        <v>Antavad toetused tegevuskuludeks</v>
      </c>
      <c r="O1184" t="str">
        <f>Koond_kulud!O1232</f>
        <v>Sihtotstarbelised toetused tegevuskuludeks</v>
      </c>
      <c r="P1184" t="str">
        <f>Koond_kulud!P1232</f>
        <v>Põhitegevuse kulu</v>
      </c>
      <c r="Q1184">
        <f>Koond_kulud!Q1232</f>
        <v>0</v>
      </c>
    </row>
    <row r="1185" spans="1:17" hidden="1" x14ac:dyDescent="0.25">
      <c r="A1185" t="str">
        <f>Koond_kulud!A1233</f>
        <v>10</v>
      </c>
      <c r="B1185" t="str">
        <f>Koond_kulud!B1233</f>
        <v xml:space="preserve">1040002         </v>
      </c>
      <c r="C1185" t="str">
        <f>Koond_kulud!C1233</f>
        <v xml:space="preserve"> Muud asutused</v>
      </c>
      <c r="D1185" t="str">
        <f>Koond_kulud!D1233</f>
        <v>Laste ja noorte sotsiaalhoolekande asutused</v>
      </c>
      <c r="E1185" t="str">
        <f>Koond_kulud!E1233</f>
        <v>Sotsiaalne kaitse</v>
      </c>
      <c r="F1185" t="str">
        <f>Koond_kulud!F1233</f>
        <v>Sotsiaalosakond</v>
      </c>
      <c r="G1185" t="str">
        <f>Koond_kulud!G1233</f>
        <v xml:space="preserve">Vinni Perekodu </v>
      </c>
      <c r="H1185">
        <f>Koond_kulud!H1233</f>
        <v>4000</v>
      </c>
      <c r="I1185">
        <f>Koond_kulud!I1233</f>
        <v>0</v>
      </c>
      <c r="J1185">
        <f>Koond_kulud!J1233</f>
        <v>5526</v>
      </c>
      <c r="K1185" t="str">
        <f>Koond_kulud!K1233</f>
        <v>Sotsiaalteenused</v>
      </c>
      <c r="L1185">
        <f>Koond_kulud!L1233</f>
        <v>55</v>
      </c>
      <c r="M1185" t="str">
        <f>Koond_kulud!M1233</f>
        <v>55</v>
      </c>
      <c r="N1185" t="str">
        <f>Koond_kulud!N1233</f>
        <v>Muud tegevuskulud</v>
      </c>
      <c r="O1185" t="str">
        <f>Koond_kulud!O1233</f>
        <v>Majandamiskulud</v>
      </c>
      <c r="P1185" t="str">
        <f>Koond_kulud!P1233</f>
        <v>Põhitegevuse kulu</v>
      </c>
      <c r="Q1185">
        <f>Koond_kulud!Q1233</f>
        <v>0</v>
      </c>
    </row>
    <row r="1186" spans="1:17" hidden="1" x14ac:dyDescent="0.25">
      <c r="A1186" t="str">
        <f>Koond_kulud!A1234</f>
        <v>10</v>
      </c>
      <c r="B1186" t="str">
        <f>Koond_kulud!B1234</f>
        <v xml:space="preserve">1040002         </v>
      </c>
      <c r="C1186" t="str">
        <f>Koond_kulud!C1234</f>
        <v xml:space="preserve"> Muud asutused</v>
      </c>
      <c r="D1186" t="str">
        <f>Koond_kulud!D1234</f>
        <v>Laste ja noorte sotsiaalhoolekande asutused</v>
      </c>
      <c r="E1186" t="str">
        <f>Koond_kulud!E1234</f>
        <v>Sotsiaalne kaitse</v>
      </c>
      <c r="F1186" t="str">
        <f>Koond_kulud!F1234</f>
        <v>Sotsiaalosakond</v>
      </c>
      <c r="G1186" t="str">
        <f>Koond_kulud!G1234</f>
        <v>Tõlgiteenus</v>
      </c>
      <c r="H1186">
        <f>Koond_kulud!H1234</f>
        <v>1000</v>
      </c>
      <c r="I1186">
        <f>Koond_kulud!I1234</f>
        <v>0</v>
      </c>
      <c r="J1186">
        <f>Koond_kulud!J1234</f>
        <v>5526</v>
      </c>
      <c r="K1186" t="str">
        <f>Koond_kulud!K1234</f>
        <v>Sotsiaalteenused</v>
      </c>
      <c r="L1186">
        <f>Koond_kulud!L1234</f>
        <v>55</v>
      </c>
      <c r="M1186" t="str">
        <f>Koond_kulud!M1234</f>
        <v>55</v>
      </c>
      <c r="N1186" t="str">
        <f>Koond_kulud!N1234</f>
        <v>Muud tegevuskulud</v>
      </c>
      <c r="O1186" t="str">
        <f>Koond_kulud!O1234</f>
        <v>Majandamiskulud</v>
      </c>
      <c r="P1186" t="str">
        <f>Koond_kulud!P1234</f>
        <v>Põhitegevuse kulu</v>
      </c>
      <c r="Q1186">
        <f>Koond_kulud!Q1234</f>
        <v>0</v>
      </c>
    </row>
    <row r="1187" spans="1:17" hidden="1" x14ac:dyDescent="0.25">
      <c r="A1187" t="str">
        <f>Koond_kulud!A1235</f>
        <v>10</v>
      </c>
      <c r="B1187" t="str">
        <f>Koond_kulud!B1235</f>
        <v xml:space="preserve">1040002         </v>
      </c>
      <c r="C1187" t="str">
        <f>Koond_kulud!C1235</f>
        <v xml:space="preserve"> Muud asutused</v>
      </c>
      <c r="D1187" t="str">
        <f>Koond_kulud!D1235</f>
        <v>Laste ja noorte sotsiaalhoolekande asutused</v>
      </c>
      <c r="E1187" t="str">
        <f>Koond_kulud!E1235</f>
        <v>Sotsiaalne kaitse</v>
      </c>
      <c r="F1187" t="str">
        <f>Koond_kulud!F1235</f>
        <v>Sotsiaalosakond</v>
      </c>
      <c r="G1187" t="str">
        <f>Koond_kulud!G1235</f>
        <v>Asenduskodu+turvakoduteenus</v>
      </c>
      <c r="H1187">
        <f>Koond_kulud!H1235</f>
        <v>1000</v>
      </c>
      <c r="I1187">
        <f>Koond_kulud!I1235</f>
        <v>0</v>
      </c>
      <c r="J1187">
        <f>Koond_kulud!J1235</f>
        <v>413899</v>
      </c>
      <c r="K1187" t="str">
        <f>Koond_kulud!K1235</f>
        <v>Muud sotsiaalabitoetused ja hüvitised</v>
      </c>
      <c r="L1187">
        <f>Koond_kulud!L1235</f>
        <v>413</v>
      </c>
      <c r="M1187" t="str">
        <f>Koond_kulud!M1235</f>
        <v>41</v>
      </c>
      <c r="N1187" t="str">
        <f>Koond_kulud!N1235</f>
        <v>Antavad toetused tegevuskuludeks</v>
      </c>
      <c r="O1187" t="str">
        <f>Koond_kulud!O1235</f>
        <v>Sotsiaalabitoetused ja muud toetused füüsilistele isikutele</v>
      </c>
      <c r="P1187" t="str">
        <f>Koond_kulud!P1235</f>
        <v>Põhitegevuse kulu</v>
      </c>
      <c r="Q1187">
        <f>Koond_kulud!Q1235</f>
        <v>0</v>
      </c>
    </row>
    <row r="1188" spans="1:17" hidden="1" x14ac:dyDescent="0.25">
      <c r="A1188" t="str">
        <f>Koond_kulud!A1236</f>
        <v>10</v>
      </c>
      <c r="B1188" t="str">
        <f>Koond_kulud!B1236</f>
        <v xml:space="preserve">1040002         </v>
      </c>
      <c r="C1188" t="str">
        <f>Koond_kulud!C1236</f>
        <v xml:space="preserve"> Muud asutused</v>
      </c>
      <c r="D1188" t="str">
        <f>Koond_kulud!D1236</f>
        <v>Laste ja noorte sotsiaalhoolekande asutused</v>
      </c>
      <c r="E1188" t="str">
        <f>Koond_kulud!E1236</f>
        <v>Sotsiaalne kaitse</v>
      </c>
      <c r="F1188" t="str">
        <f>Koond_kulud!F1236</f>
        <v>Sotsiaalosakond</v>
      </c>
      <c r="G1188" t="str">
        <f>Koond_kulud!G1236</f>
        <v>Asendus- ja järelhooldus-teenuse toetus</v>
      </c>
      <c r="H1188">
        <f>Koond_kulud!H1236</f>
        <v>151700</v>
      </c>
      <c r="I1188" t="str">
        <f>Koond_kulud!I1236</f>
        <v>Toetusfond</v>
      </c>
      <c r="J1188">
        <f>Koond_kulud!J1236</f>
        <v>5526</v>
      </c>
      <c r="K1188" t="str">
        <f>Koond_kulud!K1236</f>
        <v>Sotsiaalteenused</v>
      </c>
      <c r="L1188">
        <f>Koond_kulud!L1236</f>
        <v>55</v>
      </c>
      <c r="M1188" t="str">
        <f>Koond_kulud!M1236</f>
        <v>55</v>
      </c>
      <c r="N1188" t="str">
        <f>Koond_kulud!N1236</f>
        <v>Muud tegevuskulud</v>
      </c>
      <c r="O1188" t="str">
        <f>Koond_kulud!O1236</f>
        <v>Majandamiskulud</v>
      </c>
      <c r="P1188" t="str">
        <f>Koond_kulud!P1236</f>
        <v>Põhitegevuse kulu</v>
      </c>
      <c r="Q1188">
        <f>Koond_kulud!Q1236</f>
        <v>0</v>
      </c>
    </row>
    <row r="1189" spans="1:17" hidden="1" x14ac:dyDescent="0.25">
      <c r="A1189" t="str">
        <f>Koond_kulud!A1238</f>
        <v>10</v>
      </c>
      <c r="B1189" t="str">
        <f>Koond_kulud!B1238</f>
        <v xml:space="preserve">1040202         </v>
      </c>
      <c r="C1189" t="str">
        <f>Koond_kulud!C1238</f>
        <v xml:space="preserve"> Matusetoetus</v>
      </c>
      <c r="D1189" t="str">
        <f>Koond_kulud!D1238</f>
        <v>Muu perekondade ja laste sotsiaalne kaitse</v>
      </c>
      <c r="E1189" t="str">
        <f>Koond_kulud!E1238</f>
        <v>Sotsiaalne kaitse</v>
      </c>
      <c r="F1189" t="str">
        <f>Koond_kulud!F1238</f>
        <v>Sotsiaalosakond</v>
      </c>
      <c r="G1189" t="str">
        <f>Koond_kulud!G1238</f>
        <v>Matusetoetus</v>
      </c>
      <c r="H1189">
        <f>Koond_kulud!H1238</f>
        <v>26000</v>
      </c>
      <c r="I1189" t="str">
        <f>Koond_kulud!I1238</f>
        <v>valla poolne finantseering</v>
      </c>
      <c r="J1189">
        <f>Koond_kulud!J1238</f>
        <v>41389</v>
      </c>
      <c r="K1189" t="str">
        <f>Koond_kulud!K1238</f>
        <v>Matusetoetus</v>
      </c>
      <c r="L1189">
        <f>Koond_kulud!L1238</f>
        <v>413</v>
      </c>
      <c r="M1189" t="str">
        <f>Koond_kulud!M1238</f>
        <v>41</v>
      </c>
      <c r="N1189" t="str">
        <f>Koond_kulud!N1238</f>
        <v>Antavad toetused tegevuskuludeks</v>
      </c>
      <c r="O1189" t="str">
        <f>Koond_kulud!O1238</f>
        <v>Sotsiaalabitoetused ja muud toetused füüsilistele isikutele</v>
      </c>
      <c r="P1189" t="str">
        <f>Koond_kulud!P1238</f>
        <v>Põhitegevuse kulu</v>
      </c>
      <c r="Q1189">
        <f>Koond_kulud!Q1238</f>
        <v>0</v>
      </c>
    </row>
    <row r="1190" spans="1:17" hidden="1" x14ac:dyDescent="0.25">
      <c r="A1190" t="str">
        <f>Koond_kulud!A1239</f>
        <v>10</v>
      </c>
      <c r="B1190" t="str">
        <f>Koond_kulud!B1239</f>
        <v xml:space="preserve">1040202         </v>
      </c>
      <c r="C1190" t="str">
        <f>Koond_kulud!C1239</f>
        <v xml:space="preserve"> Matusetoetus</v>
      </c>
      <c r="D1190" t="str">
        <f>Koond_kulud!D1239</f>
        <v>Muu perekondade ja laste sotsiaalne kaitse</v>
      </c>
      <c r="E1190" t="str">
        <f>Koond_kulud!E1239</f>
        <v>Sotsiaalne kaitse</v>
      </c>
      <c r="F1190" t="str">
        <f>Koond_kulud!F1239</f>
        <v>Sotsiaalosakond</v>
      </c>
      <c r="G1190" t="str">
        <f>Koond_kulud!G1239</f>
        <v>Matusetoetus</v>
      </c>
      <c r="H1190">
        <f>Koond_kulud!H1239</f>
        <v>22403</v>
      </c>
      <c r="I1190" t="str">
        <f>Koond_kulud!I1239</f>
        <v>Toetusfond</v>
      </c>
      <c r="J1190">
        <f>Koond_kulud!J1239</f>
        <v>41389</v>
      </c>
      <c r="K1190" t="str">
        <f>Koond_kulud!K1239</f>
        <v>Matusetoetus</v>
      </c>
      <c r="L1190">
        <f>Koond_kulud!L1239</f>
        <v>413</v>
      </c>
      <c r="M1190" t="str">
        <f>Koond_kulud!M1239</f>
        <v>41</v>
      </c>
      <c r="N1190" t="str">
        <f>Koond_kulud!N1239</f>
        <v>Antavad toetused tegevuskuludeks</v>
      </c>
      <c r="O1190" t="str">
        <f>Koond_kulud!O1239</f>
        <v>Sotsiaalabitoetused ja muud toetused füüsilistele isikutele</v>
      </c>
      <c r="P1190" t="str">
        <f>Koond_kulud!P1239</f>
        <v>Põhitegevuse kulu</v>
      </c>
      <c r="Q1190">
        <f>Koond_kulud!Q1239</f>
        <v>0</v>
      </c>
    </row>
    <row r="1191" spans="1:17" hidden="1" x14ac:dyDescent="0.25">
      <c r="A1191" t="str">
        <f>Koond_kulud!A1241</f>
        <v>10</v>
      </c>
      <c r="B1191" t="str">
        <f>Koond_kulud!B1241</f>
        <v xml:space="preserve">1040203         </v>
      </c>
      <c r="C1191" t="str">
        <f>Koond_kulud!C1241</f>
        <v xml:space="preserve"> Ühekordsed toetused</v>
      </c>
      <c r="D1191" t="str">
        <f>Koond_kulud!D1241</f>
        <v>Muu perekondade ja laste sotsiaalne kaitse</v>
      </c>
      <c r="E1191" t="str">
        <f>Koond_kulud!E1241</f>
        <v>Sotsiaalne kaitse</v>
      </c>
      <c r="F1191" t="str">
        <f>Koond_kulud!F1241</f>
        <v>Sotsiaalosakond</v>
      </c>
      <c r="G1191" t="str">
        <f>Koond_kulud!G1241</f>
        <v>Ranitsatoetus</v>
      </c>
      <c r="H1191">
        <f>Koond_kulud!H1241</f>
        <v>9100</v>
      </c>
      <c r="I1191">
        <f>Koond_kulud!I1241</f>
        <v>0</v>
      </c>
      <c r="J1191">
        <f>Koond_kulud!J1241</f>
        <v>41309</v>
      </c>
      <c r="K1191" t="str">
        <f>Koond_kulud!K1241</f>
        <v>Muud peretoetused</v>
      </c>
      <c r="L1191">
        <f>Koond_kulud!L1241</f>
        <v>413</v>
      </c>
      <c r="M1191" t="str">
        <f>Koond_kulud!M1241</f>
        <v>41</v>
      </c>
      <c r="N1191" t="str">
        <f>Koond_kulud!N1241</f>
        <v>Antavad toetused tegevuskuludeks</v>
      </c>
      <c r="O1191" t="str">
        <f>Koond_kulud!O1241</f>
        <v>Sotsiaalabitoetused ja muud toetused füüsilistele isikutele</v>
      </c>
      <c r="P1191" t="str">
        <f>Koond_kulud!P1241</f>
        <v>Põhitegevuse kulu</v>
      </c>
      <c r="Q1191">
        <f>Koond_kulud!Q1241</f>
        <v>0</v>
      </c>
    </row>
    <row r="1192" spans="1:17" hidden="1" x14ac:dyDescent="0.25">
      <c r="A1192" t="str">
        <f>Koond_kulud!A1242</f>
        <v>10</v>
      </c>
      <c r="B1192" t="str">
        <f>Koond_kulud!B1242</f>
        <v xml:space="preserve">1040203         </v>
      </c>
      <c r="C1192" t="str">
        <f>Koond_kulud!C1242</f>
        <v xml:space="preserve"> Ühekordsed toetused</v>
      </c>
      <c r="D1192" t="str">
        <f>Koond_kulud!D1242</f>
        <v>Muu perekondade ja laste sotsiaalne kaitse</v>
      </c>
      <c r="E1192" t="str">
        <f>Koond_kulud!E1242</f>
        <v>Sotsiaalne kaitse</v>
      </c>
      <c r="F1192" t="str">
        <f>Koond_kulud!F1242</f>
        <v>Sotsiaalosakond</v>
      </c>
      <c r="G1192" t="str">
        <f>Koond_kulud!G1242</f>
        <v>Ühekorded toetused + perede koolituse toetus</v>
      </c>
      <c r="H1192">
        <f>Koond_kulud!H1242</f>
        <v>21000</v>
      </c>
      <c r="I1192">
        <f>Koond_kulud!I1242</f>
        <v>0</v>
      </c>
      <c r="J1192">
        <f>Koond_kulud!J1242</f>
        <v>41309</v>
      </c>
      <c r="K1192" t="str">
        <f>Koond_kulud!K1242</f>
        <v>Muud peretoetused</v>
      </c>
      <c r="L1192">
        <f>Koond_kulud!L1242</f>
        <v>413</v>
      </c>
      <c r="M1192" t="str">
        <f>Koond_kulud!M1242</f>
        <v>41</v>
      </c>
      <c r="N1192" t="str">
        <f>Koond_kulud!N1242</f>
        <v>Antavad toetused tegevuskuludeks</v>
      </c>
      <c r="O1192" t="str">
        <f>Koond_kulud!O1242</f>
        <v>Sotsiaalabitoetused ja muud toetused füüsilistele isikutele</v>
      </c>
      <c r="P1192" t="str">
        <f>Koond_kulud!P1242</f>
        <v>Põhitegevuse kulu</v>
      </c>
      <c r="Q1192">
        <f>Koond_kulud!Q1242</f>
        <v>0</v>
      </c>
    </row>
    <row r="1193" spans="1:17" hidden="1" x14ac:dyDescent="0.25">
      <c r="A1193" t="str">
        <f>Koond_kulud!A1243</f>
        <v>10</v>
      </c>
      <c r="B1193" t="str">
        <f>Koond_kulud!B1243</f>
        <v xml:space="preserve">1040203         </v>
      </c>
      <c r="C1193" t="str">
        <f>Koond_kulud!C1243</f>
        <v xml:space="preserve"> Ühekordsed toetused</v>
      </c>
      <c r="D1193" t="str">
        <f>Koond_kulud!D1243</f>
        <v>Muu perekondade ja laste sotsiaalne kaitse</v>
      </c>
      <c r="E1193" t="str">
        <f>Koond_kulud!E1243</f>
        <v>Sotsiaalne kaitse</v>
      </c>
      <c r="F1193" t="str">
        <f>Koond_kulud!F1243</f>
        <v>Sotsiaalosakond</v>
      </c>
      <c r="G1193" t="str">
        <f>Koond_kulud!G1243</f>
        <v>Prillid</v>
      </c>
      <c r="H1193">
        <f>Koond_kulud!H1243</f>
        <v>3000</v>
      </c>
      <c r="I1193">
        <f>Koond_kulud!I1243</f>
        <v>0</v>
      </c>
      <c r="J1193">
        <f>Koond_kulud!J1243</f>
        <v>41309</v>
      </c>
      <c r="K1193" t="str">
        <f>Koond_kulud!K1243</f>
        <v>Muud peretoetused</v>
      </c>
      <c r="L1193">
        <f>Koond_kulud!L1243</f>
        <v>413</v>
      </c>
      <c r="M1193" t="str">
        <f>Koond_kulud!M1243</f>
        <v>41</v>
      </c>
      <c r="N1193" t="str">
        <f>Koond_kulud!N1243</f>
        <v>Antavad toetused tegevuskuludeks</v>
      </c>
      <c r="O1193" t="str">
        <f>Koond_kulud!O1243</f>
        <v>Sotsiaalabitoetused ja muud toetused füüsilistele isikutele</v>
      </c>
      <c r="P1193" t="str">
        <f>Koond_kulud!P1243</f>
        <v>Põhitegevuse kulu</v>
      </c>
      <c r="Q1193">
        <f>Koond_kulud!Q1243</f>
        <v>0</v>
      </c>
    </row>
    <row r="1194" spans="1:17" hidden="1" x14ac:dyDescent="0.25">
      <c r="A1194" t="str">
        <f>Koond_kulud!A1244</f>
        <v>10</v>
      </c>
      <c r="B1194" t="str">
        <f>Koond_kulud!B1244</f>
        <v xml:space="preserve">1040203         </v>
      </c>
      <c r="C1194" t="str">
        <f>Koond_kulud!C1244</f>
        <v xml:space="preserve"> Ühekordsed toetused</v>
      </c>
      <c r="D1194" t="str">
        <f>Koond_kulud!D1244</f>
        <v>Muu perekondade ja laste sotsiaalne kaitse</v>
      </c>
      <c r="E1194" t="str">
        <f>Koond_kulud!E1244</f>
        <v>Sotsiaalne kaitse</v>
      </c>
      <c r="F1194" t="str">
        <f>Koond_kulud!F1244</f>
        <v>Sotsiaalosakond</v>
      </c>
      <c r="G1194" t="str">
        <f>Koond_kulud!G1244</f>
        <v>Täiendav perede toetus 3 ja enama lapse puhul</v>
      </c>
      <c r="H1194">
        <f>Koond_kulud!H1244</f>
        <v>15000</v>
      </c>
      <c r="I1194">
        <f>Koond_kulud!I1244</f>
        <v>0</v>
      </c>
      <c r="J1194">
        <f>Koond_kulud!J1244</f>
        <v>41309</v>
      </c>
      <c r="K1194" t="str">
        <f>Koond_kulud!K1244</f>
        <v>Muud peretoetused</v>
      </c>
      <c r="L1194">
        <f>Koond_kulud!L1244</f>
        <v>413</v>
      </c>
      <c r="M1194" t="str">
        <f>Koond_kulud!M1244</f>
        <v>41</v>
      </c>
      <c r="N1194" t="str">
        <f>Koond_kulud!N1244</f>
        <v>Antavad toetused tegevuskuludeks</v>
      </c>
      <c r="O1194" t="str">
        <f>Koond_kulud!O1244</f>
        <v>Sotsiaalabitoetused ja muud toetused füüsilistele isikutele</v>
      </c>
      <c r="P1194" t="str">
        <f>Koond_kulud!P1244</f>
        <v>Põhitegevuse kulu</v>
      </c>
      <c r="Q1194">
        <f>Koond_kulud!Q1244</f>
        <v>0</v>
      </c>
    </row>
    <row r="1195" spans="1:17" hidden="1" x14ac:dyDescent="0.25">
      <c r="A1195" t="str">
        <f>Koond_kulud!A1245</f>
        <v>10</v>
      </c>
      <c r="B1195" t="str">
        <f>Koond_kulud!B1245</f>
        <v xml:space="preserve">1040204         </v>
      </c>
      <c r="C1195" t="str">
        <f>Koond_kulud!C1245</f>
        <v xml:space="preserve"> Ravitoetused perekondadele, lastele</v>
      </c>
      <c r="D1195" t="str">
        <f>Koond_kulud!D1245</f>
        <v>Muu perekondade ja laste sotsiaalne kaitse</v>
      </c>
      <c r="E1195" t="str">
        <f>Koond_kulud!E1245</f>
        <v>Sotsiaalne kaitse</v>
      </c>
      <c r="F1195" t="str">
        <f>Koond_kulud!F1245</f>
        <v>Sotsiaalosakond</v>
      </c>
      <c r="G1195" t="str">
        <f>Koond_kulud!G1245</f>
        <v>tervisega seotud kulutused</v>
      </c>
      <c r="H1195">
        <f>Koond_kulud!H1245</f>
        <v>2500</v>
      </c>
      <c r="I1195">
        <f>Koond_kulud!I1245</f>
        <v>0</v>
      </c>
      <c r="J1195">
        <f>Koond_kulud!J1245</f>
        <v>41309</v>
      </c>
      <c r="K1195" t="str">
        <f>Koond_kulud!K1245</f>
        <v>Muud peretoetused</v>
      </c>
      <c r="L1195">
        <f>Koond_kulud!L1245</f>
        <v>413</v>
      </c>
      <c r="M1195" t="str">
        <f>Koond_kulud!M1245</f>
        <v>41</v>
      </c>
      <c r="N1195" t="str">
        <f>Koond_kulud!N1245</f>
        <v>Antavad toetused tegevuskuludeks</v>
      </c>
      <c r="O1195" t="str">
        <f>Koond_kulud!O1245</f>
        <v>Sotsiaalabitoetused ja muud toetused füüsilistele isikutele</v>
      </c>
      <c r="P1195" t="str">
        <f>Koond_kulud!P1245</f>
        <v>Põhitegevuse kulu</v>
      </c>
      <c r="Q1195">
        <f>Koond_kulud!Q1245</f>
        <v>0</v>
      </c>
    </row>
    <row r="1196" spans="1:17" hidden="1" x14ac:dyDescent="0.25">
      <c r="A1196" t="str">
        <f>Koond_kulud!A1246</f>
        <v>10</v>
      </c>
      <c r="B1196" t="str">
        <f>Koond_kulud!B1246</f>
        <v xml:space="preserve">1040205         </v>
      </c>
      <c r="C1196" t="str">
        <f>Koond_kulud!C1246</f>
        <v xml:space="preserve"> Sünnitoetused</v>
      </c>
      <c r="D1196" t="str">
        <f>Koond_kulud!D1246</f>
        <v>Muu perekondade ja laste sotsiaalne kaitse</v>
      </c>
      <c r="E1196" t="str">
        <f>Koond_kulud!E1246</f>
        <v>Sotsiaalne kaitse</v>
      </c>
      <c r="F1196" t="str">
        <f>Koond_kulud!F1246</f>
        <v>Sotsiaalosakond</v>
      </c>
      <c r="G1196" t="str">
        <f>Koond_kulud!G1246</f>
        <v xml:space="preserve">Sünnitoetus  </v>
      </c>
      <c r="H1196">
        <f>Koond_kulud!H1246</f>
        <v>40000</v>
      </c>
      <c r="I1196">
        <f>Koond_kulud!I1246</f>
        <v>0</v>
      </c>
      <c r="J1196">
        <f>Koond_kulud!J1246</f>
        <v>41300</v>
      </c>
      <c r="K1196" t="str">
        <f>Koond_kulud!K1246</f>
        <v>Sünnitoetus</v>
      </c>
      <c r="L1196">
        <f>Koond_kulud!L1246</f>
        <v>413</v>
      </c>
      <c r="M1196" t="str">
        <f>Koond_kulud!M1246</f>
        <v>41</v>
      </c>
      <c r="N1196" t="str">
        <f>Koond_kulud!N1246</f>
        <v>Antavad toetused tegevuskuludeks</v>
      </c>
      <c r="O1196" t="str">
        <f>Koond_kulud!O1246</f>
        <v>Sotsiaalabitoetused ja muud toetused füüsilistele isikutele</v>
      </c>
      <c r="P1196" t="str">
        <f>Koond_kulud!P1246</f>
        <v>Põhitegevuse kulu</v>
      </c>
      <c r="Q1196">
        <f>Koond_kulud!Q1246</f>
        <v>0</v>
      </c>
    </row>
    <row r="1197" spans="1:17" hidden="1" x14ac:dyDescent="0.25">
      <c r="A1197" t="str">
        <f>Koond_kulud!A1247</f>
        <v>10</v>
      </c>
      <c r="B1197" t="str">
        <f>Koond_kulud!B1247</f>
        <v xml:space="preserve">1040205         </v>
      </c>
      <c r="C1197" t="str">
        <f>Koond_kulud!C1247</f>
        <v xml:space="preserve"> Sünnitoetused</v>
      </c>
      <c r="D1197" t="str">
        <f>Koond_kulud!D1247</f>
        <v>Muu perekondade ja laste sotsiaalne kaitse</v>
      </c>
      <c r="E1197" t="str">
        <f>Koond_kulud!E1247</f>
        <v>Sotsiaalne kaitse</v>
      </c>
      <c r="F1197" t="str">
        <f>Koond_kulud!F1247</f>
        <v>Sotsiaalosakond</v>
      </c>
      <c r="G1197" t="str">
        <f>Koond_kulud!G1247</f>
        <v>Lusikapidu ja karud</v>
      </c>
      <c r="H1197">
        <f>Koond_kulud!H1247</f>
        <v>5600</v>
      </c>
      <c r="I1197">
        <f>Koond_kulud!I1247</f>
        <v>0</v>
      </c>
      <c r="J1197">
        <f>Koond_kulud!J1247</f>
        <v>41309</v>
      </c>
      <c r="K1197" t="str">
        <f>Koond_kulud!K1247</f>
        <v>Muud peretoetused</v>
      </c>
      <c r="L1197">
        <f>Koond_kulud!L1247</f>
        <v>413</v>
      </c>
      <c r="M1197" t="str">
        <f>Koond_kulud!M1247</f>
        <v>41</v>
      </c>
      <c r="N1197" t="str">
        <f>Koond_kulud!N1247</f>
        <v>Antavad toetused tegevuskuludeks</v>
      </c>
      <c r="O1197" t="str">
        <f>Koond_kulud!O1247</f>
        <v>Sotsiaalabitoetused ja muud toetused füüsilistele isikutele</v>
      </c>
      <c r="P1197" t="str">
        <f>Koond_kulud!P1247</f>
        <v>Põhitegevuse kulu</v>
      </c>
      <c r="Q1197">
        <f>Koond_kulud!Q1247</f>
        <v>0</v>
      </c>
    </row>
    <row r="1198" spans="1:17" hidden="1" x14ac:dyDescent="0.25">
      <c r="A1198" t="str">
        <f>Koond_kulud!A1248</f>
        <v>10</v>
      </c>
      <c r="B1198" t="str">
        <f>Koond_kulud!B1248</f>
        <v xml:space="preserve">1040207         </v>
      </c>
      <c r="C1198" t="str">
        <f>Koond_kulud!C1248</f>
        <v xml:space="preserve"> Tugiisikud (perekondade ja laste)</v>
      </c>
      <c r="D1198" t="str">
        <f>Koond_kulud!D1248</f>
        <v>Muu perekondade ja laste sotsiaalne kaitse</v>
      </c>
      <c r="E1198" t="str">
        <f>Koond_kulud!E1248</f>
        <v>Sotsiaalne kaitse</v>
      </c>
      <c r="F1198" t="str">
        <f>Koond_kulud!F1248</f>
        <v>Sotsiaalosakond</v>
      </c>
      <c r="G1198" t="str">
        <f>Koond_kulud!G1248</f>
        <v>Hoolduspere toetus (tugiisik)</v>
      </c>
      <c r="H1198">
        <f>Koond_kulud!H1248</f>
        <v>11200</v>
      </c>
      <c r="I1198">
        <f>Koond_kulud!I1248</f>
        <v>0</v>
      </c>
      <c r="J1198">
        <f>Koond_kulud!J1248</f>
        <v>41309</v>
      </c>
      <c r="K1198" t="str">
        <f>Koond_kulud!K1248</f>
        <v>Muud peretoetused</v>
      </c>
      <c r="L1198">
        <f>Koond_kulud!L1248</f>
        <v>413</v>
      </c>
      <c r="M1198" t="str">
        <f>Koond_kulud!M1248</f>
        <v>41</v>
      </c>
      <c r="N1198" t="str">
        <f>Koond_kulud!N1248</f>
        <v>Antavad toetused tegevuskuludeks</v>
      </c>
      <c r="O1198" t="str">
        <f>Koond_kulud!O1248</f>
        <v>Sotsiaalabitoetused ja muud toetused füüsilistele isikutele</v>
      </c>
      <c r="P1198" t="str">
        <f>Koond_kulud!P1248</f>
        <v>Põhitegevuse kulu</v>
      </c>
      <c r="Q1198">
        <f>Koond_kulud!Q1248</f>
        <v>0</v>
      </c>
    </row>
    <row r="1199" spans="1:17" hidden="1" x14ac:dyDescent="0.25">
      <c r="A1199" t="str">
        <f>Koond_kulud!A1249</f>
        <v>10</v>
      </c>
      <c r="B1199" t="str">
        <f>Koond_kulud!B1249</f>
        <v xml:space="preserve">1040207         </v>
      </c>
      <c r="C1199" t="str">
        <f>Koond_kulud!C1249</f>
        <v xml:space="preserve"> Tugiisikud (perekondade ja laste)</v>
      </c>
      <c r="D1199" t="str">
        <f>Koond_kulud!D1249</f>
        <v>Muu perekondade ja laste sotsiaalne kaitse</v>
      </c>
      <c r="E1199" t="str">
        <f>Koond_kulud!E1249</f>
        <v>Sotsiaalne kaitse</v>
      </c>
      <c r="F1199" t="str">
        <f>Koond_kulud!F1249</f>
        <v>Sotsiaalosakond</v>
      </c>
      <c r="G1199" t="str">
        <f>Koond_kulud!G1249</f>
        <v>Tugiisiku teenus</v>
      </c>
      <c r="H1199">
        <f>Koond_kulud!H1249</f>
        <v>2400</v>
      </c>
      <c r="I1199" t="str">
        <f>Koond_kulud!I1249</f>
        <v>200x12 Mari-Liisa</v>
      </c>
      <c r="J1199">
        <f>Koond_kulud!J1249</f>
        <v>41309</v>
      </c>
      <c r="K1199" t="str">
        <f>Koond_kulud!K1249</f>
        <v>Muud peretoetused</v>
      </c>
      <c r="L1199">
        <f>Koond_kulud!L1249</f>
        <v>413</v>
      </c>
      <c r="M1199" t="str">
        <f>Koond_kulud!M1249</f>
        <v>41</v>
      </c>
      <c r="N1199" t="str">
        <f>Koond_kulud!N1249</f>
        <v>Antavad toetused tegevuskuludeks</v>
      </c>
      <c r="O1199" t="str">
        <f>Koond_kulud!O1249</f>
        <v>Sotsiaalabitoetused ja muud toetused füüsilistele isikutele</v>
      </c>
      <c r="P1199" t="str">
        <f>Koond_kulud!P1249</f>
        <v>Põhitegevuse kulu</v>
      </c>
      <c r="Q1199">
        <f>Koond_kulud!Q1249</f>
        <v>0</v>
      </c>
    </row>
    <row r="1200" spans="1:17" hidden="1" x14ac:dyDescent="0.25">
      <c r="A1200" t="str">
        <f>Koond_kulud!A1250</f>
        <v>10</v>
      </c>
      <c r="B1200" t="str">
        <f>Koond_kulud!B1250</f>
        <v xml:space="preserve">1040208         </v>
      </c>
      <c r="C1200" t="str">
        <f>Koond_kulud!C1250</f>
        <v xml:space="preserve"> Muud toetused</v>
      </c>
      <c r="D1200" t="str">
        <f>Koond_kulud!D1250</f>
        <v>Muu perekondade ja laste sotsiaalne kaitse</v>
      </c>
      <c r="E1200" t="str">
        <f>Koond_kulud!E1250</f>
        <v>Sotsiaalne kaitse</v>
      </c>
      <c r="F1200" t="str">
        <f>Koond_kulud!F1250</f>
        <v>Sotsiaalosakond</v>
      </c>
      <c r="G1200" t="str">
        <f>Koond_kulud!G1250</f>
        <v>Laagritoetus</v>
      </c>
      <c r="H1200">
        <f>Koond_kulud!H1250</f>
        <v>1760</v>
      </c>
      <c r="I1200" t="str">
        <f>Koond_kulud!I1250</f>
        <v>16 x 110 madala sissetulekuga pere last</v>
      </c>
      <c r="J1200">
        <f>Koond_kulud!J1250</f>
        <v>41309</v>
      </c>
      <c r="K1200" t="str">
        <f>Koond_kulud!K1250</f>
        <v>Muud peretoetused</v>
      </c>
      <c r="L1200">
        <f>Koond_kulud!L1250</f>
        <v>413</v>
      </c>
      <c r="M1200" t="str">
        <f>Koond_kulud!M1250</f>
        <v>41</v>
      </c>
      <c r="N1200" t="str">
        <f>Koond_kulud!N1250</f>
        <v>Antavad toetused tegevuskuludeks</v>
      </c>
      <c r="O1200" t="str">
        <f>Koond_kulud!O1250</f>
        <v>Sotsiaalabitoetused ja muud toetused füüsilistele isikutele</v>
      </c>
      <c r="P1200" t="str">
        <f>Koond_kulud!P1250</f>
        <v>Põhitegevuse kulu</v>
      </c>
      <c r="Q1200">
        <f>Koond_kulud!Q1250</f>
        <v>0</v>
      </c>
    </row>
    <row r="1201" spans="1:17" hidden="1" x14ac:dyDescent="0.25">
      <c r="A1201" t="str">
        <f>Koond_kulud!A1251</f>
        <v>10</v>
      </c>
      <c r="B1201" t="str">
        <f>Koond_kulud!B1251</f>
        <v xml:space="preserve">1040208         </v>
      </c>
      <c r="C1201" t="str">
        <f>Koond_kulud!C1251</f>
        <v xml:space="preserve"> Muud toetused</v>
      </c>
      <c r="D1201" t="str">
        <f>Koond_kulud!D1251</f>
        <v>Muu perekondade ja laste sotsiaalne kaitse</v>
      </c>
      <c r="E1201" t="str">
        <f>Koond_kulud!E1251</f>
        <v>Sotsiaalne kaitse</v>
      </c>
      <c r="F1201" t="str">
        <f>Koond_kulud!F1251</f>
        <v>Sotsiaalosakond</v>
      </c>
      <c r="G1201" t="str">
        <f>Koond_kulud!G1251</f>
        <v>Toetus toidule (koolid, lasteaiad), ühiselamu üür</v>
      </c>
      <c r="H1201">
        <f>Koond_kulud!H1251</f>
        <v>400</v>
      </c>
      <c r="I1201">
        <f>Koond_kulud!I1251</f>
        <v>0</v>
      </c>
      <c r="J1201">
        <f>Koond_kulud!J1251</f>
        <v>41309</v>
      </c>
      <c r="K1201" t="str">
        <f>Koond_kulud!K1251</f>
        <v>Muud peretoetused</v>
      </c>
      <c r="L1201">
        <f>Koond_kulud!L1251</f>
        <v>413</v>
      </c>
      <c r="M1201" t="str">
        <f>Koond_kulud!M1251</f>
        <v>41</v>
      </c>
      <c r="N1201" t="str">
        <f>Koond_kulud!N1251</f>
        <v>Antavad toetused tegevuskuludeks</v>
      </c>
      <c r="O1201" t="str">
        <f>Koond_kulud!O1251</f>
        <v>Sotsiaalabitoetused ja muud toetused füüsilistele isikutele</v>
      </c>
      <c r="P1201" t="str">
        <f>Koond_kulud!P1251</f>
        <v>Põhitegevuse kulu</v>
      </c>
      <c r="Q1201">
        <f>Koond_kulud!Q1251</f>
        <v>0</v>
      </c>
    </row>
    <row r="1202" spans="1:17" hidden="1" x14ac:dyDescent="0.25">
      <c r="A1202" t="str">
        <f>Koond_kulud!A1252</f>
        <v>10</v>
      </c>
      <c r="B1202" t="str">
        <f>Koond_kulud!B1252</f>
        <v xml:space="preserve">1040208         </v>
      </c>
      <c r="C1202" t="str">
        <f>Koond_kulud!C1252</f>
        <v xml:space="preserve"> Muud toetused</v>
      </c>
      <c r="D1202" t="str">
        <f>Koond_kulud!D1252</f>
        <v>Muu perekondade ja laste sotsiaalne kaitse</v>
      </c>
      <c r="E1202" t="str">
        <f>Koond_kulud!E1252</f>
        <v>Sotsiaalne kaitse</v>
      </c>
      <c r="F1202" t="str">
        <f>Koond_kulud!F1252</f>
        <v>Sotsiaalosakond</v>
      </c>
      <c r="G1202" t="str">
        <f>Koond_kulud!G1252</f>
        <v>Muud toetused (kriisit.teenuse ost)</v>
      </c>
      <c r="H1202">
        <f>Koond_kulud!H1252</f>
        <v>2400</v>
      </c>
      <c r="I1202" t="str">
        <f>Koond_kulud!I1252</f>
        <v>3 last</v>
      </c>
      <c r="J1202">
        <f>Koond_kulud!J1252</f>
        <v>41309</v>
      </c>
      <c r="K1202" t="str">
        <f>Koond_kulud!K1252</f>
        <v>Muud peretoetused</v>
      </c>
      <c r="L1202">
        <f>Koond_kulud!L1252</f>
        <v>413</v>
      </c>
      <c r="M1202" t="str">
        <f>Koond_kulud!M1252</f>
        <v>41</v>
      </c>
      <c r="N1202" t="str">
        <f>Koond_kulud!N1252</f>
        <v>Antavad toetused tegevuskuludeks</v>
      </c>
      <c r="O1202" t="str">
        <f>Koond_kulud!O1252</f>
        <v>Sotsiaalabitoetused ja muud toetused füüsilistele isikutele</v>
      </c>
      <c r="P1202" t="str">
        <f>Koond_kulud!P1252</f>
        <v>Põhitegevuse kulu</v>
      </c>
      <c r="Q1202">
        <f>Koond_kulud!Q1252</f>
        <v>0</v>
      </c>
    </row>
    <row r="1203" spans="1:17" hidden="1" x14ac:dyDescent="0.25">
      <c r="A1203" t="str">
        <f>Koond_kulud!A1253</f>
        <v>10</v>
      </c>
      <c r="B1203" t="str">
        <f>Koond_kulud!B1253</f>
        <v xml:space="preserve">1040208         </v>
      </c>
      <c r="C1203" t="str">
        <f>Koond_kulud!C1253</f>
        <v xml:space="preserve"> Muud toetused</v>
      </c>
      <c r="D1203" t="str">
        <f>Koond_kulud!D1253</f>
        <v>Muu perekondade ja laste sotsiaalne kaitse</v>
      </c>
      <c r="E1203" t="str">
        <f>Koond_kulud!E1253</f>
        <v>Sotsiaalne kaitse</v>
      </c>
      <c r="F1203" t="str">
        <f>Koond_kulud!F1253</f>
        <v>Sotsiaalosakond</v>
      </c>
      <c r="G1203" t="str">
        <f>Koond_kulud!G1253</f>
        <v>Projektis osalemine a la "Imelised aastad....."</v>
      </c>
      <c r="H1203">
        <f>Koond_kulud!H1253</f>
        <v>2800</v>
      </c>
      <c r="I1203">
        <f>Koond_kulud!I1253</f>
        <v>0</v>
      </c>
      <c r="J1203">
        <f>Koond_kulud!J1253</f>
        <v>41309</v>
      </c>
      <c r="K1203" t="str">
        <f>Koond_kulud!K1253</f>
        <v>Muud peretoetused</v>
      </c>
      <c r="L1203">
        <f>Koond_kulud!L1253</f>
        <v>413</v>
      </c>
      <c r="M1203" t="str">
        <f>Koond_kulud!M1253</f>
        <v>41</v>
      </c>
      <c r="N1203" t="str">
        <f>Koond_kulud!N1253</f>
        <v>Antavad toetused tegevuskuludeks</v>
      </c>
      <c r="O1203" t="str">
        <f>Koond_kulud!O1253</f>
        <v>Sotsiaalabitoetused ja muud toetused füüsilistele isikutele</v>
      </c>
      <c r="P1203" t="str">
        <f>Koond_kulud!P1253</f>
        <v>Põhitegevuse kulu</v>
      </c>
      <c r="Q1203">
        <f>Koond_kulud!Q1253</f>
        <v>0</v>
      </c>
    </row>
    <row r="1204" spans="1:17" hidden="1" x14ac:dyDescent="0.25">
      <c r="A1204" t="str">
        <f>Koond_kulud!A1254</f>
        <v>10</v>
      </c>
      <c r="B1204" t="str">
        <f>Koond_kulud!B1254</f>
        <v xml:space="preserve">1040208         </v>
      </c>
      <c r="C1204" t="str">
        <f>Koond_kulud!C1254</f>
        <v xml:space="preserve"> Muud toetused</v>
      </c>
      <c r="D1204" t="str">
        <f>Koond_kulud!D1254</f>
        <v>Muu perekondade ja laste sotsiaalne kaitse</v>
      </c>
      <c r="E1204" t="str">
        <f>Koond_kulud!E1254</f>
        <v>Sotsiaalne kaitse</v>
      </c>
      <c r="F1204" t="str">
        <f>Koond_kulud!F1254</f>
        <v>Sotsiaalosakond</v>
      </c>
      <c r="G1204" t="str">
        <f>Koond_kulud!G1254</f>
        <v>Projektis osalemine "Kunstilaager..."</v>
      </c>
      <c r="H1204">
        <f>Koond_kulud!H1254</f>
        <v>800</v>
      </c>
      <c r="I1204">
        <f>Koond_kulud!I1254</f>
        <v>0</v>
      </c>
      <c r="J1204">
        <f>Koond_kulud!J1254</f>
        <v>41309</v>
      </c>
      <c r="K1204" t="str">
        <f>Koond_kulud!K1254</f>
        <v>Muud peretoetused</v>
      </c>
      <c r="L1204">
        <f>Koond_kulud!L1254</f>
        <v>413</v>
      </c>
      <c r="M1204" t="str">
        <f>Koond_kulud!M1254</f>
        <v>41</v>
      </c>
      <c r="N1204" t="str">
        <f>Koond_kulud!N1254</f>
        <v>Antavad toetused tegevuskuludeks</v>
      </c>
      <c r="O1204" t="str">
        <f>Koond_kulud!O1254</f>
        <v>Sotsiaalabitoetused ja muud toetused füüsilistele isikutele</v>
      </c>
      <c r="P1204" t="str">
        <f>Koond_kulud!P1254</f>
        <v>Põhitegevuse kulu</v>
      </c>
      <c r="Q1204">
        <f>Koond_kulud!Q1254</f>
        <v>0</v>
      </c>
    </row>
    <row r="1205" spans="1:17" hidden="1" x14ac:dyDescent="0.25">
      <c r="A1205" t="str">
        <f>Koond_kulud!A1255</f>
        <v>10</v>
      </c>
      <c r="B1205" t="str">
        <f>Koond_kulud!B1255</f>
        <v xml:space="preserve">1040208         </v>
      </c>
      <c r="C1205" t="str">
        <f>Koond_kulud!C1255</f>
        <v xml:space="preserve"> Muud toetused</v>
      </c>
      <c r="D1205" t="str">
        <f>Koond_kulud!D1255</f>
        <v>Muu perekondade ja laste sotsiaalne kaitse</v>
      </c>
      <c r="E1205" t="str">
        <f>Koond_kulud!E1255</f>
        <v>Sotsiaalne kaitse</v>
      </c>
      <c r="F1205" t="str">
        <f>Koond_kulud!F1255</f>
        <v>Sotsiaalosakond</v>
      </c>
      <c r="G1205" t="str">
        <f>Koond_kulud!G1255</f>
        <v>Noortemajadele, õpilaskodule</v>
      </c>
      <c r="H1205">
        <f>Koond_kulud!H1255</f>
        <v>600</v>
      </c>
      <c r="I1205">
        <f>Koond_kulud!I1255</f>
        <v>0</v>
      </c>
      <c r="J1205">
        <f>Koond_kulud!J1255</f>
        <v>5526</v>
      </c>
      <c r="K1205" t="str">
        <f>Koond_kulud!K1255</f>
        <v>Sotsiaalteenused</v>
      </c>
      <c r="L1205">
        <f>Koond_kulud!L1255</f>
        <v>55</v>
      </c>
      <c r="M1205" t="str">
        <f>Koond_kulud!M1255</f>
        <v>55</v>
      </c>
      <c r="N1205" t="str">
        <f>Koond_kulud!N1255</f>
        <v>Muud tegevuskulud</v>
      </c>
      <c r="O1205" t="str">
        <f>Koond_kulud!O1255</f>
        <v>Majandamiskulud</v>
      </c>
      <c r="P1205" t="str">
        <f>Koond_kulud!P1255</f>
        <v>Põhitegevuse kulu</v>
      </c>
      <c r="Q1205">
        <f>Koond_kulud!Q1255</f>
        <v>0</v>
      </c>
    </row>
    <row r="1206" spans="1:17" hidden="1" x14ac:dyDescent="0.25">
      <c r="A1206" t="str">
        <f>Koond_kulud!A1256</f>
        <v>10</v>
      </c>
      <c r="B1206" t="str">
        <f>Koond_kulud!B1256</f>
        <v xml:space="preserve">1040208         </v>
      </c>
      <c r="C1206" t="str">
        <f>Koond_kulud!C1256</f>
        <v xml:space="preserve"> Muud toetused</v>
      </c>
      <c r="D1206" t="str">
        <f>Koond_kulud!D1256</f>
        <v>Muu perekondade ja laste sotsiaalne kaitse</v>
      </c>
      <c r="E1206" t="str">
        <f>Koond_kulud!E1256</f>
        <v>Sotsiaalne kaitse</v>
      </c>
      <c r="F1206" t="str">
        <f>Koond_kulud!F1256</f>
        <v>Sotsiaalosakond</v>
      </c>
      <c r="G1206" t="str">
        <f>Koond_kulud!G1256</f>
        <v>laste kommipakid</v>
      </c>
      <c r="H1206">
        <f>Koond_kulud!H1256</f>
        <v>8000</v>
      </c>
      <c r="I1206">
        <f>Koond_kulud!I1256</f>
        <v>0</v>
      </c>
      <c r="J1206">
        <f>Koond_kulud!J1256</f>
        <v>5525</v>
      </c>
      <c r="K1206" t="str">
        <f>Koond_kulud!K1256</f>
        <v>Kommunikatsiooni-, kultuuri- ja vaba aja sisustamise kulud</v>
      </c>
      <c r="L1206">
        <f>Koond_kulud!L1256</f>
        <v>55</v>
      </c>
      <c r="M1206" t="str">
        <f>Koond_kulud!M1256</f>
        <v>55</v>
      </c>
      <c r="N1206" t="str">
        <f>Koond_kulud!N1256</f>
        <v>Muud tegevuskulud</v>
      </c>
      <c r="O1206" t="str">
        <f>Koond_kulud!O1256</f>
        <v>Majandamiskulud</v>
      </c>
      <c r="P1206" t="str">
        <f>Koond_kulud!P1256</f>
        <v>Põhitegevuse kulu</v>
      </c>
      <c r="Q1206">
        <f>Koond_kulud!Q1256</f>
        <v>0</v>
      </c>
    </row>
    <row r="1207" spans="1:17" hidden="1" x14ac:dyDescent="0.25">
      <c r="A1207" t="str">
        <f>Koond_kulud!A1257</f>
        <v>10</v>
      </c>
      <c r="B1207" t="str">
        <f>Koond_kulud!B1257</f>
        <v xml:space="preserve">1040208         </v>
      </c>
      <c r="C1207" t="str">
        <f>Koond_kulud!C1257</f>
        <v xml:space="preserve"> Muud toetused</v>
      </c>
      <c r="D1207" t="str">
        <f>Koond_kulud!D1257</f>
        <v>Muu perekondade ja laste sotsiaalne kaitse</v>
      </c>
      <c r="E1207" t="str">
        <f>Koond_kulud!E1257</f>
        <v>Sotsiaalne kaitse</v>
      </c>
      <c r="F1207" t="str">
        <f>Koond_kulud!F1257</f>
        <v>Sotsiaalosakond</v>
      </c>
      <c r="G1207" t="str">
        <f>Koond_kulud!G1257</f>
        <v>Lääne-Virumaa Suurte Perede ühenduse toetamine</v>
      </c>
      <c r="H1207">
        <f>Koond_kulud!H1257</f>
        <v>600</v>
      </c>
      <c r="I1207">
        <f>Koond_kulud!I1257</f>
        <v>0</v>
      </c>
      <c r="J1207">
        <f>Koond_kulud!J1257</f>
        <v>4500</v>
      </c>
      <c r="K1207" t="str">
        <f>Koond_kulud!K1257</f>
        <v>Sihtotstarbelised eraldised jooksvateks kuludeks</v>
      </c>
      <c r="L1207">
        <f>Koond_kulud!L1257</f>
        <v>4500</v>
      </c>
      <c r="M1207" t="str">
        <f>Koond_kulud!M1257</f>
        <v>45</v>
      </c>
      <c r="N1207" t="str">
        <f>Koond_kulud!N1257</f>
        <v>Antavad toetused tegevuskuludeks</v>
      </c>
      <c r="O1207" t="str">
        <f>Koond_kulud!O1257</f>
        <v>Sihtotstarbelised toetused tegevuskuludeks</v>
      </c>
      <c r="P1207" t="str">
        <f>Koond_kulud!P1257</f>
        <v>Põhitegevuse kulu</v>
      </c>
      <c r="Q1207">
        <f>Koond_kulud!Q1257</f>
        <v>0</v>
      </c>
    </row>
    <row r="1208" spans="1:17" hidden="1" x14ac:dyDescent="0.25">
      <c r="A1208" t="str">
        <f>Koond_kulud!A1258</f>
        <v>10</v>
      </c>
      <c r="B1208" t="str">
        <f>Koond_kulud!B1258</f>
        <v xml:space="preserve">1040208         </v>
      </c>
      <c r="C1208" t="str">
        <f>Koond_kulud!C1258</f>
        <v xml:space="preserve"> Muud toetused</v>
      </c>
      <c r="D1208" t="str">
        <f>Koond_kulud!D1258</f>
        <v>Muu perekondade ja laste sotsiaalne kaitse</v>
      </c>
      <c r="E1208" t="str">
        <f>Koond_kulud!E1258</f>
        <v>Sotsiaalne kaitse</v>
      </c>
      <c r="F1208" t="str">
        <f>Koond_kulud!F1258</f>
        <v>Sotsiaalosakond</v>
      </c>
      <c r="G1208" t="str">
        <f>Koond_kulud!G1258</f>
        <v>Porkuni kool</v>
      </c>
      <c r="H1208">
        <f>Koond_kulud!H1258</f>
        <v>3000</v>
      </c>
      <c r="I1208">
        <f>Koond_kulud!I1258</f>
        <v>0</v>
      </c>
      <c r="J1208">
        <f>Koond_kulud!J1258</f>
        <v>41309</v>
      </c>
      <c r="K1208" t="str">
        <f>Koond_kulud!K1258</f>
        <v>Muud peretoetused</v>
      </c>
      <c r="L1208">
        <f>Koond_kulud!L1258</f>
        <v>413</v>
      </c>
      <c r="M1208" t="str">
        <f>Koond_kulud!M1258</f>
        <v>41</v>
      </c>
      <c r="N1208" t="str">
        <f>Koond_kulud!N1258</f>
        <v>Antavad toetused tegevuskuludeks</v>
      </c>
      <c r="O1208" t="str">
        <f>Koond_kulud!O1258</f>
        <v>Sotsiaalabitoetused ja muud toetused füüsilistele isikutele</v>
      </c>
      <c r="P1208" t="str">
        <f>Koond_kulud!P1258</f>
        <v>Põhitegevuse kulu</v>
      </c>
      <c r="Q1208">
        <f>Koond_kulud!Q1258</f>
        <v>0</v>
      </c>
    </row>
    <row r="1209" spans="1:17" hidden="1" x14ac:dyDescent="0.25">
      <c r="A1209" t="str">
        <f>Koond_kulud!A1259</f>
        <v>10</v>
      </c>
      <c r="B1209" t="str">
        <f>Koond_kulud!B1259</f>
        <v xml:space="preserve">10500           </v>
      </c>
      <c r="C1209" t="str">
        <f>Koond_kulud!C1259</f>
        <v xml:space="preserve"> Töötute sotsiaalne kaitse</v>
      </c>
      <c r="D1209" t="str">
        <f>Koond_kulud!D1259</f>
        <v>Töötute sotsiaalne kaitse</v>
      </c>
      <c r="E1209" t="str">
        <f>Koond_kulud!E1259</f>
        <v>Sotsiaalne kaitse</v>
      </c>
      <c r="F1209" t="str">
        <f>Koond_kulud!F1259</f>
        <v>Sotsiaalosakond</v>
      </c>
      <c r="G1209" t="str">
        <f>Koond_kulud!G1259</f>
        <v>Muud toetused töötutele (ühekordsed toetused)</v>
      </c>
      <c r="H1209">
        <f>Koond_kulud!H1259</f>
        <v>3000</v>
      </c>
      <c r="I1209">
        <f>Koond_kulud!I1259</f>
        <v>0</v>
      </c>
      <c r="J1209">
        <f>Koond_kulud!J1259</f>
        <v>41329</v>
      </c>
      <c r="K1209" t="str">
        <f>Koond_kulud!K1259</f>
        <v>Muud toetused töötutele</v>
      </c>
      <c r="L1209">
        <f>Koond_kulud!L1259</f>
        <v>413</v>
      </c>
      <c r="M1209" t="str">
        <f>Koond_kulud!M1259</f>
        <v>41</v>
      </c>
      <c r="N1209" t="str">
        <f>Koond_kulud!N1259</f>
        <v>Antavad toetused tegevuskuludeks</v>
      </c>
      <c r="O1209" t="str">
        <f>Koond_kulud!O1259</f>
        <v>Sotsiaalabitoetused ja muud toetused füüsilistele isikutele</v>
      </c>
      <c r="P1209" t="str">
        <f>Koond_kulud!P1259</f>
        <v>Põhitegevuse kulu</v>
      </c>
      <c r="Q1209">
        <f>Koond_kulud!Q1259</f>
        <v>0</v>
      </c>
    </row>
    <row r="1210" spans="1:17" hidden="1" x14ac:dyDescent="0.25">
      <c r="A1210" t="str">
        <f>Koond_kulud!A1260</f>
        <v>10</v>
      </c>
      <c r="B1210" t="str">
        <f>Koond_kulud!B1260</f>
        <v xml:space="preserve">10500           </v>
      </c>
      <c r="C1210" t="str">
        <f>Koond_kulud!C1260</f>
        <v xml:space="preserve"> Töötute sotsiaalne kaitse</v>
      </c>
      <c r="D1210" t="str">
        <f>Koond_kulud!D1260</f>
        <v>Töötute sotsiaalne kaitse</v>
      </c>
      <c r="E1210" t="str">
        <f>Koond_kulud!E1260</f>
        <v>Sotsiaalne kaitse</v>
      </c>
      <c r="F1210" t="str">
        <f>Koond_kulud!F1260</f>
        <v>Sotsiaalosakond</v>
      </c>
      <c r="G1210" t="str">
        <f>Koond_kulud!G1260</f>
        <v>Töötute sotsiaalne kaitse (töötamine)</v>
      </c>
      <c r="H1210">
        <f>Koond_kulud!H1260</f>
        <v>1200</v>
      </c>
      <c r="I1210">
        <f>Koond_kulud!I1260</f>
        <v>0</v>
      </c>
      <c r="J1210">
        <f>Koond_kulud!J1260</f>
        <v>41329</v>
      </c>
      <c r="K1210" t="str">
        <f>Koond_kulud!K1260</f>
        <v>Muud toetused töötutele</v>
      </c>
      <c r="L1210">
        <f>Koond_kulud!L1260</f>
        <v>413</v>
      </c>
      <c r="M1210" t="str">
        <f>Koond_kulud!M1260</f>
        <v>41</v>
      </c>
      <c r="N1210" t="str">
        <f>Koond_kulud!N1260</f>
        <v>Antavad toetused tegevuskuludeks</v>
      </c>
      <c r="O1210" t="str">
        <f>Koond_kulud!O1260</f>
        <v>Sotsiaalabitoetused ja muud toetused füüsilistele isikutele</v>
      </c>
      <c r="P1210" t="str">
        <f>Koond_kulud!P1260</f>
        <v>Põhitegevuse kulu</v>
      </c>
      <c r="Q1210">
        <f>Koond_kulud!Q1260</f>
        <v>0</v>
      </c>
    </row>
    <row r="1211" spans="1:17" hidden="1" x14ac:dyDescent="0.25">
      <c r="A1211" t="str">
        <f>Koond_kulud!A1261</f>
        <v>10</v>
      </c>
      <c r="B1211" t="str">
        <f>Koond_kulud!B1261</f>
        <v xml:space="preserve">10500           </v>
      </c>
      <c r="C1211" t="str">
        <f>Koond_kulud!C1261</f>
        <v xml:space="preserve"> Töötute sotsiaalne kaitse</v>
      </c>
      <c r="D1211" t="str">
        <f>Koond_kulud!D1261</f>
        <v>Töötute sotsiaalne kaitse</v>
      </c>
      <c r="E1211" t="str">
        <f>Koond_kulud!E1261</f>
        <v>Sotsiaalne kaitse</v>
      </c>
      <c r="F1211" t="str">
        <f>Koond_kulud!F1261</f>
        <v>Sotsiaalosakond</v>
      </c>
      <c r="G1211" t="str">
        <f>Koond_kulud!G1261</f>
        <v>Ravikindlustuseta kindlustamata isikud</v>
      </c>
      <c r="H1211">
        <f>Koond_kulud!H1261</f>
        <v>1200</v>
      </c>
      <c r="I1211">
        <f>Koond_kulud!I1261</f>
        <v>0</v>
      </c>
      <c r="J1211">
        <f>Koond_kulud!J1261</f>
        <v>41329</v>
      </c>
      <c r="K1211" t="str">
        <f>Koond_kulud!K1261</f>
        <v>Muud toetused töötutele</v>
      </c>
      <c r="L1211">
        <f>Koond_kulud!L1261</f>
        <v>413</v>
      </c>
      <c r="M1211" t="str">
        <f>Koond_kulud!M1261</f>
        <v>41</v>
      </c>
      <c r="N1211" t="str">
        <f>Koond_kulud!N1261</f>
        <v>Antavad toetused tegevuskuludeks</v>
      </c>
      <c r="O1211" t="str">
        <f>Koond_kulud!O1261</f>
        <v>Sotsiaalabitoetused ja muud toetused füüsilistele isikutele</v>
      </c>
      <c r="P1211" t="str">
        <f>Koond_kulud!P1261</f>
        <v>Põhitegevuse kulu</v>
      </c>
      <c r="Q1211">
        <f>Koond_kulud!Q1261</f>
        <v>0</v>
      </c>
    </row>
    <row r="1212" spans="1:17" hidden="1" x14ac:dyDescent="0.25">
      <c r="A1212" t="str">
        <f>Koond_kulud!A1262</f>
        <v>10</v>
      </c>
      <c r="B1212" t="str">
        <f>Koond_kulud!B1262</f>
        <v xml:space="preserve">10600           </v>
      </c>
      <c r="C1212" t="str">
        <f>Koond_kulud!C1262</f>
        <v xml:space="preserve"> Eluasemeteenused sotsiaalsetele riskirühmadele</v>
      </c>
      <c r="D1212" t="str">
        <f>Koond_kulud!D1262</f>
        <v>Eluasemeteenused sotsiaalsetele riskirühmadele</v>
      </c>
      <c r="E1212" t="str">
        <f>Koond_kulud!E1262</f>
        <v>Sotsiaalne kaitse</v>
      </c>
      <c r="F1212" t="str">
        <f>Koond_kulud!F1262</f>
        <v>Sotsiaalosakond</v>
      </c>
      <c r="G1212" t="str">
        <f>Koond_kulud!G1262</f>
        <v>Küttetoetus</v>
      </c>
      <c r="H1212">
        <f>Koond_kulud!H1262</f>
        <v>16000</v>
      </c>
      <c r="I1212">
        <f>Koond_kulud!I1262</f>
        <v>0</v>
      </c>
      <c r="J1212">
        <f>Koond_kulud!J1262</f>
        <v>413899</v>
      </c>
      <c r="K1212" t="str">
        <f>Koond_kulud!K1262</f>
        <v>Muud sotsiaalabitoetused ja hüvitised</v>
      </c>
      <c r="L1212">
        <f>Koond_kulud!L1262</f>
        <v>413</v>
      </c>
      <c r="M1212" t="str">
        <f>Koond_kulud!M1262</f>
        <v>41</v>
      </c>
      <c r="N1212" t="str">
        <f>Koond_kulud!N1262</f>
        <v>Antavad toetused tegevuskuludeks</v>
      </c>
      <c r="O1212" t="str">
        <f>Koond_kulud!O1262</f>
        <v>Sotsiaalabitoetused ja muud toetused füüsilistele isikutele</v>
      </c>
      <c r="P1212" t="str">
        <f>Koond_kulud!P1262</f>
        <v>Põhitegevuse kulu</v>
      </c>
      <c r="Q1212">
        <f>Koond_kulud!Q1262</f>
        <v>0</v>
      </c>
    </row>
    <row r="1213" spans="1:17" hidden="1" x14ac:dyDescent="0.25">
      <c r="A1213" t="str">
        <f>Koond_kulud!A1263</f>
        <v>10</v>
      </c>
      <c r="B1213" t="str">
        <f>Koond_kulud!B1263</f>
        <v xml:space="preserve">10600           </v>
      </c>
      <c r="C1213" t="str">
        <f>Koond_kulud!C1263</f>
        <v xml:space="preserve"> Eluasemeteenused sotsiaalsetele riskirühmadele</v>
      </c>
      <c r="D1213" t="str">
        <f>Koond_kulud!D1263</f>
        <v>Eluasemeteenused sotsiaalsetele riskirühmadele</v>
      </c>
      <c r="E1213" t="str">
        <f>Koond_kulud!E1263</f>
        <v>Sotsiaalne kaitse</v>
      </c>
      <c r="F1213" t="str">
        <f>Koond_kulud!F1263</f>
        <v>Sotsiaalosakond</v>
      </c>
      <c r="G1213" t="str">
        <f>Koond_kulud!G1263</f>
        <v>Sotsiaalkorterite remont</v>
      </c>
      <c r="H1213">
        <f>Koond_kulud!H1263</f>
        <v>18385</v>
      </c>
      <c r="I1213">
        <f>Koond_kulud!I1263</f>
        <v>0</v>
      </c>
      <c r="J1213">
        <f>Koond_kulud!J1263</f>
        <v>5511</v>
      </c>
      <c r="K1213" t="str">
        <f>Koond_kulud!K1263</f>
        <v>Kinnistute, hoonete ja ruumide majandamiskulud</v>
      </c>
      <c r="L1213">
        <f>Koond_kulud!L1263</f>
        <v>55</v>
      </c>
      <c r="M1213" t="str">
        <f>Koond_kulud!M1263</f>
        <v>55</v>
      </c>
      <c r="N1213" t="str">
        <f>Koond_kulud!N1263</f>
        <v>Muud tegevuskulud</v>
      </c>
      <c r="O1213" t="str">
        <f>Koond_kulud!O1263</f>
        <v>Majandamiskulud</v>
      </c>
      <c r="P1213" t="str">
        <f>Koond_kulud!P1263</f>
        <v>Põhitegevuse kulu</v>
      </c>
      <c r="Q1213">
        <f>Koond_kulud!Q1263</f>
        <v>0</v>
      </c>
    </row>
    <row r="1214" spans="1:17" hidden="1" x14ac:dyDescent="0.25">
      <c r="A1214" t="str">
        <f>Koond_kulud!A1264</f>
        <v>10</v>
      </c>
      <c r="B1214" t="str">
        <f>Koond_kulud!B1264</f>
        <v xml:space="preserve">10701           </v>
      </c>
      <c r="C1214" t="str">
        <f>Koond_kulud!C1264</f>
        <v xml:space="preserve"> Riiklik toimetulekutoetus</v>
      </c>
      <c r="D1214" t="str">
        <f>Koond_kulud!D1264</f>
        <v>Riiklik toimetulekutoetus</v>
      </c>
      <c r="E1214" t="str">
        <f>Koond_kulud!E1264</f>
        <v>Sotsiaalne kaitse</v>
      </c>
      <c r="F1214" t="str">
        <f>Koond_kulud!F1264</f>
        <v>Sotsiaalosakond</v>
      </c>
      <c r="G1214" t="str">
        <f>Koond_kulud!G1264</f>
        <v>Toimetulekutoetus</v>
      </c>
      <c r="H1214">
        <f>Koond_kulud!H1264</f>
        <v>70350</v>
      </c>
      <c r="I1214" t="str">
        <f>Koond_kulud!I1264</f>
        <v>Toetusfond</v>
      </c>
      <c r="J1214">
        <f>Koond_kulud!J1264</f>
        <v>4131</v>
      </c>
      <c r="K1214" t="str">
        <f>Koond_kulud!K1264</f>
        <v>Toimetulekutoetus ja täiendavad sotsiaaltoetused</v>
      </c>
      <c r="L1214">
        <f>Koond_kulud!L1264</f>
        <v>413</v>
      </c>
      <c r="M1214" t="str">
        <f>Koond_kulud!M1264</f>
        <v>41</v>
      </c>
      <c r="N1214" t="str">
        <f>Koond_kulud!N1264</f>
        <v>Antavad toetused tegevuskuludeks</v>
      </c>
      <c r="O1214" t="str">
        <f>Koond_kulud!O1264</f>
        <v>Sotsiaalabitoetused ja muud toetused füüsilistele isikutele</v>
      </c>
      <c r="P1214" t="str">
        <f>Koond_kulud!P1264</f>
        <v>Põhitegevuse kulu</v>
      </c>
      <c r="Q1214">
        <f>Koond_kulud!Q1264</f>
        <v>0</v>
      </c>
    </row>
    <row r="1215" spans="1:17" hidden="1" x14ac:dyDescent="0.25">
      <c r="A1215" t="str">
        <f>Koond_kulud!A1266</f>
        <v>10</v>
      </c>
      <c r="B1215" t="str">
        <f>Koond_kulud!B1266</f>
        <v xml:space="preserve">10702           </v>
      </c>
      <c r="C1215" t="str">
        <f>Koond_kulud!C1266</f>
        <v xml:space="preserve"> Muu sotsiaalsete riskirühmade kaitse</v>
      </c>
      <c r="D1215" t="str">
        <f>Koond_kulud!D1266</f>
        <v>Muu sotsiaalsete riskirühmade kaitse</v>
      </c>
      <c r="E1215" t="str">
        <f>Koond_kulud!E1266</f>
        <v>Sotsiaalne kaitse</v>
      </c>
      <c r="F1215" t="str">
        <f>Koond_kulud!F1266</f>
        <v>Sotsiaalosakond</v>
      </c>
      <c r="G1215" t="str">
        <f>Koond_kulud!G1266</f>
        <v>Vältimatu sotsiaalabi</v>
      </c>
      <c r="H1215">
        <f>Koond_kulud!H1266</f>
        <v>2000</v>
      </c>
      <c r="I1215">
        <f>Koond_kulud!I1266</f>
        <v>0</v>
      </c>
      <c r="J1215">
        <f>Koond_kulud!J1266</f>
        <v>413899</v>
      </c>
      <c r="K1215" t="str">
        <f>Koond_kulud!K1266</f>
        <v>Muud sotsiaalabitoetused ja hüvitised</v>
      </c>
      <c r="L1215">
        <f>Koond_kulud!L1266</f>
        <v>413</v>
      </c>
      <c r="M1215" t="str">
        <f>Koond_kulud!M1266</f>
        <v>41</v>
      </c>
      <c r="N1215" t="str">
        <f>Koond_kulud!N1266</f>
        <v>Antavad toetused tegevuskuludeks</v>
      </c>
      <c r="O1215" t="str">
        <f>Koond_kulud!O1266</f>
        <v>Sotsiaalabitoetused ja muud toetused füüsilistele isikutele</v>
      </c>
      <c r="P1215" t="str">
        <f>Koond_kulud!P1266</f>
        <v>Põhitegevuse kulu</v>
      </c>
      <c r="Q1215">
        <f>Koond_kulud!Q1266</f>
        <v>0</v>
      </c>
    </row>
    <row r="1216" spans="1:17" hidden="1" x14ac:dyDescent="0.25">
      <c r="A1216" t="str">
        <f>Koond_kulud!A1267</f>
        <v>10</v>
      </c>
      <c r="B1216" t="str">
        <f>Koond_kulud!B1267</f>
        <v xml:space="preserve">10702           </v>
      </c>
      <c r="C1216" t="str">
        <f>Koond_kulud!C1267</f>
        <v xml:space="preserve"> Muu sotsiaalsete riskirühmade kaitse</v>
      </c>
      <c r="D1216" t="str">
        <f>Koond_kulud!D1267</f>
        <v>Muu sotsiaalsete riskirühmade kaitse</v>
      </c>
      <c r="E1216" t="str">
        <f>Koond_kulud!E1267</f>
        <v>Sotsiaalne kaitse</v>
      </c>
      <c r="F1216" t="str">
        <f>Koond_kulud!F1267</f>
        <v>Sotsiaalosakond</v>
      </c>
      <c r="G1216" t="str">
        <f>Koond_kulud!G1267</f>
        <v>Erakorraline toetus</v>
      </c>
      <c r="H1216">
        <f>Koond_kulud!H1267</f>
        <v>20000</v>
      </c>
      <c r="I1216">
        <f>Koond_kulud!I1267</f>
        <v>0</v>
      </c>
      <c r="J1216">
        <f>Koond_kulud!J1267</f>
        <v>413899</v>
      </c>
      <c r="K1216" t="str">
        <f>Koond_kulud!K1267</f>
        <v>Muud sotsiaalabitoetused ja hüvitised</v>
      </c>
      <c r="L1216">
        <f>Koond_kulud!L1267</f>
        <v>413</v>
      </c>
      <c r="M1216" t="str">
        <f>Koond_kulud!M1267</f>
        <v>41</v>
      </c>
      <c r="N1216" t="str">
        <f>Koond_kulud!N1267</f>
        <v>Antavad toetused tegevuskuludeks</v>
      </c>
      <c r="O1216" t="str">
        <f>Koond_kulud!O1267</f>
        <v>Sotsiaalabitoetused ja muud toetused füüsilistele isikutele</v>
      </c>
      <c r="P1216" t="str">
        <f>Koond_kulud!P1267</f>
        <v>Põhitegevuse kulu</v>
      </c>
      <c r="Q1216">
        <f>Koond_kulud!Q1267</f>
        <v>0</v>
      </c>
    </row>
    <row r="1217" spans="1:17" hidden="1" x14ac:dyDescent="0.25">
      <c r="A1217" t="str">
        <f>Koond_kulud!A1268</f>
        <v>10</v>
      </c>
      <c r="B1217" t="str">
        <f>Koond_kulud!B1268</f>
        <v xml:space="preserve">10702           </v>
      </c>
      <c r="C1217" t="str">
        <f>Koond_kulud!C1268</f>
        <v xml:space="preserve"> Muu sotsiaalsete riskirühmade kaitse</v>
      </c>
      <c r="D1217" t="str">
        <f>Koond_kulud!D1268</f>
        <v>Muu sotsiaalsete riskirühmade kaitse</v>
      </c>
      <c r="E1217" t="str">
        <f>Koond_kulud!E1268</f>
        <v>Sotsiaalne kaitse</v>
      </c>
      <c r="F1217" t="str">
        <f>Koond_kulud!F1268</f>
        <v>Sotsiaalosakond</v>
      </c>
      <c r="G1217" t="str">
        <f>Koond_kulud!G1268</f>
        <v>Rakvere Kodutute Varjupaik - teenuse ost</v>
      </c>
      <c r="H1217">
        <f>Koond_kulud!H1268</f>
        <v>800</v>
      </c>
      <c r="I1217">
        <f>Koond_kulud!I1268</f>
        <v>0</v>
      </c>
      <c r="J1217">
        <f>Koond_kulud!J1268</f>
        <v>413899</v>
      </c>
      <c r="K1217" t="str">
        <f>Koond_kulud!K1268</f>
        <v>Muud sotsiaalabitoetused ja hüvitised</v>
      </c>
      <c r="L1217">
        <f>Koond_kulud!L1268</f>
        <v>413</v>
      </c>
      <c r="M1217" t="str">
        <f>Koond_kulud!M1268</f>
        <v>41</v>
      </c>
      <c r="N1217" t="str">
        <f>Koond_kulud!N1268</f>
        <v>Antavad toetused tegevuskuludeks</v>
      </c>
      <c r="O1217" t="str">
        <f>Koond_kulud!O1268</f>
        <v>Sotsiaalabitoetused ja muud toetused füüsilistele isikutele</v>
      </c>
      <c r="P1217" t="str">
        <f>Koond_kulud!P1268</f>
        <v>Põhitegevuse kulu</v>
      </c>
      <c r="Q1217">
        <f>Koond_kulud!Q1268</f>
        <v>0</v>
      </c>
    </row>
    <row r="1218" spans="1:17" hidden="1" x14ac:dyDescent="0.25">
      <c r="A1218" t="str">
        <f>Koond_kulud!A1269</f>
        <v>10</v>
      </c>
      <c r="B1218" t="str">
        <f>Koond_kulud!B1269</f>
        <v xml:space="preserve">10702           </v>
      </c>
      <c r="C1218" t="str">
        <f>Koond_kulud!C1269</f>
        <v xml:space="preserve"> Muu sotsiaalsete riskirühmade kaitse</v>
      </c>
      <c r="D1218" t="str">
        <f>Koond_kulud!D1269</f>
        <v>Muu sotsiaalsete riskirühmade kaitse</v>
      </c>
      <c r="E1218" t="str">
        <f>Koond_kulud!E1269</f>
        <v>Sotsiaalne kaitse</v>
      </c>
      <c r="F1218" t="str">
        <f>Koond_kulud!F1269</f>
        <v>Sotsiaalosakond</v>
      </c>
      <c r="G1218" t="str">
        <f>Koond_kulud!G1269</f>
        <v>Varjupaik + Naiste Varjupaik</v>
      </c>
      <c r="H1218">
        <f>Koond_kulud!H1269</f>
        <v>3000</v>
      </c>
      <c r="I1218">
        <f>Koond_kulud!I1269</f>
        <v>0</v>
      </c>
      <c r="J1218">
        <f>Koond_kulud!J1269</f>
        <v>413899</v>
      </c>
      <c r="K1218" t="str">
        <f>Koond_kulud!K1269</f>
        <v>Muud sotsiaalabitoetused ja hüvitised</v>
      </c>
      <c r="L1218">
        <f>Koond_kulud!L1269</f>
        <v>413</v>
      </c>
      <c r="M1218" t="str">
        <f>Koond_kulud!M1269</f>
        <v>41</v>
      </c>
      <c r="N1218" t="str">
        <f>Koond_kulud!N1269</f>
        <v>Antavad toetused tegevuskuludeks</v>
      </c>
      <c r="O1218" t="str">
        <f>Koond_kulud!O1269</f>
        <v>Sotsiaalabitoetused ja muud toetused füüsilistele isikutele</v>
      </c>
      <c r="P1218" t="str">
        <f>Koond_kulud!P1269</f>
        <v>Põhitegevuse kulu</v>
      </c>
      <c r="Q1218">
        <f>Koond_kulud!Q1269</f>
        <v>0</v>
      </c>
    </row>
    <row r="1219" spans="1:17" hidden="1" x14ac:dyDescent="0.25">
      <c r="A1219" t="str">
        <f>Koond_kulud!A1270</f>
        <v>10</v>
      </c>
      <c r="B1219" t="str">
        <f>Koond_kulud!B1270</f>
        <v xml:space="preserve">10702           </v>
      </c>
      <c r="C1219" t="str">
        <f>Koond_kulud!C1270</f>
        <v xml:space="preserve"> Muu sotsiaalsete riskirühmade kaitse</v>
      </c>
      <c r="D1219" t="str">
        <f>Koond_kulud!D1270</f>
        <v>Muu sotsiaalsete riskirühmade kaitse</v>
      </c>
      <c r="E1219" t="str">
        <f>Koond_kulud!E1270</f>
        <v>Sotsiaalne kaitse</v>
      </c>
      <c r="F1219" t="str">
        <f>Koond_kulud!F1270</f>
        <v>Sotsiaalosakond</v>
      </c>
      <c r="G1219" t="str">
        <f>Koond_kulud!G1270</f>
        <v>Kauplusauto</v>
      </c>
      <c r="H1219">
        <f>Koond_kulud!H1270</f>
        <v>7440</v>
      </c>
      <c r="I1219" t="str">
        <f>Koond_kulud!I1270</f>
        <v xml:space="preserve">VKK Kaubandus; </v>
      </c>
      <c r="J1219">
        <f>Koond_kulud!J1270</f>
        <v>413899</v>
      </c>
      <c r="K1219" t="str">
        <f>Koond_kulud!K1270</f>
        <v>Muud sotsiaalabitoetused ja hüvitised</v>
      </c>
      <c r="L1219">
        <f>Koond_kulud!L1270</f>
        <v>413</v>
      </c>
      <c r="M1219" t="str">
        <f>Koond_kulud!M1270</f>
        <v>41</v>
      </c>
      <c r="N1219" t="str">
        <f>Koond_kulud!N1270</f>
        <v>Antavad toetused tegevuskuludeks</v>
      </c>
      <c r="O1219" t="str">
        <f>Koond_kulud!O1270</f>
        <v>Sotsiaalabitoetused ja muud toetused füüsilistele isikutele</v>
      </c>
      <c r="P1219" t="str">
        <f>Koond_kulud!P1270</f>
        <v>Põhitegevuse kulu</v>
      </c>
      <c r="Q1219">
        <f>Koond_kulud!Q1270</f>
        <v>0</v>
      </c>
    </row>
    <row r="1220" spans="1:17" hidden="1" x14ac:dyDescent="0.25">
      <c r="A1220" t="str">
        <f>Koond_kulud!A1272</f>
        <v>10</v>
      </c>
      <c r="B1220" t="str">
        <f>Koond_kulud!B1272</f>
        <v xml:space="preserve">10900           </v>
      </c>
      <c r="C1220" t="str">
        <f>Koond_kulud!C1272</f>
        <v xml:space="preserve"> Muu sotsiaalne kaitse, sh sotsiaalse kaitse haldus</v>
      </c>
      <c r="D1220" t="str">
        <f>Koond_kulud!D1272</f>
        <v>Muu sotsiaalne kaitse, sh sotsiaalse kaitse haldus</v>
      </c>
      <c r="E1220" t="str">
        <f>Koond_kulud!E1272</f>
        <v>Sotsiaalne kaitse</v>
      </c>
      <c r="F1220" t="str">
        <f>Koond_kulud!F1272</f>
        <v>Sotsiaalosakond</v>
      </c>
      <c r="G1220" t="str">
        <f>Koond_kulud!G1272</f>
        <v>Sotsiaali autode kulud+kompensatsioon</v>
      </c>
      <c r="H1220">
        <f>Koond_kulud!H1272</f>
        <v>18500</v>
      </c>
      <c r="I1220" t="str">
        <f>Koond_kulud!I1272</f>
        <v>kütus, liising, hooldused, kindlustus</v>
      </c>
      <c r="J1220">
        <f>Koond_kulud!J1272</f>
        <v>5513</v>
      </c>
      <c r="K1220" t="str">
        <f>Koond_kulud!K1272</f>
        <v>Sõidukite ülalpidamise kulud</v>
      </c>
      <c r="L1220">
        <f>Koond_kulud!L1272</f>
        <v>55</v>
      </c>
      <c r="M1220" t="str">
        <f>Koond_kulud!M1272</f>
        <v>55</v>
      </c>
      <c r="N1220" t="str">
        <f>Koond_kulud!N1272</f>
        <v>Muud tegevuskulud</v>
      </c>
      <c r="O1220" t="str">
        <f>Koond_kulud!O1272</f>
        <v>Majandamiskulud</v>
      </c>
      <c r="P1220" t="str">
        <f>Koond_kulud!P1272</f>
        <v>Põhitegevuse kulu</v>
      </c>
      <c r="Q1220">
        <f>Koond_kulud!Q1272</f>
        <v>0</v>
      </c>
    </row>
    <row r="1221" spans="1:17" hidden="1" x14ac:dyDescent="0.25">
      <c r="A1221" t="str">
        <f>Koond_kulud!A1273</f>
        <v>10</v>
      </c>
      <c r="B1221" t="str">
        <f>Koond_kulud!B1273</f>
        <v xml:space="preserve">10900           </v>
      </c>
      <c r="C1221" t="str">
        <f>Koond_kulud!C1273</f>
        <v xml:space="preserve"> Muu sotsiaalne kaitse, sh sotsiaalse kaitse haldus</v>
      </c>
      <c r="D1221" t="str">
        <f>Koond_kulud!D1273</f>
        <v>Muu sotsiaalne kaitse, sh sotsiaalse kaitse haldus</v>
      </c>
      <c r="E1221" t="str">
        <f>Koond_kulud!E1273</f>
        <v>Sotsiaalne kaitse</v>
      </c>
      <c r="F1221" t="str">
        <f>Koond_kulud!F1273</f>
        <v>Sotsiaalosakond</v>
      </c>
      <c r="G1221" t="str">
        <f>Koond_kulud!G1273</f>
        <v xml:space="preserve">Mobiiltelefoni kulu </v>
      </c>
      <c r="H1221">
        <f>Koond_kulud!H1273</f>
        <v>816</v>
      </c>
      <c r="I1221">
        <f>Koond_kulud!I1273</f>
        <v>0</v>
      </c>
      <c r="J1221">
        <f>Koond_kulud!J1273</f>
        <v>5500</v>
      </c>
      <c r="K1221" t="str">
        <f>Koond_kulud!K1273</f>
        <v>Administreerimiskulud</v>
      </c>
      <c r="L1221">
        <f>Koond_kulud!L1273</f>
        <v>55</v>
      </c>
      <c r="M1221" t="str">
        <f>Koond_kulud!M1273</f>
        <v>55</v>
      </c>
      <c r="N1221" t="str">
        <f>Koond_kulud!N1273</f>
        <v>Muud tegevuskulud</v>
      </c>
      <c r="O1221" t="str">
        <f>Koond_kulud!O1273</f>
        <v>Majandamiskulud</v>
      </c>
      <c r="P1221" t="str">
        <f>Koond_kulud!P1273</f>
        <v>Põhitegevuse kulu</v>
      </c>
      <c r="Q1221">
        <f>Koond_kulud!Q1273</f>
        <v>0</v>
      </c>
    </row>
    <row r="1222" spans="1:17" hidden="1" x14ac:dyDescent="0.25">
      <c r="A1222" t="str">
        <f>Koond_kulud!A1274</f>
        <v>10</v>
      </c>
      <c r="B1222" t="str">
        <f>Koond_kulud!B1274</f>
        <v xml:space="preserve">10900           </v>
      </c>
      <c r="C1222" t="str">
        <f>Koond_kulud!C1274</f>
        <v xml:space="preserve"> Muu sotsiaalne kaitse, sh sotsiaalse kaitse haldus</v>
      </c>
      <c r="D1222" t="str">
        <f>Koond_kulud!D1274</f>
        <v>Muu sotsiaalne kaitse, sh sotsiaalse kaitse haldus</v>
      </c>
      <c r="E1222" t="str">
        <f>Koond_kulud!E1274</f>
        <v>Sotsiaalne kaitse</v>
      </c>
      <c r="F1222" t="str">
        <f>Koond_kulud!F1274</f>
        <v>Sotsiaalosakond</v>
      </c>
      <c r="G1222" t="str">
        <f>Koond_kulud!G1274</f>
        <v>Koolituskulud</v>
      </c>
      <c r="H1222">
        <f>Koond_kulud!H1274</f>
        <v>1500</v>
      </c>
      <c r="I1222">
        <f>Koond_kulud!I1274</f>
        <v>0</v>
      </c>
      <c r="J1222">
        <f>Koond_kulud!J1274</f>
        <v>5504</v>
      </c>
      <c r="K1222" t="str">
        <f>Koond_kulud!K1274</f>
        <v>Koolituskulud</v>
      </c>
      <c r="L1222">
        <f>Koond_kulud!L1274</f>
        <v>55</v>
      </c>
      <c r="M1222" t="str">
        <f>Koond_kulud!M1274</f>
        <v>55</v>
      </c>
      <c r="N1222" t="str">
        <f>Koond_kulud!N1274</f>
        <v>Muud tegevuskulud</v>
      </c>
      <c r="O1222" t="str">
        <f>Koond_kulud!O1274</f>
        <v>Majandamiskulud</v>
      </c>
      <c r="P1222" t="str">
        <f>Koond_kulud!P1274</f>
        <v>Põhitegevuse kulu</v>
      </c>
      <c r="Q1222">
        <f>Koond_kulud!Q1274</f>
        <v>0</v>
      </c>
    </row>
    <row r="1223" spans="1:17" hidden="1" x14ac:dyDescent="0.25">
      <c r="A1223" t="str">
        <f>Koond_kulud!A1275</f>
        <v>10</v>
      </c>
      <c r="B1223" t="str">
        <f>Koond_kulud!B1275</f>
        <v xml:space="preserve">10900           </v>
      </c>
      <c r="C1223" t="str">
        <f>Koond_kulud!C1275</f>
        <v xml:space="preserve"> Muu sotsiaalne kaitse, sh sotsiaalse kaitse haldus</v>
      </c>
      <c r="D1223" t="str">
        <f>Koond_kulud!D1275</f>
        <v>Muu sotsiaalne kaitse, sh sotsiaalse kaitse haldus</v>
      </c>
      <c r="E1223" t="str">
        <f>Koond_kulud!E1275</f>
        <v>Sotsiaalne kaitse</v>
      </c>
      <c r="F1223" t="str">
        <f>Koond_kulud!F1275</f>
        <v>Sotsiaalosakond</v>
      </c>
      <c r="G1223" t="str">
        <f>Koond_kulud!G1275</f>
        <v>Inventar</v>
      </c>
      <c r="H1223">
        <f>Koond_kulud!H1275</f>
        <v>300</v>
      </c>
      <c r="I1223">
        <f>Koond_kulud!I1275</f>
        <v>0</v>
      </c>
      <c r="J1223">
        <f>Koond_kulud!J1275</f>
        <v>5515</v>
      </c>
      <c r="K1223" t="str">
        <f>Koond_kulud!K1275</f>
        <v>Inventari kulud, v.a infotehnoloogia ja kaitseotstarbelised kulud</v>
      </c>
      <c r="L1223">
        <f>Koond_kulud!L1275</f>
        <v>55</v>
      </c>
      <c r="M1223" t="str">
        <f>Koond_kulud!M1275</f>
        <v>55</v>
      </c>
      <c r="N1223" t="str">
        <f>Koond_kulud!N1275</f>
        <v>Muud tegevuskulud</v>
      </c>
      <c r="O1223" t="str">
        <f>Koond_kulud!O1275</f>
        <v>Majandamiskulud</v>
      </c>
      <c r="P1223" t="str">
        <f>Koond_kulud!P1275</f>
        <v>Põhitegevuse kulu</v>
      </c>
      <c r="Q1223">
        <f>Koond_kulud!Q1275</f>
        <v>0</v>
      </c>
    </row>
    <row r="1224" spans="1:17" hidden="1" x14ac:dyDescent="0.25">
      <c r="A1224" t="str">
        <f>Koond_kulud!A1276</f>
        <v>10</v>
      </c>
      <c r="B1224" t="str">
        <f>Koond_kulud!B1276</f>
        <v xml:space="preserve">10900           </v>
      </c>
      <c r="C1224" t="str">
        <f>Koond_kulud!C1276</f>
        <v xml:space="preserve"> Muu sotsiaalne kaitse, sh sotsiaalse kaitse haldus</v>
      </c>
      <c r="D1224" t="str">
        <f>Koond_kulud!D1276</f>
        <v>Muu sotsiaalne kaitse, sh sotsiaalse kaitse haldus</v>
      </c>
      <c r="E1224" t="str">
        <f>Koond_kulud!E1276</f>
        <v>Sotsiaalne kaitse</v>
      </c>
      <c r="F1224" t="str">
        <f>Koond_kulud!F1276</f>
        <v>Sotsiaalosakond</v>
      </c>
      <c r="G1224" t="str">
        <f>Koond_kulud!G1276</f>
        <v>Riigilõiv (20 in eestkoste vormistamiseks)</v>
      </c>
      <c r="H1224">
        <f>Koond_kulud!H1276</f>
        <v>1000</v>
      </c>
      <c r="I1224" t="str">
        <f>Koond_kulud!I1276</f>
        <v>+ lisatud MTÜ Eestkoste teenused riigilõiv 50€/kuu</v>
      </c>
      <c r="J1224">
        <f>Koond_kulud!J1276</f>
        <v>601</v>
      </c>
      <c r="K1224" t="str">
        <f>Koond_kulud!K1276</f>
        <v>Maksu-, riigilõivu- ja trahvikulud</v>
      </c>
      <c r="L1224">
        <f>Koond_kulud!L1276</f>
        <v>60</v>
      </c>
      <c r="M1224" t="str">
        <f>Koond_kulud!M1276</f>
        <v>60</v>
      </c>
      <c r="N1224" t="str">
        <f>Koond_kulud!N1276</f>
        <v>Muud tegevuskulud</v>
      </c>
      <c r="O1224" t="str">
        <f>Koond_kulud!O1276</f>
        <v>Muud kulud</v>
      </c>
      <c r="P1224" t="str">
        <f>Koond_kulud!P1276</f>
        <v>Põhitegevuse kulu</v>
      </c>
      <c r="Q1224">
        <f>Koond_kulud!Q1276</f>
        <v>0</v>
      </c>
    </row>
    <row r="1225" spans="1:17" hidden="1" x14ac:dyDescent="0.25">
      <c r="A1225" t="str">
        <f>Koond_kulud!A1277</f>
        <v>10</v>
      </c>
      <c r="B1225" t="str">
        <f>Koond_kulud!B1277</f>
        <v xml:space="preserve">10900           </v>
      </c>
      <c r="C1225" t="str">
        <f>Koond_kulud!C1277</f>
        <v xml:space="preserve"> Muu sotsiaalne kaitse, sh sotsiaalse kaitse haldus</v>
      </c>
      <c r="D1225" t="str">
        <f>Koond_kulud!D1277</f>
        <v>Muu sotsiaalne kaitse, sh sotsiaalse kaitse haldus</v>
      </c>
      <c r="E1225" t="str">
        <f>Koond_kulud!E1277</f>
        <v>Sotsiaalne kaitse</v>
      </c>
      <c r="F1225" t="str">
        <f>Koond_kulud!F1277</f>
        <v>Sotsiaalosakond</v>
      </c>
      <c r="G1225" t="str">
        <f>Koond_kulud!G1277</f>
        <v>Projektides osalemised</v>
      </c>
      <c r="H1225">
        <f>Koond_kulud!H1277</f>
        <v>2000</v>
      </c>
      <c r="I1225">
        <f>Koond_kulud!I1277</f>
        <v>0</v>
      </c>
      <c r="J1225">
        <f>Koond_kulud!J1277</f>
        <v>4500</v>
      </c>
      <c r="K1225" t="str">
        <f>Koond_kulud!K1277</f>
        <v>Sihtotstarbelised eraldised jooksvateks kuludeks</v>
      </c>
      <c r="L1225">
        <f>Koond_kulud!L1277</f>
        <v>4500</v>
      </c>
      <c r="M1225" t="str">
        <f>Koond_kulud!M1277</f>
        <v>45</v>
      </c>
      <c r="N1225" t="str">
        <f>Koond_kulud!N1277</f>
        <v>Antavad toetused tegevuskuludeks</v>
      </c>
      <c r="O1225" t="str">
        <f>Koond_kulud!O1277</f>
        <v>Sihtotstarbelised toetused tegevuskuludeks</v>
      </c>
      <c r="P1225" t="str">
        <f>Koond_kulud!P1277</f>
        <v>Põhitegevuse kulu</v>
      </c>
      <c r="Q1225">
        <f>Koond_kulud!Q1277</f>
        <v>0</v>
      </c>
    </row>
    <row r="1226" spans="1:17" hidden="1" x14ac:dyDescent="0.25">
      <c r="A1226" t="str">
        <f>Koond_kulud!A1278</f>
        <v>10</v>
      </c>
      <c r="B1226" t="str">
        <f>Koond_kulud!B1278</f>
        <v xml:space="preserve">10900           </v>
      </c>
      <c r="C1226" t="str">
        <f>Koond_kulud!C1278</f>
        <v xml:space="preserve"> Muu sotsiaalne kaitse, sh sotsiaalse kaitse haldus</v>
      </c>
      <c r="D1226" t="str">
        <f>Koond_kulud!D1278</f>
        <v>Muu sotsiaalne kaitse, sh sotsiaalse kaitse haldus</v>
      </c>
      <c r="E1226" t="str">
        <f>Koond_kulud!E1278</f>
        <v>Sotsiaalne kaitse</v>
      </c>
      <c r="F1226" t="str">
        <f>Koond_kulud!F1278</f>
        <v>Sotsiaalosakond</v>
      </c>
      <c r="G1226" t="str">
        <f>Koond_kulud!G1278</f>
        <v>Spordikulude hüvitamine</v>
      </c>
      <c r="H1226">
        <f>Koond_kulud!H1278</f>
        <v>1600</v>
      </c>
      <c r="I1226">
        <f>Koond_kulud!I1278</f>
        <v>0</v>
      </c>
      <c r="J1226">
        <f>Koond_kulud!J1278</f>
        <v>5540</v>
      </c>
      <c r="K1226" t="str">
        <f>Koond_kulud!K1278</f>
        <v>Mitmesugused majanduskulud</v>
      </c>
      <c r="L1226">
        <f>Koond_kulud!L1278</f>
        <v>55</v>
      </c>
      <c r="M1226" t="str">
        <f>Koond_kulud!M1278</f>
        <v>55</v>
      </c>
      <c r="N1226" t="str">
        <f>Koond_kulud!N1278</f>
        <v>Muud tegevuskulud</v>
      </c>
      <c r="O1226" t="str">
        <f>Koond_kulud!O1278</f>
        <v>Majandamiskulud</v>
      </c>
      <c r="P1226" t="str">
        <f>Koond_kulud!P1278</f>
        <v>Põhitegevuse kulu</v>
      </c>
      <c r="Q1226">
        <f>Koond_kulud!Q1278</f>
        <v>0</v>
      </c>
    </row>
    <row r="1227" spans="1:17" hidden="1" x14ac:dyDescent="0.25">
      <c r="A1227" t="str">
        <f>Koond_kulud!A1279</f>
        <v>10</v>
      </c>
      <c r="B1227" t="str">
        <f>Koond_kulud!B1279</f>
        <v xml:space="preserve">10900           </v>
      </c>
      <c r="C1227" t="str">
        <f>Koond_kulud!C1279</f>
        <v xml:space="preserve"> Muu sotsiaalne kaitse, sh sotsiaalse kaitse haldus</v>
      </c>
      <c r="D1227" t="str">
        <f>Koond_kulud!D1279</f>
        <v>Muu sotsiaalne kaitse, sh sotsiaalse kaitse haldus</v>
      </c>
      <c r="E1227" t="str">
        <f>Koond_kulud!E1279</f>
        <v>Sotsiaalne kaitse</v>
      </c>
      <c r="F1227" t="str">
        <f>Koond_kulud!F1279</f>
        <v>Sotsiaalosakond</v>
      </c>
      <c r="G1227" t="str">
        <f>Koond_kulud!G1279</f>
        <v>IT vahendid</v>
      </c>
      <c r="H1227">
        <f>Koond_kulud!H1279</f>
        <v>300</v>
      </c>
      <c r="I1227">
        <f>Koond_kulud!I1279</f>
        <v>0</v>
      </c>
      <c r="J1227">
        <f>Koond_kulud!J1279</f>
        <v>5514</v>
      </c>
      <c r="K1227" t="str">
        <f>Koond_kulud!K1279</f>
        <v>Info- ja kommunikatsioonitehnoliigised kulud</v>
      </c>
      <c r="L1227">
        <f>Koond_kulud!L1279</f>
        <v>55</v>
      </c>
      <c r="M1227" t="str">
        <f>Koond_kulud!M1279</f>
        <v>55</v>
      </c>
      <c r="N1227" t="str">
        <f>Koond_kulud!N1279</f>
        <v>Muud tegevuskulud</v>
      </c>
      <c r="O1227" t="str">
        <f>Koond_kulud!O1279</f>
        <v>Majandamiskulud</v>
      </c>
      <c r="P1227" t="str">
        <f>Koond_kulud!P1279</f>
        <v>Põhitegevuse kulu</v>
      </c>
      <c r="Q1227">
        <f>Koond_kulud!Q1279</f>
        <v>0</v>
      </c>
    </row>
    <row r="1228" spans="1:17" hidden="1" x14ac:dyDescent="0.25">
      <c r="A1228" t="str">
        <f>Koond_kulud!A1280</f>
        <v>10</v>
      </c>
      <c r="B1228" t="str">
        <f>Koond_kulud!B1280</f>
        <v xml:space="preserve">10900           </v>
      </c>
      <c r="C1228" t="str">
        <f>Koond_kulud!C1280</f>
        <v xml:space="preserve"> Muu sotsiaalne kaitse, sh sotsiaalse kaitse haldus</v>
      </c>
      <c r="D1228" t="str">
        <f>Koond_kulud!D1280</f>
        <v>Muu sotsiaalne kaitse, sh sotsiaalse kaitse haldus</v>
      </c>
      <c r="E1228" t="str">
        <f>Koond_kulud!E1280</f>
        <v>Sotsiaalne kaitse</v>
      </c>
      <c r="F1228" t="str">
        <f>Koond_kulud!F1280</f>
        <v>Sotsiaalosakond</v>
      </c>
      <c r="G1228" t="str">
        <f>Koond_kulud!G1280</f>
        <v>Kingitused valdkonna asutustele</v>
      </c>
      <c r="H1228">
        <f>Koond_kulud!H1280</f>
        <v>1000</v>
      </c>
      <c r="I1228">
        <f>Koond_kulud!I1280</f>
        <v>0</v>
      </c>
      <c r="J1228">
        <f>Koond_kulud!J1280</f>
        <v>5500</v>
      </c>
      <c r="K1228" t="str">
        <f>Koond_kulud!K1280</f>
        <v>Administreerimiskulud</v>
      </c>
      <c r="L1228">
        <f>Koond_kulud!L1280</f>
        <v>55</v>
      </c>
      <c r="M1228" t="str">
        <f>Koond_kulud!M1280</f>
        <v>55</v>
      </c>
      <c r="N1228" t="str">
        <f>Koond_kulud!N1280</f>
        <v>Muud tegevuskulud</v>
      </c>
      <c r="O1228" t="str">
        <f>Koond_kulud!O1280</f>
        <v>Majandamiskulud</v>
      </c>
      <c r="P1228" t="str">
        <f>Koond_kulud!P1280</f>
        <v>Põhitegevuse kulu</v>
      </c>
      <c r="Q1228">
        <f>Koond_kulud!Q1280</f>
        <v>0</v>
      </c>
    </row>
    <row r="1229" spans="1:17" hidden="1" x14ac:dyDescent="0.25">
      <c r="A1229" t="str">
        <f>Koond_kulud!A1285</f>
        <v>09</v>
      </c>
      <c r="B1229" t="str">
        <f>Koond_kulud!B1285</f>
        <v>0921208</v>
      </c>
      <c r="C1229" t="str">
        <f>Koond_kulud!C1285</f>
        <v>Muuga-Laekvere Kool</v>
      </c>
      <c r="D1229" t="str">
        <f>Koond_kulud!D1285</f>
        <v>Põhihariduse otsekulud</v>
      </c>
      <c r="E1229" t="str">
        <f>Koond_kulud!E1285</f>
        <v>Haridus</v>
      </c>
      <c r="F1229" t="str">
        <f>Koond_kulud!F1285</f>
        <v>Laekvere õppehoone</v>
      </c>
      <c r="G1229" t="str">
        <f>Koond_kulud!G1285</f>
        <v>Laekvere Põhikooli dušši- ja riietusruumide ehitamine</v>
      </c>
      <c r="H1229">
        <f>Koond_kulud!H1285</f>
        <v>6000</v>
      </c>
      <c r="I1229">
        <f>Koond_kulud!I1285</f>
        <v>0</v>
      </c>
      <c r="J1229">
        <f>Koond_kulud!J1285</f>
        <v>5511</v>
      </c>
      <c r="K1229" t="str">
        <f>Koond_kulud!K1285</f>
        <v>Kinnistute, hoonete ja ruumide majandamiskulud</v>
      </c>
      <c r="L1229">
        <f>Koond_kulud!L1285</f>
        <v>55</v>
      </c>
      <c r="M1229" t="str">
        <f>Koond_kulud!M1285</f>
        <v>55</v>
      </c>
      <c r="N1229" t="str">
        <f>Koond_kulud!N1285</f>
        <v>Muud tegevuskulud</v>
      </c>
      <c r="O1229" t="str">
        <f>Koond_kulud!O1285</f>
        <v>Majandamiskulud</v>
      </c>
      <c r="P1229" t="str">
        <f>Koond_kulud!P1285</f>
        <v>Põhitegevuse kulu</v>
      </c>
      <c r="Q1229">
        <f>Koond_kulud!Q1285</f>
        <v>0</v>
      </c>
    </row>
    <row r="1230" spans="1:17" hidden="1" x14ac:dyDescent="0.25">
      <c r="A1230" t="str">
        <f>Koond_kulud!A1286</f>
        <v>09</v>
      </c>
      <c r="B1230" t="str">
        <f>Koond_kulud!B1286</f>
        <v>0921208</v>
      </c>
      <c r="C1230" t="str">
        <f>Koond_kulud!C1286</f>
        <v>Muuga-Laekvere Kool</v>
      </c>
      <c r="D1230" t="str">
        <f>Koond_kulud!D1286</f>
        <v>Põhihariduse otsekulud</v>
      </c>
      <c r="E1230" t="str">
        <f>Koond_kulud!E1286</f>
        <v>Haridus</v>
      </c>
      <c r="F1230" t="str">
        <f>Koond_kulud!F1286</f>
        <v>Laekvere õppehoone</v>
      </c>
      <c r="G1230" t="str">
        <f>Koond_kulud!G1286</f>
        <v>Muuga-Laekvere koolile eraldatud katuseraha  Inventari soetamine</v>
      </c>
      <c r="H1230">
        <f>Koond_kulud!H1286</f>
        <v>5000</v>
      </c>
      <c r="I1230">
        <f>Koond_kulud!I1286</f>
        <v>0</v>
      </c>
      <c r="J1230">
        <f>Koond_kulud!J1286</f>
        <v>5524</v>
      </c>
      <c r="K1230" t="str">
        <f>Koond_kulud!K1286</f>
        <v>Õppevahendid</v>
      </c>
      <c r="L1230">
        <f>Koond_kulud!L1286</f>
        <v>55</v>
      </c>
      <c r="M1230" t="str">
        <f>Koond_kulud!M1286</f>
        <v>55</v>
      </c>
      <c r="N1230" t="str">
        <f>Koond_kulud!N1286</f>
        <v>Muud tegevuskulud</v>
      </c>
      <c r="O1230" t="str">
        <f>Koond_kulud!O1286</f>
        <v>Majandamiskulud</v>
      </c>
      <c r="P1230" t="str">
        <f>Koond_kulud!P1286</f>
        <v>Põhitegevuse kulu</v>
      </c>
      <c r="Q1230">
        <f>Koond_kulud!Q1286</f>
        <v>0</v>
      </c>
    </row>
    <row r="1231" spans="1:17" hidden="1" x14ac:dyDescent="0.25">
      <c r="A1231" t="str">
        <f>Koond_kulud!A1287</f>
        <v>10</v>
      </c>
      <c r="B1231" t="str">
        <f>Koond_kulud!B1287</f>
        <v xml:space="preserve">1040002         </v>
      </c>
      <c r="C1231" t="str">
        <f>Koond_kulud!C1287</f>
        <v xml:space="preserve"> Muud asutused</v>
      </c>
      <c r="D1231" t="str">
        <f>Koond_kulud!D1287</f>
        <v>Laste ja noorte sotsiaalhoolekande asutused</v>
      </c>
      <c r="E1231" t="str">
        <f>Koond_kulud!E1287</f>
        <v>Sotsiaalne kaitse</v>
      </c>
      <c r="F1231" t="str">
        <f>Koond_kulud!F1287</f>
        <v>Sotsiaalosakond</v>
      </c>
      <c r="G1231" t="str">
        <f>Koond_kulud!G1287</f>
        <v>Maria ja Lapsed MTÜ</v>
      </c>
      <c r="H1231">
        <f>Koond_kulud!H1287</f>
        <v>2500</v>
      </c>
      <c r="I1231">
        <f>Koond_kulud!I1287</f>
        <v>0</v>
      </c>
      <c r="J1231">
        <f>Koond_kulud!J1287</f>
        <v>5526</v>
      </c>
      <c r="K1231" t="str">
        <f>Koond_kulud!K1287</f>
        <v>Sotsiaalteenused</v>
      </c>
      <c r="L1231">
        <f>Koond_kulud!L1287</f>
        <v>55</v>
      </c>
      <c r="M1231" t="str">
        <f>Koond_kulud!M1287</f>
        <v>55</v>
      </c>
      <c r="N1231" t="str">
        <f>Koond_kulud!N1287</f>
        <v>Muud tegevuskulud</v>
      </c>
      <c r="O1231" t="str">
        <f>Koond_kulud!O1287</f>
        <v>Majandamiskulud</v>
      </c>
      <c r="P1231" t="str">
        <f>Koond_kulud!P1287</f>
        <v>Põhitegevuse kulu</v>
      </c>
      <c r="Q1231">
        <f>Koond_kulud!Q1287</f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4"/>
  <sheetViews>
    <sheetView topLeftCell="A94" workbookViewId="0">
      <selection activeCell="B119" sqref="B119"/>
    </sheetView>
  </sheetViews>
  <sheetFormatPr defaultRowHeight="15" x14ac:dyDescent="0.25"/>
  <cols>
    <col min="1" max="1" width="49.7109375" customWidth="1"/>
    <col min="2" max="2" width="15" bestFit="1" customWidth="1"/>
    <col min="3" max="3" width="15.42578125" bestFit="1" customWidth="1"/>
    <col min="4" max="4" width="14.7109375" bestFit="1" customWidth="1"/>
  </cols>
  <sheetData>
    <row r="3" spans="1:4" x14ac:dyDescent="0.25">
      <c r="A3" s="4" t="s">
        <v>378</v>
      </c>
      <c r="B3" t="s">
        <v>2240</v>
      </c>
      <c r="C3" t="s">
        <v>381</v>
      </c>
      <c r="D3" t="s">
        <v>1374</v>
      </c>
    </row>
    <row r="4" spans="1:4" x14ac:dyDescent="0.25">
      <c r="A4" s="5" t="s">
        <v>13</v>
      </c>
      <c r="B4" s="7">
        <v>36233.040000000001</v>
      </c>
      <c r="C4" s="3">
        <v>27080</v>
      </c>
      <c r="D4" s="3">
        <v>9153.0400000000009</v>
      </c>
    </row>
    <row r="5" spans="1:4" x14ac:dyDescent="0.25">
      <c r="A5" s="6" t="s">
        <v>14</v>
      </c>
      <c r="B5" s="7">
        <v>36233.040000000001</v>
      </c>
      <c r="C5" s="3">
        <v>27080</v>
      </c>
      <c r="D5" s="3">
        <v>9153.0400000000009</v>
      </c>
    </row>
    <row r="6" spans="1:4" x14ac:dyDescent="0.25">
      <c r="A6" s="5" t="s">
        <v>15</v>
      </c>
      <c r="B6" s="7">
        <v>321869.28000000003</v>
      </c>
      <c r="C6" s="3">
        <v>240560</v>
      </c>
      <c r="D6" s="3">
        <v>81309.279999999999</v>
      </c>
    </row>
    <row r="7" spans="1:4" x14ac:dyDescent="0.25">
      <c r="A7" s="6" t="s">
        <v>16</v>
      </c>
      <c r="B7" s="7">
        <v>321869.28000000003</v>
      </c>
      <c r="C7" s="3">
        <v>240560</v>
      </c>
      <c r="D7" s="3">
        <v>81309.279999999999</v>
      </c>
    </row>
    <row r="8" spans="1:4" x14ac:dyDescent="0.25">
      <c r="A8" s="5" t="s">
        <v>19</v>
      </c>
      <c r="B8" s="7">
        <v>341.19</v>
      </c>
      <c r="C8" s="3">
        <v>255</v>
      </c>
      <c r="D8" s="3">
        <v>86.190000000000012</v>
      </c>
    </row>
    <row r="9" spans="1:4" x14ac:dyDescent="0.25">
      <c r="A9" s="6" t="s">
        <v>20</v>
      </c>
      <c r="B9" s="7">
        <v>341.19</v>
      </c>
      <c r="C9" s="3">
        <v>255</v>
      </c>
      <c r="D9" s="3">
        <v>86.190000000000012</v>
      </c>
    </row>
    <row r="10" spans="1:4" x14ac:dyDescent="0.25">
      <c r="A10" s="5" t="s">
        <v>27</v>
      </c>
      <c r="B10" s="7">
        <v>2283.9178320000001</v>
      </c>
      <c r="C10" s="3">
        <v>1706.9639999999999</v>
      </c>
      <c r="D10" s="3">
        <v>576.95383200000003</v>
      </c>
    </row>
    <row r="11" spans="1:4" x14ac:dyDescent="0.25">
      <c r="A11" s="6" t="s">
        <v>28</v>
      </c>
      <c r="B11" s="7">
        <v>2283.9178320000001</v>
      </c>
      <c r="C11" s="3">
        <v>1706.9639999999999</v>
      </c>
      <c r="D11" s="3">
        <v>576.95383200000003</v>
      </c>
    </row>
    <row r="12" spans="1:4" x14ac:dyDescent="0.25">
      <c r="A12" s="5" t="s">
        <v>32</v>
      </c>
      <c r="B12" s="7">
        <v>25047.360000000001</v>
      </c>
      <c r="C12" s="3">
        <v>18720</v>
      </c>
      <c r="D12" s="3">
        <v>6327.3600000000006</v>
      </c>
    </row>
    <row r="13" spans="1:4" x14ac:dyDescent="0.25">
      <c r="A13" s="6" t="s">
        <v>33</v>
      </c>
      <c r="B13" s="7">
        <v>25047.360000000001</v>
      </c>
      <c r="C13" s="3">
        <v>18720</v>
      </c>
      <c r="D13" s="3">
        <v>6327.3600000000006</v>
      </c>
    </row>
    <row r="14" spans="1:4" x14ac:dyDescent="0.25">
      <c r="A14" s="5" t="s">
        <v>34</v>
      </c>
      <c r="B14" s="7">
        <v>124955.82</v>
      </c>
      <c r="C14" s="3">
        <v>93390</v>
      </c>
      <c r="D14" s="3">
        <v>31565.82</v>
      </c>
    </row>
    <row r="15" spans="1:4" x14ac:dyDescent="0.25">
      <c r="A15" s="6" t="s">
        <v>35</v>
      </c>
      <c r="B15" s="7">
        <v>124955.82</v>
      </c>
      <c r="C15" s="3">
        <v>93390</v>
      </c>
      <c r="D15" s="3">
        <v>31565.82</v>
      </c>
    </row>
    <row r="16" spans="1:4" x14ac:dyDescent="0.25">
      <c r="A16" s="5" t="s">
        <v>254</v>
      </c>
      <c r="B16" s="7">
        <v>79525.368000000002</v>
      </c>
      <c r="C16" s="3">
        <v>59436</v>
      </c>
      <c r="D16" s="3">
        <v>20089.367999999999</v>
      </c>
    </row>
    <row r="17" spans="1:4" x14ac:dyDescent="0.25">
      <c r="A17" s="6" t="s">
        <v>2199</v>
      </c>
      <c r="B17" s="7">
        <v>79525.368000000002</v>
      </c>
      <c r="C17" s="3">
        <v>59436</v>
      </c>
      <c r="D17" s="3">
        <v>20089.367999999999</v>
      </c>
    </row>
    <row r="18" spans="1:4" x14ac:dyDescent="0.25">
      <c r="A18" s="5" t="s">
        <v>260</v>
      </c>
      <c r="B18" s="7">
        <v>16409.232</v>
      </c>
      <c r="C18" s="3">
        <v>12264</v>
      </c>
      <c r="D18" s="3">
        <v>4145.2320000000009</v>
      </c>
    </row>
    <row r="19" spans="1:4" x14ac:dyDescent="0.25">
      <c r="A19" s="6" t="s">
        <v>261</v>
      </c>
      <c r="B19" s="7">
        <v>16409.232</v>
      </c>
      <c r="C19" s="3">
        <v>12264</v>
      </c>
      <c r="D19" s="3">
        <v>4145.2320000000009</v>
      </c>
    </row>
    <row r="20" spans="1:4" x14ac:dyDescent="0.25">
      <c r="A20" s="5" t="s">
        <v>262</v>
      </c>
      <c r="B20" s="7">
        <v>11720.880000000001</v>
      </c>
      <c r="C20" s="3">
        <v>8760</v>
      </c>
      <c r="D20" s="3">
        <v>2960.88</v>
      </c>
    </row>
    <row r="21" spans="1:4" x14ac:dyDescent="0.25">
      <c r="A21" s="6" t="s">
        <v>263</v>
      </c>
      <c r="B21" s="7">
        <v>11720.880000000001</v>
      </c>
      <c r="C21" s="3">
        <v>8760</v>
      </c>
      <c r="D21" s="3">
        <v>2960.88</v>
      </c>
    </row>
    <row r="22" spans="1:4" x14ac:dyDescent="0.25">
      <c r="A22" s="5" t="s">
        <v>2210</v>
      </c>
      <c r="B22" s="7">
        <v>66361.856400000004</v>
      </c>
      <c r="C22" s="3">
        <v>49597.8</v>
      </c>
      <c r="D22" s="3">
        <v>16764.056400000001</v>
      </c>
    </row>
    <row r="23" spans="1:4" x14ac:dyDescent="0.25">
      <c r="A23" s="6" t="s">
        <v>2219</v>
      </c>
      <c r="B23" s="7">
        <v>66361.856400000004</v>
      </c>
      <c r="C23" s="3">
        <v>49597.8</v>
      </c>
      <c r="D23" s="3">
        <v>16764.056400000001</v>
      </c>
    </row>
    <row r="24" spans="1:4" x14ac:dyDescent="0.25">
      <c r="A24" s="5" t="s">
        <v>2211</v>
      </c>
      <c r="B24" s="7">
        <v>110713.03200000001</v>
      </c>
      <c r="C24" s="3">
        <v>85764</v>
      </c>
      <c r="D24" s="3">
        <v>24949.031999999999</v>
      </c>
    </row>
    <row r="25" spans="1:4" x14ac:dyDescent="0.25">
      <c r="A25" s="6" t="s">
        <v>2198</v>
      </c>
      <c r="B25" s="7">
        <v>110713.03200000001</v>
      </c>
      <c r="C25" s="3">
        <v>85764</v>
      </c>
      <c r="D25" s="3">
        <v>24949.031999999999</v>
      </c>
    </row>
    <row r="26" spans="1:4" x14ac:dyDescent="0.25">
      <c r="A26" s="5" t="s">
        <v>268</v>
      </c>
      <c r="B26" s="7">
        <v>21385.254000000001</v>
      </c>
      <c r="C26" s="3">
        <v>15983</v>
      </c>
      <c r="D26" s="3">
        <v>5402.2540000000008</v>
      </c>
    </row>
    <row r="27" spans="1:4" x14ac:dyDescent="0.25">
      <c r="A27" s="6" t="s">
        <v>269</v>
      </c>
      <c r="B27" s="7">
        <v>21385.254000000001</v>
      </c>
      <c r="C27" s="3">
        <v>15983</v>
      </c>
      <c r="D27" s="3">
        <v>5402.2540000000008</v>
      </c>
    </row>
    <row r="28" spans="1:4" x14ac:dyDescent="0.25">
      <c r="A28" s="5" t="s">
        <v>270</v>
      </c>
      <c r="B28" s="7">
        <v>6743.52</v>
      </c>
      <c r="C28" s="3">
        <v>5040</v>
      </c>
      <c r="D28" s="3">
        <v>1703.5200000000002</v>
      </c>
    </row>
    <row r="29" spans="1:4" x14ac:dyDescent="0.25">
      <c r="A29" s="6" t="s">
        <v>271</v>
      </c>
      <c r="B29" s="7">
        <v>6743.52</v>
      </c>
      <c r="C29" s="3">
        <v>5040</v>
      </c>
      <c r="D29" s="3">
        <v>1703.5200000000002</v>
      </c>
    </row>
    <row r="30" spans="1:4" x14ac:dyDescent="0.25">
      <c r="A30" s="5" t="s">
        <v>276</v>
      </c>
      <c r="B30" s="7">
        <v>25047.360000000001</v>
      </c>
      <c r="C30" s="3">
        <v>18720</v>
      </c>
      <c r="D30" s="3">
        <v>6327.3600000000006</v>
      </c>
    </row>
    <row r="31" spans="1:4" x14ac:dyDescent="0.25">
      <c r="A31" s="6" t="s">
        <v>762</v>
      </c>
      <c r="B31" s="7">
        <v>25047.360000000001</v>
      </c>
      <c r="C31" s="3">
        <v>18720</v>
      </c>
      <c r="D31" s="3">
        <v>6327.3600000000006</v>
      </c>
    </row>
    <row r="32" spans="1:4" x14ac:dyDescent="0.25">
      <c r="A32" s="5" t="s">
        <v>624</v>
      </c>
      <c r="B32" s="7">
        <v>14299.995420000001</v>
      </c>
      <c r="C32" s="3">
        <v>10687.59</v>
      </c>
      <c r="D32" s="3">
        <v>3612.4054200000005</v>
      </c>
    </row>
    <row r="33" spans="1:4" x14ac:dyDescent="0.25">
      <c r="A33" s="6" t="s">
        <v>760</v>
      </c>
      <c r="B33" s="7">
        <v>14299.995420000001</v>
      </c>
      <c r="C33" s="3">
        <v>10687.59</v>
      </c>
      <c r="D33" s="3">
        <v>3612.4054200000005</v>
      </c>
    </row>
    <row r="34" spans="1:4" x14ac:dyDescent="0.25">
      <c r="A34" s="5" t="s">
        <v>289</v>
      </c>
      <c r="B34" s="7">
        <v>1735.386</v>
      </c>
      <c r="C34" s="3">
        <v>1297</v>
      </c>
      <c r="D34" s="3">
        <v>438.38600000000002</v>
      </c>
    </row>
    <row r="35" spans="1:4" x14ac:dyDescent="0.25">
      <c r="A35" s="6" t="s">
        <v>290</v>
      </c>
      <c r="B35" s="7">
        <v>1735.386</v>
      </c>
      <c r="C35" s="3">
        <v>1297</v>
      </c>
      <c r="D35" s="3">
        <v>438.38600000000002</v>
      </c>
    </row>
    <row r="36" spans="1:4" x14ac:dyDescent="0.25">
      <c r="A36" s="5" t="s">
        <v>291</v>
      </c>
      <c r="B36" s="7">
        <v>37827.936000000002</v>
      </c>
      <c r="C36" s="3">
        <v>28272</v>
      </c>
      <c r="D36" s="3">
        <v>9555.9360000000015</v>
      </c>
    </row>
    <row r="37" spans="1:4" x14ac:dyDescent="0.25">
      <c r="A37" s="6" t="s">
        <v>2205</v>
      </c>
      <c r="B37" s="7">
        <v>37827.936000000002</v>
      </c>
      <c r="C37" s="3">
        <v>28272</v>
      </c>
      <c r="D37" s="3">
        <v>9555.9360000000015</v>
      </c>
    </row>
    <row r="38" spans="1:4" x14ac:dyDescent="0.25">
      <c r="A38" s="5" t="s">
        <v>292</v>
      </c>
      <c r="B38" s="7">
        <v>15205.031999999999</v>
      </c>
      <c r="C38" s="3">
        <v>11364</v>
      </c>
      <c r="D38" s="3">
        <v>3841.0320000000002</v>
      </c>
    </row>
    <row r="39" spans="1:4" x14ac:dyDescent="0.25">
      <c r="A39" s="6" t="s">
        <v>2204</v>
      </c>
      <c r="B39" s="7">
        <v>15205.031999999999</v>
      </c>
      <c r="C39" s="3">
        <v>11364</v>
      </c>
      <c r="D39" s="3">
        <v>3841.0320000000002</v>
      </c>
    </row>
    <row r="40" spans="1:4" x14ac:dyDescent="0.25">
      <c r="A40" s="5" t="s">
        <v>293</v>
      </c>
      <c r="B40" s="7">
        <v>12234.672</v>
      </c>
      <c r="C40" s="3">
        <v>9144</v>
      </c>
      <c r="D40" s="3">
        <v>3090.672</v>
      </c>
    </row>
    <row r="41" spans="1:4" x14ac:dyDescent="0.25">
      <c r="A41" s="6" t="s">
        <v>2203</v>
      </c>
      <c r="B41" s="7">
        <v>12234.672</v>
      </c>
      <c r="C41" s="3">
        <v>9144</v>
      </c>
      <c r="D41" s="3">
        <v>3090.672</v>
      </c>
    </row>
    <row r="42" spans="1:4" x14ac:dyDescent="0.25">
      <c r="A42" s="5" t="s">
        <v>294</v>
      </c>
      <c r="B42" s="7">
        <v>9489.0959999999995</v>
      </c>
      <c r="C42" s="3">
        <v>7092</v>
      </c>
      <c r="D42" s="3">
        <v>2397.096</v>
      </c>
    </row>
    <row r="43" spans="1:4" x14ac:dyDescent="0.25">
      <c r="A43" s="6" t="s">
        <v>2201</v>
      </c>
      <c r="B43" s="7">
        <v>9489.0959999999995</v>
      </c>
      <c r="C43" s="3">
        <v>7092</v>
      </c>
      <c r="D43" s="3">
        <v>2397.096</v>
      </c>
    </row>
    <row r="44" spans="1:4" x14ac:dyDescent="0.25">
      <c r="A44" s="5" t="s">
        <v>295</v>
      </c>
      <c r="B44" s="7">
        <v>19363.536</v>
      </c>
      <c r="C44" s="3">
        <v>14472</v>
      </c>
      <c r="D44" s="3">
        <v>4891.5360000000001</v>
      </c>
    </row>
    <row r="45" spans="1:4" x14ac:dyDescent="0.25">
      <c r="A45" s="6" t="s">
        <v>2202</v>
      </c>
      <c r="B45" s="7">
        <v>19363.536</v>
      </c>
      <c r="C45" s="3">
        <v>14472</v>
      </c>
      <c r="D45" s="3">
        <v>4891.5360000000001</v>
      </c>
    </row>
    <row r="46" spans="1:4" x14ac:dyDescent="0.25">
      <c r="A46" s="5" t="s">
        <v>296</v>
      </c>
      <c r="B46" s="7">
        <v>27327.312000000002</v>
      </c>
      <c r="C46" s="3">
        <v>20424</v>
      </c>
      <c r="D46" s="3">
        <v>6903.3120000000008</v>
      </c>
    </row>
    <row r="47" spans="1:4" x14ac:dyDescent="0.25">
      <c r="A47" s="6" t="s">
        <v>2200</v>
      </c>
      <c r="B47" s="7">
        <v>27327.312000000002</v>
      </c>
      <c r="C47" s="3">
        <v>20424</v>
      </c>
      <c r="D47" s="3">
        <v>6903.3120000000008</v>
      </c>
    </row>
    <row r="48" spans="1:4" x14ac:dyDescent="0.25">
      <c r="A48" s="5" t="s">
        <v>299</v>
      </c>
      <c r="B48" s="7">
        <v>9376.7039999999997</v>
      </c>
      <c r="C48" s="3">
        <v>7008</v>
      </c>
      <c r="D48" s="3">
        <v>2368.7040000000002</v>
      </c>
    </row>
    <row r="49" spans="1:4" x14ac:dyDescent="0.25">
      <c r="A49" s="6" t="s">
        <v>300</v>
      </c>
      <c r="B49" s="7">
        <v>9376.7039999999997</v>
      </c>
      <c r="C49" s="3">
        <v>7008</v>
      </c>
      <c r="D49" s="3">
        <v>2368.7040000000002</v>
      </c>
    </row>
    <row r="50" spans="1:4" x14ac:dyDescent="0.25">
      <c r="A50" s="5" t="s">
        <v>301</v>
      </c>
      <c r="B50" s="7">
        <v>51114.275999999998</v>
      </c>
      <c r="C50" s="3">
        <v>38202</v>
      </c>
      <c r="D50" s="3">
        <v>12912.276000000002</v>
      </c>
    </row>
    <row r="51" spans="1:4" x14ac:dyDescent="0.25">
      <c r="A51" s="6" t="s">
        <v>302</v>
      </c>
      <c r="B51" s="7">
        <v>51114.275999999998</v>
      </c>
      <c r="C51" s="3">
        <v>38202</v>
      </c>
      <c r="D51" s="3">
        <v>12912.276000000002</v>
      </c>
    </row>
    <row r="52" spans="1:4" x14ac:dyDescent="0.25">
      <c r="A52" s="5" t="s">
        <v>303</v>
      </c>
      <c r="B52" s="7">
        <v>31623.630000000005</v>
      </c>
      <c r="C52" s="3">
        <v>23635</v>
      </c>
      <c r="D52" s="3">
        <v>7988.6300000000028</v>
      </c>
    </row>
    <row r="53" spans="1:4" x14ac:dyDescent="0.25">
      <c r="A53" s="6" t="s">
        <v>304</v>
      </c>
      <c r="B53" s="7">
        <v>31623.630000000005</v>
      </c>
      <c r="C53" s="3">
        <v>23635</v>
      </c>
      <c r="D53" s="3">
        <v>7988.6300000000028</v>
      </c>
    </row>
    <row r="54" spans="1:4" x14ac:dyDescent="0.25">
      <c r="A54" s="5" t="s">
        <v>305</v>
      </c>
      <c r="B54" s="7">
        <v>5009.4719999999998</v>
      </c>
      <c r="C54" s="3">
        <v>3744</v>
      </c>
      <c r="D54" s="3">
        <v>1265.4720000000002</v>
      </c>
    </row>
    <row r="55" spans="1:4" x14ac:dyDescent="0.25">
      <c r="A55" s="6" t="s">
        <v>1820</v>
      </c>
      <c r="B55" s="7">
        <v>5009.4719999999998</v>
      </c>
      <c r="C55" s="3">
        <v>3744</v>
      </c>
      <c r="D55" s="3">
        <v>1265.4720000000002</v>
      </c>
    </row>
    <row r="56" spans="1:4" x14ac:dyDescent="0.25">
      <c r="A56" s="5" t="s">
        <v>306</v>
      </c>
      <c r="B56" s="7">
        <v>37519.00518</v>
      </c>
      <c r="C56" s="3">
        <v>28041.11</v>
      </c>
      <c r="D56" s="3">
        <v>9477.8951799999995</v>
      </c>
    </row>
    <row r="57" spans="1:4" x14ac:dyDescent="0.25">
      <c r="A57" s="6" t="s">
        <v>2206</v>
      </c>
      <c r="B57" s="7">
        <v>37519.00518</v>
      </c>
      <c r="C57" s="3">
        <v>28041.11</v>
      </c>
      <c r="D57" s="3">
        <v>9477.8951799999995</v>
      </c>
    </row>
    <row r="58" spans="1:4" x14ac:dyDescent="0.25">
      <c r="A58" s="5" t="s">
        <v>307</v>
      </c>
      <c r="B58" s="7">
        <v>11948.34</v>
      </c>
      <c r="C58" s="3">
        <v>8930</v>
      </c>
      <c r="D58" s="3">
        <v>3018.34</v>
      </c>
    </row>
    <row r="59" spans="1:4" x14ac:dyDescent="0.25">
      <c r="A59" s="6" t="s">
        <v>2207</v>
      </c>
      <c r="B59" s="7">
        <v>11948.34</v>
      </c>
      <c r="C59" s="3">
        <v>8930</v>
      </c>
      <c r="D59" s="3">
        <v>3018.34</v>
      </c>
    </row>
    <row r="60" spans="1:4" x14ac:dyDescent="0.25">
      <c r="A60" s="5" t="s">
        <v>308</v>
      </c>
      <c r="B60" s="7">
        <v>25248.06</v>
      </c>
      <c r="C60" s="3">
        <v>18870</v>
      </c>
      <c r="D60" s="3">
        <v>6378.0600000000022</v>
      </c>
    </row>
    <row r="61" spans="1:4" x14ac:dyDescent="0.25">
      <c r="A61" s="6" t="s">
        <v>2208</v>
      </c>
      <c r="B61" s="7">
        <v>25248.06</v>
      </c>
      <c r="C61" s="3">
        <v>18870</v>
      </c>
      <c r="D61" s="3">
        <v>6378.0600000000022</v>
      </c>
    </row>
    <row r="62" spans="1:4" x14ac:dyDescent="0.25">
      <c r="A62" s="5" t="s">
        <v>2051</v>
      </c>
      <c r="B62" s="7">
        <v>43047.356255999999</v>
      </c>
      <c r="C62" s="3">
        <v>32172.912</v>
      </c>
      <c r="D62" s="3">
        <v>10874.444256000001</v>
      </c>
    </row>
    <row r="63" spans="1:4" x14ac:dyDescent="0.25">
      <c r="A63" s="6" t="s">
        <v>2053</v>
      </c>
      <c r="B63" s="7">
        <v>43047.356255999999</v>
      </c>
      <c r="C63" s="3">
        <v>32172.912</v>
      </c>
      <c r="D63" s="3">
        <v>10874.444256000001</v>
      </c>
    </row>
    <row r="64" spans="1:4" x14ac:dyDescent="0.25">
      <c r="A64" s="5" t="s">
        <v>47</v>
      </c>
      <c r="B64" s="7">
        <v>25047.360000000001</v>
      </c>
      <c r="C64" s="3">
        <v>18720</v>
      </c>
      <c r="D64" s="3">
        <v>6327.3600000000006</v>
      </c>
    </row>
    <row r="65" spans="1:4" x14ac:dyDescent="0.25">
      <c r="A65" s="6" t="s">
        <v>48</v>
      </c>
      <c r="B65" s="7">
        <v>25047.360000000001</v>
      </c>
      <c r="C65" s="3">
        <v>18720</v>
      </c>
      <c r="D65" s="3">
        <v>6327.3600000000006</v>
      </c>
    </row>
    <row r="66" spans="1:4" x14ac:dyDescent="0.25">
      <c r="A66" s="5" t="s">
        <v>309</v>
      </c>
      <c r="B66" s="7">
        <v>456044.82984000002</v>
      </c>
      <c r="C66" s="3">
        <v>340840.68</v>
      </c>
      <c r="D66" s="3">
        <v>115204.14984000001</v>
      </c>
    </row>
    <row r="67" spans="1:4" x14ac:dyDescent="0.25">
      <c r="A67" s="6" t="s">
        <v>310</v>
      </c>
      <c r="B67" s="7">
        <v>456044.82984000002</v>
      </c>
      <c r="C67" s="3">
        <v>340840.68</v>
      </c>
      <c r="D67" s="3">
        <v>115204.14984000001</v>
      </c>
    </row>
    <row r="68" spans="1:4" x14ac:dyDescent="0.25">
      <c r="A68" s="5" t="s">
        <v>311</v>
      </c>
      <c r="B68" s="7">
        <v>218395.56513</v>
      </c>
      <c r="C68" s="3">
        <v>163225.38500000001</v>
      </c>
      <c r="D68" s="3">
        <v>55170.180130000001</v>
      </c>
    </row>
    <row r="69" spans="1:4" x14ac:dyDescent="0.25">
      <c r="A69" s="6" t="s">
        <v>312</v>
      </c>
      <c r="B69" s="7">
        <v>218395.56513</v>
      </c>
      <c r="C69" s="3">
        <v>163225.38500000001</v>
      </c>
      <c r="D69" s="3">
        <v>55170.180130000001</v>
      </c>
    </row>
    <row r="70" spans="1:4" x14ac:dyDescent="0.25">
      <c r="A70" s="5" t="s">
        <v>313</v>
      </c>
      <c r="B70" s="7">
        <v>154014.50400000002</v>
      </c>
      <c r="C70" s="3">
        <v>115108</v>
      </c>
      <c r="D70" s="3">
        <v>38906.504000000001</v>
      </c>
    </row>
    <row r="71" spans="1:4" x14ac:dyDescent="0.25">
      <c r="A71" s="6" t="s">
        <v>314</v>
      </c>
      <c r="B71" s="7">
        <v>154014.50400000002</v>
      </c>
      <c r="C71" s="3">
        <v>115108</v>
      </c>
      <c r="D71" s="3">
        <v>38906.504000000001</v>
      </c>
    </row>
    <row r="72" spans="1:4" x14ac:dyDescent="0.25">
      <c r="A72" s="5" t="s">
        <v>315</v>
      </c>
      <c r="B72" s="7">
        <v>53479.766532672016</v>
      </c>
      <c r="C72" s="3">
        <v>39969.930144000013</v>
      </c>
      <c r="D72" s="3">
        <v>13509.836388672004</v>
      </c>
    </row>
    <row r="73" spans="1:4" x14ac:dyDescent="0.25">
      <c r="A73" s="6" t="s">
        <v>316</v>
      </c>
      <c r="B73" s="7">
        <v>53479.766532672016</v>
      </c>
      <c r="C73" s="3">
        <v>39969.930144000013</v>
      </c>
      <c r="D73" s="3">
        <v>13509.836388672004</v>
      </c>
    </row>
    <row r="74" spans="1:4" x14ac:dyDescent="0.25">
      <c r="A74" s="5" t="s">
        <v>317</v>
      </c>
      <c r="B74" s="7">
        <v>116101.3374</v>
      </c>
      <c r="C74" s="3">
        <v>86772.3</v>
      </c>
      <c r="D74" s="3">
        <v>29329.037400000005</v>
      </c>
    </row>
    <row r="75" spans="1:4" x14ac:dyDescent="0.25">
      <c r="A75" s="6" t="s">
        <v>318</v>
      </c>
      <c r="B75" s="7">
        <v>116101.3374</v>
      </c>
      <c r="C75" s="3">
        <v>86772.3</v>
      </c>
      <c r="D75" s="3">
        <v>29329.037400000005</v>
      </c>
    </row>
    <row r="76" spans="1:4" x14ac:dyDescent="0.25">
      <c r="A76" s="5" t="s">
        <v>319</v>
      </c>
      <c r="B76" s="7">
        <v>156335.26500000001</v>
      </c>
      <c r="C76" s="3">
        <v>116842.5</v>
      </c>
      <c r="D76" s="3">
        <v>39492.764999999999</v>
      </c>
    </row>
    <row r="77" spans="1:4" x14ac:dyDescent="0.25">
      <c r="A77" s="6" t="s">
        <v>320</v>
      </c>
      <c r="B77" s="7">
        <v>156335.26500000001</v>
      </c>
      <c r="C77" s="3">
        <v>116842.5</v>
      </c>
      <c r="D77" s="3">
        <v>39492.764999999999</v>
      </c>
    </row>
    <row r="78" spans="1:4" x14ac:dyDescent="0.25">
      <c r="A78" s="5" t="s">
        <v>245</v>
      </c>
      <c r="B78" s="7">
        <v>110643.50160000002</v>
      </c>
      <c r="C78" s="3">
        <v>82693.200000000012</v>
      </c>
      <c r="D78" s="3">
        <v>27950.301599999999</v>
      </c>
    </row>
    <row r="79" spans="1:4" x14ac:dyDescent="0.25">
      <c r="A79" s="6" t="s">
        <v>321</v>
      </c>
      <c r="B79" s="7">
        <v>110643.50160000002</v>
      </c>
      <c r="C79" s="3">
        <v>82693.200000000012</v>
      </c>
      <c r="D79" s="3">
        <v>27950.301599999999</v>
      </c>
    </row>
    <row r="80" spans="1:4" x14ac:dyDescent="0.25">
      <c r="A80" s="5" t="s">
        <v>247</v>
      </c>
      <c r="B80" s="7">
        <v>398486.11162800004</v>
      </c>
      <c r="C80" s="3">
        <v>297822.20600000001</v>
      </c>
      <c r="D80" s="3">
        <v>100663.90562800001</v>
      </c>
    </row>
    <row r="81" spans="1:4" x14ac:dyDescent="0.25">
      <c r="A81" s="6" t="s">
        <v>326</v>
      </c>
      <c r="B81" s="7">
        <v>398486.11162800004</v>
      </c>
      <c r="C81" s="3">
        <v>297822.20600000001</v>
      </c>
      <c r="D81" s="3">
        <v>100663.90562800001</v>
      </c>
    </row>
    <row r="82" spans="1:4" x14ac:dyDescent="0.25">
      <c r="A82" s="5" t="s">
        <v>327</v>
      </c>
      <c r="B82" s="7">
        <v>160047.19753663201</v>
      </c>
      <c r="C82" s="3">
        <v>119616.739564</v>
      </c>
      <c r="D82" s="3">
        <v>40430.457972632008</v>
      </c>
    </row>
    <row r="83" spans="1:4" x14ac:dyDescent="0.25">
      <c r="A83" s="6" t="s">
        <v>328</v>
      </c>
      <c r="B83" s="7">
        <v>160047.19753663201</v>
      </c>
      <c r="C83" s="3">
        <v>119616.739564</v>
      </c>
      <c r="D83" s="3">
        <v>40430.457972632008</v>
      </c>
    </row>
    <row r="84" spans="1:4" x14ac:dyDescent="0.25">
      <c r="A84" s="5" t="s">
        <v>329</v>
      </c>
      <c r="B84" s="7">
        <v>1170256.5001079999</v>
      </c>
      <c r="C84" s="3">
        <v>874631.16599999997</v>
      </c>
      <c r="D84" s="3">
        <v>295625.33410800004</v>
      </c>
    </row>
    <row r="85" spans="1:4" x14ac:dyDescent="0.25">
      <c r="A85" s="6" t="s">
        <v>2225</v>
      </c>
      <c r="B85" s="7">
        <v>1170256.5001079999</v>
      </c>
      <c r="C85" s="3">
        <v>874631.16599999997</v>
      </c>
      <c r="D85" s="3">
        <v>295625.33410800004</v>
      </c>
    </row>
    <row r="86" spans="1:4" x14ac:dyDescent="0.25">
      <c r="A86" s="5" t="s">
        <v>332</v>
      </c>
      <c r="B86" s="7">
        <v>140748.8497476</v>
      </c>
      <c r="C86" s="3">
        <v>105193.4602</v>
      </c>
      <c r="D86" s="3">
        <v>35555.389547600003</v>
      </c>
    </row>
    <row r="87" spans="1:4" x14ac:dyDescent="0.25">
      <c r="A87" s="6" t="s">
        <v>333</v>
      </c>
      <c r="B87" s="7">
        <v>140748.8497476</v>
      </c>
      <c r="C87" s="3">
        <v>105193.4602</v>
      </c>
      <c r="D87" s="3">
        <v>35555.389547600003</v>
      </c>
    </row>
    <row r="88" spans="1:4" x14ac:dyDescent="0.25">
      <c r="A88" s="5" t="s">
        <v>2226</v>
      </c>
      <c r="B88" s="7">
        <v>588362.21210999996</v>
      </c>
      <c r="C88" s="3">
        <v>439732.59499999997</v>
      </c>
      <c r="D88" s="3">
        <v>148629.61710999999</v>
      </c>
    </row>
    <row r="89" spans="1:4" x14ac:dyDescent="0.25">
      <c r="A89" s="6" t="s">
        <v>2227</v>
      </c>
      <c r="B89" s="7">
        <v>588362.21210999996</v>
      </c>
      <c r="C89" s="3">
        <v>439732.59499999997</v>
      </c>
      <c r="D89" s="3">
        <v>148629.61710999999</v>
      </c>
    </row>
    <row r="90" spans="1:4" x14ac:dyDescent="0.25">
      <c r="A90" s="5" t="s">
        <v>334</v>
      </c>
      <c r="B90" s="7">
        <v>110400.00031799999</v>
      </c>
      <c r="C90" s="3">
        <v>82511.210999999996</v>
      </c>
      <c r="D90" s="3">
        <v>27888.789317999999</v>
      </c>
    </row>
    <row r="91" spans="1:4" x14ac:dyDescent="0.25">
      <c r="A91" s="6" t="s">
        <v>2225</v>
      </c>
      <c r="B91" s="7">
        <v>110400.00031799999</v>
      </c>
      <c r="C91" s="3">
        <v>82511.210999999996</v>
      </c>
      <c r="D91" s="3">
        <v>27888.789317999999</v>
      </c>
    </row>
    <row r="92" spans="1:4" x14ac:dyDescent="0.25">
      <c r="A92" s="5" t="s">
        <v>51</v>
      </c>
      <c r="B92" s="7">
        <v>148853.43660000002</v>
      </c>
      <c r="C92" s="3">
        <v>111250.7</v>
      </c>
      <c r="D92" s="3">
        <v>37602.736600000004</v>
      </c>
    </row>
    <row r="93" spans="1:4" x14ac:dyDescent="0.25">
      <c r="A93" s="6" t="s">
        <v>52</v>
      </c>
      <c r="B93" s="7">
        <v>148853.43660000002</v>
      </c>
      <c r="C93" s="3">
        <v>111250.7</v>
      </c>
      <c r="D93" s="3">
        <v>37602.736600000004</v>
      </c>
    </row>
    <row r="94" spans="1:4" x14ac:dyDescent="0.25">
      <c r="A94" s="5" t="s">
        <v>53</v>
      </c>
      <c r="B94" s="7">
        <v>18464.400000000001</v>
      </c>
      <c r="C94" s="3">
        <v>13800</v>
      </c>
      <c r="D94" s="3">
        <v>4664.4000000000005</v>
      </c>
    </row>
    <row r="95" spans="1:4" x14ac:dyDescent="0.25">
      <c r="A95" s="6" t="s">
        <v>54</v>
      </c>
      <c r="B95" s="7">
        <v>18464.400000000001</v>
      </c>
      <c r="C95" s="3">
        <v>13800</v>
      </c>
      <c r="D95" s="3">
        <v>4664.4000000000005</v>
      </c>
    </row>
    <row r="96" spans="1:4" x14ac:dyDescent="0.25">
      <c r="A96" s="5" t="s">
        <v>337</v>
      </c>
      <c r="B96" s="7">
        <v>30506.400000000001</v>
      </c>
      <c r="C96" s="3">
        <v>22800</v>
      </c>
      <c r="D96" s="3">
        <v>7706.4000000000005</v>
      </c>
    </row>
    <row r="97" spans="1:4" x14ac:dyDescent="0.25">
      <c r="A97" s="6" t="s">
        <v>338</v>
      </c>
      <c r="B97" s="7">
        <v>30506.400000000001</v>
      </c>
      <c r="C97" s="3">
        <v>22800</v>
      </c>
      <c r="D97" s="3">
        <v>7706.4000000000005</v>
      </c>
    </row>
    <row r="98" spans="1:4" x14ac:dyDescent="0.25">
      <c r="A98" s="5" t="s">
        <v>343</v>
      </c>
      <c r="B98" s="7">
        <v>71609.760000000009</v>
      </c>
      <c r="C98" s="3">
        <v>53520</v>
      </c>
      <c r="D98" s="3">
        <v>18089.760000000002</v>
      </c>
    </row>
    <row r="99" spans="1:4" x14ac:dyDescent="0.25">
      <c r="A99" s="6" t="s">
        <v>344</v>
      </c>
      <c r="B99" s="7">
        <v>71609.760000000009</v>
      </c>
      <c r="C99" s="3">
        <v>53520</v>
      </c>
      <c r="D99" s="3">
        <v>18089.760000000002</v>
      </c>
    </row>
    <row r="100" spans="1:4" x14ac:dyDescent="0.25">
      <c r="A100" s="5" t="s">
        <v>1556</v>
      </c>
      <c r="B100" s="7">
        <v>78346.001279999997</v>
      </c>
      <c r="C100" s="3">
        <v>58554.559999999998</v>
      </c>
      <c r="D100" s="3">
        <v>19791.441279999999</v>
      </c>
    </row>
    <row r="101" spans="1:4" x14ac:dyDescent="0.25">
      <c r="A101" s="6" t="s">
        <v>1928</v>
      </c>
      <c r="B101" s="7">
        <v>78346.001279999997</v>
      </c>
      <c r="C101" s="3">
        <v>58554.559999999998</v>
      </c>
      <c r="D101" s="3">
        <v>19791.441279999999</v>
      </c>
    </row>
    <row r="102" spans="1:4" x14ac:dyDescent="0.25">
      <c r="A102" s="5" t="s">
        <v>55</v>
      </c>
      <c r="B102" s="7">
        <v>8385.995280000001</v>
      </c>
      <c r="C102" s="3">
        <v>6267.56</v>
      </c>
      <c r="D102" s="3">
        <v>2118.4352800000001</v>
      </c>
    </row>
    <row r="103" spans="1:4" x14ac:dyDescent="0.25">
      <c r="A103" s="6" t="s">
        <v>56</v>
      </c>
      <c r="B103" s="7">
        <v>8385.995280000001</v>
      </c>
      <c r="C103" s="3">
        <v>6267.56</v>
      </c>
      <c r="D103" s="3">
        <v>2118.4352800000001</v>
      </c>
    </row>
    <row r="104" spans="1:4" x14ac:dyDescent="0.25">
      <c r="A104" s="5" t="s">
        <v>353</v>
      </c>
      <c r="B104" s="7">
        <v>2999.9967000000001</v>
      </c>
      <c r="C104" s="3">
        <v>2242.15</v>
      </c>
      <c r="D104" s="3">
        <v>757.84670000000006</v>
      </c>
    </row>
    <row r="105" spans="1:4" x14ac:dyDescent="0.25">
      <c r="A105" s="6" t="s">
        <v>720</v>
      </c>
      <c r="B105" s="7">
        <v>2999.9967000000001</v>
      </c>
      <c r="C105" s="3">
        <v>2242.15</v>
      </c>
      <c r="D105" s="3">
        <v>757.84670000000006</v>
      </c>
    </row>
    <row r="106" spans="1:4" x14ac:dyDescent="0.25">
      <c r="A106" s="5" t="s">
        <v>354</v>
      </c>
      <c r="B106" s="7">
        <v>4269.9995399999998</v>
      </c>
      <c r="C106" s="3">
        <v>3191.33</v>
      </c>
      <c r="D106" s="3">
        <v>1078.6695400000001</v>
      </c>
    </row>
    <row r="107" spans="1:4" x14ac:dyDescent="0.25">
      <c r="A107" s="6" t="s">
        <v>355</v>
      </c>
      <c r="B107" s="7">
        <v>4269.9995399999998</v>
      </c>
      <c r="C107" s="3">
        <v>3191.33</v>
      </c>
      <c r="D107" s="3">
        <v>1078.6695400000001</v>
      </c>
    </row>
    <row r="108" spans="1:4" x14ac:dyDescent="0.25">
      <c r="A108" s="5" t="s">
        <v>356</v>
      </c>
      <c r="B108" s="7">
        <v>124233.3</v>
      </c>
      <c r="C108" s="3">
        <v>92850</v>
      </c>
      <c r="D108" s="3">
        <v>31383.300000000003</v>
      </c>
    </row>
    <row r="109" spans="1:4" x14ac:dyDescent="0.25">
      <c r="A109" s="6" t="s">
        <v>357</v>
      </c>
      <c r="B109" s="7">
        <v>124233.3</v>
      </c>
      <c r="C109" s="3">
        <v>92850</v>
      </c>
      <c r="D109" s="3">
        <v>31383.300000000003</v>
      </c>
    </row>
    <row r="110" spans="1:4" x14ac:dyDescent="0.25">
      <c r="A110" s="5" t="s">
        <v>358</v>
      </c>
      <c r="B110" s="7">
        <v>183975.0016056</v>
      </c>
      <c r="C110" s="3">
        <v>137500.0012</v>
      </c>
      <c r="D110" s="3">
        <v>46475.000405600003</v>
      </c>
    </row>
    <row r="111" spans="1:4" x14ac:dyDescent="0.25">
      <c r="A111" s="6" t="s">
        <v>2209</v>
      </c>
      <c r="B111" s="7">
        <v>183975.0016056</v>
      </c>
      <c r="C111" s="3">
        <v>137500.0012</v>
      </c>
      <c r="D111" s="3">
        <v>46475.000405600003</v>
      </c>
    </row>
    <row r="112" spans="1:4" x14ac:dyDescent="0.25">
      <c r="A112" s="5" t="s">
        <v>361</v>
      </c>
      <c r="B112" s="7">
        <v>9376.7039999999997</v>
      </c>
      <c r="C112" s="3">
        <v>7008</v>
      </c>
      <c r="D112" s="3">
        <v>2368.7040000000002</v>
      </c>
    </row>
    <row r="113" spans="1:4" x14ac:dyDescent="0.25">
      <c r="A113" s="6" t="s">
        <v>2248</v>
      </c>
      <c r="B113" s="7">
        <v>9376.7039999999997</v>
      </c>
      <c r="C113" s="3">
        <v>7008</v>
      </c>
      <c r="D113" s="3">
        <v>2368.7040000000002</v>
      </c>
    </row>
    <row r="114" spans="1:4" x14ac:dyDescent="0.25">
      <c r="A114" s="5" t="s">
        <v>362</v>
      </c>
      <c r="B114" s="7">
        <v>32474.598000000002</v>
      </c>
      <c r="C114" s="3">
        <v>24271</v>
      </c>
      <c r="D114" s="3">
        <v>8203.5980000000018</v>
      </c>
    </row>
    <row r="115" spans="1:4" x14ac:dyDescent="0.25">
      <c r="A115" s="6" t="s">
        <v>349</v>
      </c>
      <c r="B115" s="7">
        <v>32474.598000000002</v>
      </c>
      <c r="C115" s="3">
        <v>24271</v>
      </c>
      <c r="D115" s="3">
        <v>8203.5980000000018</v>
      </c>
    </row>
    <row r="116" spans="1:4" x14ac:dyDescent="0.25">
      <c r="A116" s="5" t="s">
        <v>366</v>
      </c>
      <c r="B116" s="7">
        <v>467202.83999999997</v>
      </c>
      <c r="C116" s="3">
        <v>349180</v>
      </c>
      <c r="D116" s="3">
        <v>118022.84</v>
      </c>
    </row>
    <row r="117" spans="1:4" x14ac:dyDescent="0.25">
      <c r="A117" s="6" t="s">
        <v>367</v>
      </c>
      <c r="B117" s="7">
        <v>467202.83999999997</v>
      </c>
      <c r="C117" s="3">
        <v>349180</v>
      </c>
      <c r="D117" s="3">
        <v>118022.84</v>
      </c>
    </row>
    <row r="118" spans="1:4" x14ac:dyDescent="0.25">
      <c r="A118" s="5" t="s">
        <v>368</v>
      </c>
      <c r="B118" s="7">
        <v>4950.6000000000004</v>
      </c>
      <c r="C118" s="3">
        <v>3700</v>
      </c>
      <c r="D118" s="3">
        <v>1250.6000000000001</v>
      </c>
    </row>
    <row r="119" spans="1:4" x14ac:dyDescent="0.25">
      <c r="A119" s="6" t="s">
        <v>360</v>
      </c>
      <c r="B119" s="7">
        <v>4950.6000000000004</v>
      </c>
      <c r="C119" s="3">
        <v>3700</v>
      </c>
      <c r="D119" s="3">
        <v>1250.6000000000001</v>
      </c>
    </row>
    <row r="120" spans="1:4" x14ac:dyDescent="0.25">
      <c r="A120" s="5" t="s">
        <v>375</v>
      </c>
      <c r="B120" s="7">
        <v>4164.1235999999999</v>
      </c>
      <c r="C120" s="3">
        <v>3112.2</v>
      </c>
      <c r="D120" s="3">
        <v>1051.9236000000001</v>
      </c>
    </row>
    <row r="121" spans="1:4" x14ac:dyDescent="0.25">
      <c r="A121" s="6" t="s">
        <v>670</v>
      </c>
      <c r="B121" s="7">
        <v>4164.1235999999999</v>
      </c>
      <c r="C121" s="3">
        <v>3112.2</v>
      </c>
      <c r="D121" s="3">
        <v>1051.9236000000001</v>
      </c>
    </row>
    <row r="122" spans="1:4" x14ac:dyDescent="0.25">
      <c r="A122" s="5" t="s">
        <v>65</v>
      </c>
      <c r="B122" s="7">
        <v>120741.12</v>
      </c>
      <c r="C122" s="3">
        <v>90240</v>
      </c>
      <c r="D122" s="3">
        <v>30501.120000000003</v>
      </c>
    </row>
    <row r="123" spans="1:4" x14ac:dyDescent="0.25">
      <c r="A123" s="6" t="s">
        <v>66</v>
      </c>
      <c r="B123" s="7">
        <v>120741.12</v>
      </c>
      <c r="C123" s="3">
        <v>90240</v>
      </c>
      <c r="D123" s="3">
        <v>30501.120000000003</v>
      </c>
    </row>
    <row r="124" spans="1:4" x14ac:dyDescent="0.25">
      <c r="A124" s="5" t="s">
        <v>1495</v>
      </c>
      <c r="B124" s="7">
        <v>6369924.1966445036</v>
      </c>
      <c r="C124" s="3">
        <v>4763799.2501080008</v>
      </c>
      <c r="D124" s="3">
        <v>1606124.9465365042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25" zoomScale="85" zoomScaleNormal="85" workbookViewId="0">
      <selection activeCell="M50" sqref="M50"/>
    </sheetView>
  </sheetViews>
  <sheetFormatPr defaultRowHeight="15" x14ac:dyDescent="0.25"/>
  <cols>
    <col min="1" max="1" width="49.85546875" customWidth="1"/>
    <col min="2" max="2" width="19" customWidth="1"/>
  </cols>
  <sheetData>
    <row r="1" spans="1:2" x14ac:dyDescent="0.25">
      <c r="A1" s="4" t="s">
        <v>135</v>
      </c>
      <c r="B1" t="s">
        <v>2006</v>
      </c>
    </row>
    <row r="2" spans="1:2" x14ac:dyDescent="0.25">
      <c r="A2" s="4" t="s">
        <v>1987</v>
      </c>
      <c r="B2" t="s">
        <v>443</v>
      </c>
    </row>
    <row r="4" spans="1:2" x14ac:dyDescent="0.25">
      <c r="A4" s="4" t="s">
        <v>378</v>
      </c>
      <c r="B4" t="s">
        <v>381</v>
      </c>
    </row>
    <row r="5" spans="1:2" x14ac:dyDescent="0.25">
      <c r="A5" s="5" t="s">
        <v>563</v>
      </c>
      <c r="B5" s="2">
        <v>374236.84</v>
      </c>
    </row>
    <row r="6" spans="1:2" x14ac:dyDescent="0.25">
      <c r="A6" s="5" t="s">
        <v>571</v>
      </c>
      <c r="B6" s="2">
        <v>582947</v>
      </c>
    </row>
    <row r="7" spans="1:2" x14ac:dyDescent="0.25">
      <c r="A7" s="5" t="s">
        <v>576</v>
      </c>
      <c r="B7" s="2">
        <v>34385</v>
      </c>
    </row>
    <row r="8" spans="1:2" x14ac:dyDescent="0.25">
      <c r="A8" s="5" t="s">
        <v>2015</v>
      </c>
      <c r="B8" s="2">
        <v>8250</v>
      </c>
    </row>
    <row r="9" spans="1:2" x14ac:dyDescent="0.25">
      <c r="A9" s="5" t="s">
        <v>551</v>
      </c>
      <c r="B9" s="2">
        <v>2446.4</v>
      </c>
    </row>
    <row r="10" spans="1:2" x14ac:dyDescent="0.25">
      <c r="A10" s="107" t="s">
        <v>1084</v>
      </c>
      <c r="B10" s="9">
        <v>84235.382710000005</v>
      </c>
    </row>
    <row r="11" spans="1:2" x14ac:dyDescent="0.25">
      <c r="A11" s="5" t="s">
        <v>567</v>
      </c>
      <c r="B11" s="2">
        <v>190772</v>
      </c>
    </row>
    <row r="12" spans="1:2" x14ac:dyDescent="0.25">
      <c r="A12" s="5" t="s">
        <v>573</v>
      </c>
      <c r="B12" s="2">
        <v>287604.56000000011</v>
      </c>
    </row>
    <row r="13" spans="1:2" x14ac:dyDescent="0.25">
      <c r="A13" s="5" t="s">
        <v>834</v>
      </c>
      <c r="B13" s="2">
        <v>496305</v>
      </c>
    </row>
    <row r="14" spans="1:2" x14ac:dyDescent="0.25">
      <c r="A14" s="5" t="s">
        <v>572</v>
      </c>
      <c r="B14" s="2">
        <v>50500</v>
      </c>
    </row>
    <row r="15" spans="1:2" x14ac:dyDescent="0.25">
      <c r="A15" s="5" t="s">
        <v>555</v>
      </c>
      <c r="B15" s="2">
        <v>439666.88</v>
      </c>
    </row>
    <row r="16" spans="1:2" x14ac:dyDescent="0.25">
      <c r="A16" s="5" t="s">
        <v>1522</v>
      </c>
      <c r="B16" s="2">
        <v>75740</v>
      </c>
    </row>
    <row r="17" spans="1:2" x14ac:dyDescent="0.25">
      <c r="A17" s="5" t="s">
        <v>1089</v>
      </c>
      <c r="B17" s="2">
        <v>9500</v>
      </c>
    </row>
    <row r="18" spans="1:2" x14ac:dyDescent="0.25">
      <c r="A18" s="5" t="s">
        <v>1088</v>
      </c>
      <c r="B18" s="2">
        <v>105483.9</v>
      </c>
    </row>
    <row r="19" spans="1:2" x14ac:dyDescent="0.25">
      <c r="A19" s="5" t="s">
        <v>574</v>
      </c>
      <c r="B19" s="2">
        <v>178563</v>
      </c>
    </row>
    <row r="20" spans="1:2" x14ac:dyDescent="0.25">
      <c r="A20" s="5" t="s">
        <v>570</v>
      </c>
      <c r="B20" s="2">
        <v>258171</v>
      </c>
    </row>
    <row r="21" spans="1:2" x14ac:dyDescent="0.25">
      <c r="A21" s="107" t="s">
        <v>1086</v>
      </c>
      <c r="B21" s="9">
        <v>1000</v>
      </c>
    </row>
    <row r="22" spans="1:2" x14ac:dyDescent="0.25">
      <c r="A22" s="5" t="s">
        <v>668</v>
      </c>
      <c r="B22" s="2">
        <v>27016</v>
      </c>
    </row>
    <row r="23" spans="1:2" x14ac:dyDescent="0.25">
      <c r="A23" s="5" t="s">
        <v>578</v>
      </c>
      <c r="B23" s="2">
        <v>38240</v>
      </c>
    </row>
    <row r="24" spans="1:2" x14ac:dyDescent="0.25">
      <c r="A24" s="5" t="s">
        <v>2016</v>
      </c>
      <c r="B24" s="2">
        <v>42977</v>
      </c>
    </row>
    <row r="25" spans="1:2" x14ac:dyDescent="0.25">
      <c r="A25" s="5" t="s">
        <v>625</v>
      </c>
      <c r="B25" s="2">
        <v>22120</v>
      </c>
    </row>
    <row r="26" spans="1:2" x14ac:dyDescent="0.25">
      <c r="A26" s="5" t="s">
        <v>2052</v>
      </c>
      <c r="B26" s="2">
        <v>15605</v>
      </c>
    </row>
    <row r="27" spans="1:2" x14ac:dyDescent="0.25">
      <c r="A27" s="5" t="s">
        <v>559</v>
      </c>
      <c r="B27" s="2">
        <v>100122</v>
      </c>
    </row>
    <row r="28" spans="1:2" x14ac:dyDescent="0.25">
      <c r="A28" s="5" t="s">
        <v>566</v>
      </c>
      <c r="B28" s="2">
        <v>78120</v>
      </c>
    </row>
    <row r="29" spans="1:2" x14ac:dyDescent="0.25">
      <c r="A29" s="5" t="s">
        <v>715</v>
      </c>
      <c r="B29" s="2">
        <v>16532</v>
      </c>
    </row>
    <row r="30" spans="1:2" x14ac:dyDescent="0.25">
      <c r="A30" s="5" t="s">
        <v>564</v>
      </c>
      <c r="B30" s="2">
        <v>1370658.4</v>
      </c>
    </row>
    <row r="31" spans="1:2" x14ac:dyDescent="0.25">
      <c r="A31" s="107" t="s">
        <v>547</v>
      </c>
      <c r="B31" s="9">
        <v>16850</v>
      </c>
    </row>
    <row r="32" spans="1:2" x14ac:dyDescent="0.25">
      <c r="A32" s="5" t="s">
        <v>442</v>
      </c>
      <c r="B32" s="2">
        <v>214788.91</v>
      </c>
    </row>
    <row r="33" spans="1:2" x14ac:dyDescent="0.25">
      <c r="A33" s="5" t="s">
        <v>560</v>
      </c>
      <c r="B33" s="2">
        <v>313360.45</v>
      </c>
    </row>
    <row r="34" spans="1:2" x14ac:dyDescent="0.25">
      <c r="A34" s="5" t="s">
        <v>577</v>
      </c>
      <c r="B34" s="2">
        <v>77321</v>
      </c>
    </row>
    <row r="35" spans="1:2" x14ac:dyDescent="0.25">
      <c r="A35" s="5" t="s">
        <v>561</v>
      </c>
      <c r="B35" s="2">
        <v>14000</v>
      </c>
    </row>
    <row r="36" spans="1:2" x14ac:dyDescent="0.25">
      <c r="A36" s="107" t="s">
        <v>549</v>
      </c>
      <c r="B36" s="9">
        <v>39482.199999999997</v>
      </c>
    </row>
    <row r="37" spans="1:2" x14ac:dyDescent="0.25">
      <c r="A37" s="5" t="s">
        <v>751</v>
      </c>
      <c r="B37" s="2">
        <v>255945.68</v>
      </c>
    </row>
    <row r="38" spans="1:2" x14ac:dyDescent="0.25">
      <c r="A38" s="5" t="s">
        <v>554</v>
      </c>
      <c r="B38" s="2">
        <v>753000</v>
      </c>
    </row>
    <row r="39" spans="1:2" x14ac:dyDescent="0.25">
      <c r="A39" s="5" t="s">
        <v>575</v>
      </c>
      <c r="B39" s="2">
        <v>5400</v>
      </c>
    </row>
    <row r="40" spans="1:2" x14ac:dyDescent="0.25">
      <c r="A40" s="5" t="s">
        <v>771</v>
      </c>
      <c r="B40" s="2">
        <v>334110</v>
      </c>
    </row>
    <row r="41" spans="1:2" x14ac:dyDescent="0.25">
      <c r="A41" s="107" t="s">
        <v>545</v>
      </c>
      <c r="B41" s="9">
        <v>27717.13</v>
      </c>
    </row>
    <row r="42" spans="1:2" x14ac:dyDescent="0.25">
      <c r="A42" s="107" t="s">
        <v>542</v>
      </c>
      <c r="B42" s="9">
        <v>325536.40000000002</v>
      </c>
    </row>
    <row r="43" spans="1:2" x14ac:dyDescent="0.25">
      <c r="A43" s="107" t="s">
        <v>541</v>
      </c>
      <c r="B43" s="9">
        <v>12050</v>
      </c>
    </row>
    <row r="44" spans="1:2" x14ac:dyDescent="0.25">
      <c r="A44" s="5" t="s">
        <v>553</v>
      </c>
      <c r="B44" s="2">
        <v>268000</v>
      </c>
    </row>
    <row r="45" spans="1:2" x14ac:dyDescent="0.25">
      <c r="A45" s="5" t="s">
        <v>568</v>
      </c>
      <c r="B45" s="2">
        <v>11404</v>
      </c>
    </row>
    <row r="46" spans="1:2" x14ac:dyDescent="0.25">
      <c r="A46" s="107" t="s">
        <v>1085</v>
      </c>
      <c r="B46" s="9">
        <v>28548</v>
      </c>
    </row>
    <row r="47" spans="1:2" x14ac:dyDescent="0.25">
      <c r="A47" s="5" t="s">
        <v>565</v>
      </c>
      <c r="B47" s="2">
        <v>64104.399999999994</v>
      </c>
    </row>
    <row r="48" spans="1:2" x14ac:dyDescent="0.25">
      <c r="A48" s="5" t="s">
        <v>379</v>
      </c>
      <c r="B48" s="2">
        <v>7652815.5327100009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zoomScale="85" zoomScaleNormal="85" workbookViewId="0">
      <selection activeCell="B21" sqref="B21"/>
    </sheetView>
  </sheetViews>
  <sheetFormatPr defaultRowHeight="15" x14ac:dyDescent="0.25"/>
  <cols>
    <col min="1" max="1" width="62.28515625" customWidth="1"/>
    <col min="2" max="2" width="15.42578125" customWidth="1"/>
    <col min="3" max="3" width="11.7109375" customWidth="1"/>
    <col min="4" max="5" width="10.85546875" customWidth="1"/>
    <col min="6" max="6" width="12.42578125" customWidth="1"/>
    <col min="7" max="8" width="10.28515625" customWidth="1"/>
    <col min="9" max="9" width="9.28515625" customWidth="1"/>
    <col min="10" max="10" width="11.7109375" customWidth="1"/>
    <col min="11" max="12" width="9.28515625" customWidth="1"/>
    <col min="13" max="13" width="11.7109375" customWidth="1"/>
    <col min="14" max="14" width="7.42578125" customWidth="1"/>
    <col min="15" max="15" width="11.7109375" customWidth="1"/>
    <col min="16" max="16" width="11.7109375" bestFit="1" customWidth="1"/>
  </cols>
  <sheetData>
    <row r="3" spans="1:2" x14ac:dyDescent="0.25">
      <c r="A3" s="4" t="s">
        <v>135</v>
      </c>
      <c r="B3" t="s">
        <v>443</v>
      </c>
    </row>
    <row r="4" spans="1:2" x14ac:dyDescent="0.25">
      <c r="A4" s="4" t="s">
        <v>246</v>
      </c>
      <c r="B4" t="s">
        <v>443</v>
      </c>
    </row>
    <row r="5" spans="1:2" x14ac:dyDescent="0.25">
      <c r="A5" s="4" t="s">
        <v>472</v>
      </c>
      <c r="B5" t="s">
        <v>443</v>
      </c>
    </row>
    <row r="6" spans="1:2" x14ac:dyDescent="0.25">
      <c r="A6" s="4" t="s">
        <v>9</v>
      </c>
      <c r="B6" t="s">
        <v>443</v>
      </c>
    </row>
    <row r="7" spans="1:2" x14ac:dyDescent="0.25">
      <c r="A7" s="4" t="s">
        <v>7</v>
      </c>
      <c r="B7" t="s">
        <v>443</v>
      </c>
    </row>
    <row r="9" spans="1:2" x14ac:dyDescent="0.25">
      <c r="A9" s="4" t="s">
        <v>378</v>
      </c>
      <c r="B9" t="s">
        <v>381</v>
      </c>
    </row>
    <row r="10" spans="1:2" x14ac:dyDescent="0.25">
      <c r="A10" s="5" t="s">
        <v>161</v>
      </c>
      <c r="B10" s="2"/>
    </row>
    <row r="11" spans="1:2" x14ac:dyDescent="0.25">
      <c r="A11" s="6" t="s">
        <v>79</v>
      </c>
      <c r="B11" s="2">
        <v>-512000</v>
      </c>
    </row>
    <row r="12" spans="1:2" x14ac:dyDescent="0.25">
      <c r="A12" s="5" t="s">
        <v>80</v>
      </c>
      <c r="B12" s="2">
        <v>-719970</v>
      </c>
    </row>
    <row r="13" spans="1:2" x14ac:dyDescent="0.25">
      <c r="A13" s="5" t="s">
        <v>162</v>
      </c>
      <c r="B13" s="2"/>
    </row>
    <row r="14" spans="1:2" x14ac:dyDescent="0.25">
      <c r="A14" s="6" t="s">
        <v>82</v>
      </c>
      <c r="B14" s="2">
        <v>-2889971</v>
      </c>
    </row>
    <row r="15" spans="1:2" x14ac:dyDescent="0.25">
      <c r="A15" s="6" t="s">
        <v>81</v>
      </c>
      <c r="B15" s="2">
        <v>-1302903</v>
      </c>
    </row>
    <row r="16" spans="1:2" x14ac:dyDescent="0.25">
      <c r="A16" s="5" t="s">
        <v>164</v>
      </c>
      <c r="B16" s="2"/>
    </row>
    <row r="17" spans="1:2" x14ac:dyDescent="0.25">
      <c r="A17" s="6" t="s">
        <v>528</v>
      </c>
      <c r="B17" s="2">
        <v>306412</v>
      </c>
    </row>
    <row r="18" spans="1:2" x14ac:dyDescent="0.25">
      <c r="A18" s="6" t="s">
        <v>527</v>
      </c>
      <c r="B18" s="2">
        <v>727155</v>
      </c>
    </row>
    <row r="19" spans="1:2" x14ac:dyDescent="0.25">
      <c r="A19" s="6" t="s">
        <v>155</v>
      </c>
      <c r="B19" s="2">
        <v>31258</v>
      </c>
    </row>
    <row r="20" spans="1:2" x14ac:dyDescent="0.25">
      <c r="A20" s="5" t="s">
        <v>131</v>
      </c>
      <c r="B20" s="2"/>
    </row>
    <row r="21" spans="1:2" x14ac:dyDescent="0.25">
      <c r="A21" s="6" t="s">
        <v>531</v>
      </c>
      <c r="B21" s="2">
        <v>3689000.3399999994</v>
      </c>
    </row>
    <row r="22" spans="1:2" x14ac:dyDescent="0.25">
      <c r="A22" s="6" t="s">
        <v>532</v>
      </c>
      <c r="B22" s="2">
        <v>60485.382709999998</v>
      </c>
    </row>
    <row r="23" spans="1:2" x14ac:dyDescent="0.25">
      <c r="A23" s="5" t="s">
        <v>4</v>
      </c>
      <c r="B23" s="2">
        <v>2661026.4</v>
      </c>
    </row>
    <row r="24" spans="1:2" x14ac:dyDescent="0.25">
      <c r="A24" s="5" t="s">
        <v>2001</v>
      </c>
      <c r="B24" s="2">
        <v>149761.28</v>
      </c>
    </row>
    <row r="25" spans="1:2" x14ac:dyDescent="0.25">
      <c r="A25" s="5" t="s">
        <v>103</v>
      </c>
      <c r="B25" s="2">
        <v>-2085000</v>
      </c>
    </row>
    <row r="26" spans="1:2" x14ac:dyDescent="0.25">
      <c r="A26" s="5" t="s">
        <v>105</v>
      </c>
      <c r="B26" s="2">
        <v>686724.05</v>
      </c>
    </row>
    <row r="27" spans="1:2" x14ac:dyDescent="0.25">
      <c r="A27" s="5" t="s">
        <v>88</v>
      </c>
      <c r="B27" s="2">
        <v>-130</v>
      </c>
    </row>
    <row r="28" spans="1:2" x14ac:dyDescent="0.25">
      <c r="A28" s="5" t="s">
        <v>89</v>
      </c>
      <c r="B28" s="2">
        <v>27847.13</v>
      </c>
    </row>
    <row r="29" spans="1:2" x14ac:dyDescent="0.25">
      <c r="A29" s="5" t="s">
        <v>1495</v>
      </c>
      <c r="B29" s="2">
        <v>829695.58270999917</v>
      </c>
    </row>
  </sheetData>
  <pageMargins left="0.7" right="0.7" top="0.75" bottom="0.75" header="0.3" footer="0.3"/>
  <pageSetup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96"/>
  <sheetViews>
    <sheetView topLeftCell="A133" zoomScale="85" zoomScaleNormal="85" workbookViewId="0">
      <selection activeCell="B220" sqref="B220"/>
    </sheetView>
  </sheetViews>
  <sheetFormatPr defaultRowHeight="15" x14ac:dyDescent="0.25"/>
  <cols>
    <col min="1" max="1" width="50.5703125" bestFit="1" customWidth="1"/>
    <col min="2" max="2" width="19" customWidth="1"/>
    <col min="3" max="3" width="8.5703125" style="2" customWidth="1"/>
    <col min="4" max="5" width="15.42578125" bestFit="1" customWidth="1"/>
  </cols>
  <sheetData>
    <row r="2" spans="1:3" x14ac:dyDescent="0.25">
      <c r="A2" s="4" t="s">
        <v>135</v>
      </c>
      <c r="B2" t="s">
        <v>2006</v>
      </c>
    </row>
    <row r="3" spans="1:3" x14ac:dyDescent="0.25">
      <c r="C3"/>
    </row>
    <row r="4" spans="1:3" x14ac:dyDescent="0.25">
      <c r="A4" s="4" t="s">
        <v>378</v>
      </c>
      <c r="B4" t="s">
        <v>381</v>
      </c>
      <c r="C4"/>
    </row>
    <row r="5" spans="1:3" x14ac:dyDescent="0.25">
      <c r="A5" s="5" t="s">
        <v>13</v>
      </c>
      <c r="B5" s="2">
        <v>12050</v>
      </c>
      <c r="C5"/>
    </row>
    <row r="6" spans="1:3" x14ac:dyDescent="0.25">
      <c r="A6" s="6" t="s">
        <v>14</v>
      </c>
      <c r="B6" s="2">
        <v>12050</v>
      </c>
      <c r="C6"/>
    </row>
    <row r="7" spans="1:3" x14ac:dyDescent="0.25">
      <c r="A7" s="98">
        <v>5500</v>
      </c>
      <c r="B7" s="2">
        <v>1400</v>
      </c>
      <c r="C7"/>
    </row>
    <row r="8" spans="1:3" x14ac:dyDescent="0.25">
      <c r="A8" s="98">
        <v>5504</v>
      </c>
      <c r="B8" s="2">
        <v>8350</v>
      </c>
      <c r="C8"/>
    </row>
    <row r="9" spans="1:3" x14ac:dyDescent="0.25">
      <c r="A9" s="98">
        <v>5513</v>
      </c>
      <c r="B9" s="2">
        <v>1800</v>
      </c>
      <c r="C9"/>
    </row>
    <row r="10" spans="1:3" x14ac:dyDescent="0.25">
      <c r="A10" s="98">
        <v>5540</v>
      </c>
      <c r="B10" s="2">
        <v>500</v>
      </c>
      <c r="C10"/>
    </row>
    <row r="11" spans="1:3" x14ac:dyDescent="0.25">
      <c r="A11" s="5" t="s">
        <v>15</v>
      </c>
      <c r="B11" s="2">
        <v>206536.40000000002</v>
      </c>
      <c r="C11"/>
    </row>
    <row r="12" spans="1:3" x14ac:dyDescent="0.25">
      <c r="A12" s="6" t="s">
        <v>16</v>
      </c>
      <c r="B12" s="2">
        <v>206536.40000000002</v>
      </c>
      <c r="C12"/>
    </row>
    <row r="13" spans="1:3" x14ac:dyDescent="0.25">
      <c r="A13" s="98">
        <v>4528</v>
      </c>
      <c r="B13" s="2">
        <v>210</v>
      </c>
      <c r="C13"/>
    </row>
    <row r="14" spans="1:3" x14ac:dyDescent="0.25">
      <c r="A14" s="98">
        <v>5500</v>
      </c>
      <c r="B14" s="2">
        <v>36340</v>
      </c>
      <c r="C14"/>
    </row>
    <row r="15" spans="1:3" x14ac:dyDescent="0.25">
      <c r="A15" s="98">
        <v>5503</v>
      </c>
      <c r="B15" s="2">
        <v>1500</v>
      </c>
      <c r="C15"/>
    </row>
    <row r="16" spans="1:3" x14ac:dyDescent="0.25">
      <c r="A16" s="98">
        <v>5504</v>
      </c>
      <c r="B16" s="2">
        <v>22120</v>
      </c>
      <c r="C16"/>
    </row>
    <row r="17" spans="1:3" x14ac:dyDescent="0.25">
      <c r="A17" s="98">
        <v>5511</v>
      </c>
      <c r="B17" s="2">
        <v>59876</v>
      </c>
      <c r="C17"/>
    </row>
    <row r="18" spans="1:3" x14ac:dyDescent="0.25">
      <c r="A18" s="98">
        <v>5513</v>
      </c>
      <c r="B18" s="2">
        <v>15235.2</v>
      </c>
      <c r="C18"/>
    </row>
    <row r="19" spans="1:3" x14ac:dyDescent="0.25">
      <c r="A19" s="98">
        <v>5514</v>
      </c>
      <c r="B19" s="2">
        <v>16695.2</v>
      </c>
      <c r="C19"/>
    </row>
    <row r="20" spans="1:3" x14ac:dyDescent="0.25">
      <c r="A20" s="98">
        <v>5515</v>
      </c>
      <c r="B20" s="2">
        <v>2160</v>
      </c>
      <c r="C20"/>
    </row>
    <row r="21" spans="1:3" x14ac:dyDescent="0.25">
      <c r="A21" s="98">
        <v>5522</v>
      </c>
      <c r="B21" s="2">
        <v>4500</v>
      </c>
      <c r="C21"/>
    </row>
    <row r="22" spans="1:3" x14ac:dyDescent="0.25">
      <c r="A22" s="98">
        <v>5523</v>
      </c>
      <c r="B22" s="2">
        <v>200</v>
      </c>
      <c r="C22"/>
    </row>
    <row r="23" spans="1:3" x14ac:dyDescent="0.25">
      <c r="A23" s="98">
        <v>5532</v>
      </c>
      <c r="B23" s="2">
        <v>1500</v>
      </c>
      <c r="C23"/>
    </row>
    <row r="24" spans="1:3" x14ac:dyDescent="0.25">
      <c r="A24" s="98">
        <v>5540</v>
      </c>
      <c r="B24" s="2">
        <v>46200</v>
      </c>
      <c r="C24"/>
    </row>
    <row r="25" spans="1:3" x14ac:dyDescent="0.25">
      <c r="A25" s="5" t="s">
        <v>17</v>
      </c>
      <c r="B25" s="2">
        <v>59235.382709999998</v>
      </c>
      <c r="C25"/>
    </row>
    <row r="26" spans="1:3" x14ac:dyDescent="0.25">
      <c r="A26" s="6" t="s">
        <v>18</v>
      </c>
      <c r="B26" s="2">
        <v>59235.382709999998</v>
      </c>
      <c r="C26"/>
    </row>
    <row r="27" spans="1:3" x14ac:dyDescent="0.25">
      <c r="A27" s="98">
        <v>608</v>
      </c>
      <c r="B27" s="2">
        <v>59235.382709999998</v>
      </c>
      <c r="C27"/>
    </row>
    <row r="28" spans="1:3" x14ac:dyDescent="0.25">
      <c r="A28" s="5" t="s">
        <v>21</v>
      </c>
      <c r="B28" s="2">
        <v>-1370558.82</v>
      </c>
      <c r="C28"/>
    </row>
    <row r="29" spans="1:3" x14ac:dyDescent="0.25">
      <c r="A29" s="6" t="s">
        <v>22</v>
      </c>
      <c r="B29" s="2">
        <v>-1370558.82</v>
      </c>
      <c r="C29"/>
    </row>
    <row r="30" spans="1:3" x14ac:dyDescent="0.25">
      <c r="A30" s="98">
        <v>655</v>
      </c>
      <c r="B30" s="2">
        <v>-130</v>
      </c>
      <c r="C30"/>
    </row>
    <row r="31" spans="1:3" x14ac:dyDescent="0.25">
      <c r="A31" s="98">
        <v>6501</v>
      </c>
      <c r="B31" s="2">
        <v>27847.13</v>
      </c>
      <c r="C31"/>
    </row>
    <row r="32" spans="1:3" x14ac:dyDescent="0.25">
      <c r="A32" s="98">
        <v>25852</v>
      </c>
      <c r="B32" s="2">
        <v>-2085000</v>
      </c>
      <c r="C32"/>
    </row>
    <row r="33" spans="1:3" x14ac:dyDescent="0.25">
      <c r="A33" s="98">
        <v>208168</v>
      </c>
      <c r="B33" s="2">
        <v>686724.05</v>
      </c>
      <c r="C33"/>
    </row>
    <row r="34" spans="1:3" x14ac:dyDescent="0.25">
      <c r="A34" s="5" t="s">
        <v>23</v>
      </c>
      <c r="B34" s="2">
        <v>28548</v>
      </c>
      <c r="C34"/>
    </row>
    <row r="35" spans="1:3" x14ac:dyDescent="0.25">
      <c r="A35" s="6" t="s">
        <v>24</v>
      </c>
      <c r="B35" s="2">
        <v>28548</v>
      </c>
      <c r="C35"/>
    </row>
    <row r="36" spans="1:3" x14ac:dyDescent="0.25">
      <c r="A36" s="98">
        <v>4528</v>
      </c>
      <c r="B36" s="2">
        <v>28548</v>
      </c>
      <c r="C36"/>
    </row>
    <row r="37" spans="1:3" x14ac:dyDescent="0.25">
      <c r="A37" s="5" t="s">
        <v>25</v>
      </c>
      <c r="B37" s="2">
        <v>1000</v>
      </c>
      <c r="C37"/>
    </row>
    <row r="38" spans="1:3" x14ac:dyDescent="0.25">
      <c r="A38" s="6" t="s">
        <v>26</v>
      </c>
      <c r="B38" s="2">
        <v>1000</v>
      </c>
      <c r="C38"/>
    </row>
    <row r="39" spans="1:3" x14ac:dyDescent="0.25">
      <c r="A39" s="98">
        <v>5525</v>
      </c>
      <c r="B39" s="2">
        <v>1000</v>
      </c>
      <c r="C39"/>
    </row>
    <row r="40" spans="1:3" x14ac:dyDescent="0.25">
      <c r="A40" s="5" t="s">
        <v>27</v>
      </c>
      <c r="B40" s="2">
        <v>16850</v>
      </c>
      <c r="C40"/>
    </row>
    <row r="41" spans="1:3" x14ac:dyDescent="0.25">
      <c r="A41" s="6" t="s">
        <v>28</v>
      </c>
      <c r="B41" s="2">
        <v>16850</v>
      </c>
      <c r="C41"/>
    </row>
    <row r="42" spans="1:3" x14ac:dyDescent="0.25">
      <c r="A42" s="98">
        <v>5511</v>
      </c>
      <c r="B42" s="2">
        <v>900</v>
      </c>
      <c r="C42"/>
    </row>
    <row r="43" spans="1:3" x14ac:dyDescent="0.25">
      <c r="A43" s="98">
        <v>5513</v>
      </c>
      <c r="B43" s="2">
        <v>700</v>
      </c>
      <c r="C43"/>
    </row>
    <row r="44" spans="1:3" x14ac:dyDescent="0.25">
      <c r="A44" s="98">
        <v>45008</v>
      </c>
      <c r="B44" s="2">
        <v>15250</v>
      </c>
      <c r="C44"/>
    </row>
    <row r="45" spans="1:3" x14ac:dyDescent="0.25">
      <c r="A45" s="5" t="s">
        <v>31</v>
      </c>
      <c r="B45" s="2">
        <v>486305</v>
      </c>
      <c r="C45"/>
    </row>
    <row r="46" spans="1:3" x14ac:dyDescent="0.25">
      <c r="A46" s="6" t="s">
        <v>834</v>
      </c>
      <c r="B46" s="2">
        <v>486305</v>
      </c>
      <c r="C46"/>
    </row>
    <row r="47" spans="1:3" x14ac:dyDescent="0.25">
      <c r="A47" s="98">
        <v>5512</v>
      </c>
      <c r="B47" s="2">
        <v>486305</v>
      </c>
      <c r="C47"/>
    </row>
    <row r="48" spans="1:3" x14ac:dyDescent="0.25">
      <c r="A48" s="5" t="s">
        <v>32</v>
      </c>
      <c r="B48" s="2">
        <v>39482.199999999997</v>
      </c>
      <c r="C48"/>
    </row>
    <row r="49" spans="1:3" x14ac:dyDescent="0.25">
      <c r="A49" s="6" t="s">
        <v>33</v>
      </c>
      <c r="B49" s="2">
        <v>39482.199999999997</v>
      </c>
      <c r="C49"/>
    </row>
    <row r="50" spans="1:3" x14ac:dyDescent="0.25">
      <c r="A50" s="98">
        <v>5500</v>
      </c>
      <c r="B50" s="2">
        <v>240</v>
      </c>
      <c r="C50"/>
    </row>
    <row r="51" spans="1:3" x14ac:dyDescent="0.25">
      <c r="A51" s="98">
        <v>5504</v>
      </c>
      <c r="B51" s="2">
        <v>592.64</v>
      </c>
      <c r="C51"/>
    </row>
    <row r="52" spans="1:3" x14ac:dyDescent="0.25">
      <c r="A52" s="98">
        <v>5511</v>
      </c>
      <c r="B52" s="2">
        <v>100</v>
      </c>
      <c r="C52"/>
    </row>
    <row r="53" spans="1:3" x14ac:dyDescent="0.25">
      <c r="A53" s="98">
        <v>5513</v>
      </c>
      <c r="B53" s="2">
        <v>3685</v>
      </c>
      <c r="C53"/>
    </row>
    <row r="54" spans="1:3" x14ac:dyDescent="0.25">
      <c r="A54" s="98">
        <v>5514</v>
      </c>
      <c r="B54" s="2">
        <v>29864.559999999998</v>
      </c>
      <c r="C54"/>
    </row>
    <row r="55" spans="1:3" x14ac:dyDescent="0.25">
      <c r="A55" s="98">
        <v>5515</v>
      </c>
      <c r="B55" s="2">
        <v>5000</v>
      </c>
      <c r="C55"/>
    </row>
    <row r="56" spans="1:3" x14ac:dyDescent="0.25">
      <c r="A56" s="5" t="s">
        <v>34</v>
      </c>
      <c r="B56" s="2">
        <v>105483.9</v>
      </c>
      <c r="C56"/>
    </row>
    <row r="57" spans="1:3" x14ac:dyDescent="0.25">
      <c r="A57" s="6" t="s">
        <v>35</v>
      </c>
      <c r="B57" s="2">
        <v>105483.9</v>
      </c>
      <c r="C57"/>
    </row>
    <row r="58" spans="1:3" x14ac:dyDescent="0.25">
      <c r="A58" s="98">
        <v>601</v>
      </c>
      <c r="B58" s="2">
        <v>250</v>
      </c>
      <c r="C58"/>
    </row>
    <row r="59" spans="1:3" x14ac:dyDescent="0.25">
      <c r="A59" s="98">
        <v>5500</v>
      </c>
      <c r="B59" s="2">
        <v>1664.5</v>
      </c>
      <c r="C59"/>
    </row>
    <row r="60" spans="1:3" x14ac:dyDescent="0.25">
      <c r="A60" s="98">
        <v>5504</v>
      </c>
      <c r="B60" s="2">
        <v>1600</v>
      </c>
      <c r="C60"/>
    </row>
    <row r="61" spans="1:3" x14ac:dyDescent="0.25">
      <c r="A61" s="98">
        <v>5511</v>
      </c>
      <c r="B61" s="2">
        <v>1750</v>
      </c>
      <c r="C61"/>
    </row>
    <row r="62" spans="1:3" x14ac:dyDescent="0.25">
      <c r="A62" s="98">
        <v>5513</v>
      </c>
      <c r="B62" s="2">
        <v>9385</v>
      </c>
      <c r="C62"/>
    </row>
    <row r="63" spans="1:3" x14ac:dyDescent="0.25">
      <c r="A63" s="98">
        <v>5514</v>
      </c>
      <c r="B63" s="2">
        <v>734.40000000000009</v>
      </c>
      <c r="C63"/>
    </row>
    <row r="64" spans="1:3" x14ac:dyDescent="0.25">
      <c r="A64" s="98">
        <v>5540</v>
      </c>
      <c r="B64" s="2">
        <v>2100</v>
      </c>
      <c r="C64"/>
    </row>
    <row r="65" spans="1:3" x14ac:dyDescent="0.25">
      <c r="A65" s="98">
        <v>45008</v>
      </c>
      <c r="B65" s="2">
        <v>3000</v>
      </c>
      <c r="C65"/>
    </row>
    <row r="66" spans="1:3" x14ac:dyDescent="0.25">
      <c r="A66" s="98">
        <v>45028</v>
      </c>
      <c r="B66" s="2">
        <v>85000</v>
      </c>
      <c r="C66"/>
    </row>
    <row r="67" spans="1:3" x14ac:dyDescent="0.25">
      <c r="A67" s="5" t="s">
        <v>36</v>
      </c>
      <c r="B67" s="2">
        <v>2446.4</v>
      </c>
      <c r="C67"/>
    </row>
    <row r="68" spans="1:3" x14ac:dyDescent="0.25">
      <c r="A68" s="6" t="s">
        <v>37</v>
      </c>
      <c r="B68" s="2">
        <v>2446.4</v>
      </c>
      <c r="C68"/>
    </row>
    <row r="69" spans="1:3" x14ac:dyDescent="0.25">
      <c r="A69" s="98">
        <v>5511</v>
      </c>
      <c r="B69" s="2">
        <v>2000</v>
      </c>
      <c r="C69"/>
    </row>
    <row r="70" spans="1:3" x14ac:dyDescent="0.25">
      <c r="A70" s="98">
        <v>5514</v>
      </c>
      <c r="B70" s="2">
        <v>446.40000000000003</v>
      </c>
      <c r="C70"/>
    </row>
    <row r="71" spans="1:3" x14ac:dyDescent="0.25">
      <c r="A71" s="5" t="s">
        <v>38</v>
      </c>
      <c r="B71" s="2">
        <v>9500</v>
      </c>
      <c r="C71"/>
    </row>
    <row r="72" spans="1:3" x14ac:dyDescent="0.25">
      <c r="A72" s="6" t="s">
        <v>1089</v>
      </c>
      <c r="B72" s="2">
        <v>9500</v>
      </c>
      <c r="C72"/>
    </row>
    <row r="73" spans="1:3" x14ac:dyDescent="0.25">
      <c r="A73" s="98">
        <v>5511</v>
      </c>
      <c r="B73" s="2">
        <v>9053.6</v>
      </c>
      <c r="C73"/>
    </row>
    <row r="74" spans="1:3" x14ac:dyDescent="0.25">
      <c r="A74" s="98">
        <v>5514</v>
      </c>
      <c r="B74" s="2">
        <v>446.40000000000003</v>
      </c>
      <c r="C74"/>
    </row>
    <row r="75" spans="1:3" x14ac:dyDescent="0.25">
      <c r="A75" s="5" t="s">
        <v>40</v>
      </c>
      <c r="B75" s="2">
        <v>53000</v>
      </c>
      <c r="C75"/>
    </row>
    <row r="76" spans="1:3" x14ac:dyDescent="0.25">
      <c r="A76" s="6" t="s">
        <v>554</v>
      </c>
      <c r="B76" s="2">
        <v>53000</v>
      </c>
      <c r="C76"/>
    </row>
    <row r="77" spans="1:3" x14ac:dyDescent="0.25">
      <c r="A77" s="98">
        <v>5512</v>
      </c>
      <c r="B77" s="2">
        <v>53000</v>
      </c>
      <c r="C77"/>
    </row>
    <row r="78" spans="1:3" x14ac:dyDescent="0.25">
      <c r="A78" s="5" t="s">
        <v>254</v>
      </c>
      <c r="B78" s="2">
        <v>99464</v>
      </c>
      <c r="C78"/>
    </row>
    <row r="79" spans="1:3" x14ac:dyDescent="0.25">
      <c r="A79" s="6" t="s">
        <v>2199</v>
      </c>
      <c r="B79" s="2">
        <v>99464</v>
      </c>
      <c r="C79"/>
    </row>
    <row r="80" spans="1:3" x14ac:dyDescent="0.25">
      <c r="A80" s="98">
        <v>5500</v>
      </c>
      <c r="B80" s="2">
        <v>1420</v>
      </c>
      <c r="C80"/>
    </row>
    <row r="81" spans="1:3" x14ac:dyDescent="0.25">
      <c r="A81" s="98">
        <v>5504</v>
      </c>
      <c r="B81" s="2">
        <v>350</v>
      </c>
      <c r="C81"/>
    </row>
    <row r="82" spans="1:3" x14ac:dyDescent="0.25">
      <c r="A82" s="98">
        <v>5511</v>
      </c>
      <c r="B82" s="2">
        <v>63620</v>
      </c>
      <c r="C82"/>
    </row>
    <row r="83" spans="1:3" x14ac:dyDescent="0.25">
      <c r="A83" s="98">
        <v>5513</v>
      </c>
      <c r="B83" s="2">
        <v>12524</v>
      </c>
      <c r="C83"/>
    </row>
    <row r="84" spans="1:3" x14ac:dyDescent="0.25">
      <c r="A84" s="98">
        <v>5514</v>
      </c>
      <c r="B84" s="2">
        <v>3350</v>
      </c>
      <c r="C84"/>
    </row>
    <row r="85" spans="1:3" x14ac:dyDescent="0.25">
      <c r="A85" s="98">
        <v>5515</v>
      </c>
      <c r="B85" s="2">
        <v>9000</v>
      </c>
      <c r="C85"/>
    </row>
    <row r="86" spans="1:3" x14ac:dyDescent="0.25">
      <c r="A86" s="98">
        <v>5522</v>
      </c>
      <c r="B86" s="2">
        <v>700</v>
      </c>
      <c r="C86"/>
    </row>
    <row r="87" spans="1:3" x14ac:dyDescent="0.25">
      <c r="A87" s="98">
        <v>5525</v>
      </c>
      <c r="B87" s="2">
        <v>500</v>
      </c>
      <c r="C87"/>
    </row>
    <row r="88" spans="1:3" x14ac:dyDescent="0.25">
      <c r="A88" s="98">
        <v>5540</v>
      </c>
      <c r="B88" s="2">
        <v>8000</v>
      </c>
      <c r="C88"/>
    </row>
    <row r="89" spans="1:3" x14ac:dyDescent="0.25">
      <c r="A89" s="5" t="s">
        <v>260</v>
      </c>
      <c r="B89" s="2">
        <v>16460</v>
      </c>
      <c r="C89"/>
    </row>
    <row r="90" spans="1:3" x14ac:dyDescent="0.25">
      <c r="A90" s="6" t="s">
        <v>261</v>
      </c>
      <c r="B90" s="2">
        <v>16460</v>
      </c>
      <c r="C90"/>
    </row>
    <row r="91" spans="1:3" x14ac:dyDescent="0.25">
      <c r="A91" s="98">
        <v>5511</v>
      </c>
      <c r="B91" s="2">
        <v>16460</v>
      </c>
      <c r="C91"/>
    </row>
    <row r="92" spans="1:3" x14ac:dyDescent="0.25">
      <c r="A92" s="5" t="s">
        <v>262</v>
      </c>
      <c r="B92" s="2">
        <v>34991.479999999996</v>
      </c>
      <c r="C92"/>
    </row>
    <row r="93" spans="1:3" x14ac:dyDescent="0.25">
      <c r="A93" s="6" t="s">
        <v>263</v>
      </c>
      <c r="B93" s="2">
        <v>34991.479999999996</v>
      </c>
      <c r="C93"/>
    </row>
    <row r="94" spans="1:3" x14ac:dyDescent="0.25">
      <c r="A94" s="98">
        <v>5511</v>
      </c>
      <c r="B94" s="2">
        <v>24991.48</v>
      </c>
      <c r="C94"/>
    </row>
    <row r="95" spans="1:3" x14ac:dyDescent="0.25">
      <c r="A95" s="98">
        <v>5512</v>
      </c>
      <c r="B95" s="2">
        <v>10000</v>
      </c>
      <c r="C95"/>
    </row>
    <row r="96" spans="1:3" x14ac:dyDescent="0.25">
      <c r="A96" s="5" t="s">
        <v>264</v>
      </c>
      <c r="B96" s="2">
        <v>10500</v>
      </c>
      <c r="C96"/>
    </row>
    <row r="97" spans="1:3" x14ac:dyDescent="0.25">
      <c r="A97" s="6" t="s">
        <v>265</v>
      </c>
      <c r="B97" s="2">
        <v>10500</v>
      </c>
      <c r="C97"/>
    </row>
    <row r="98" spans="1:3" x14ac:dyDescent="0.25">
      <c r="A98" s="98">
        <v>5511</v>
      </c>
      <c r="B98" s="2">
        <v>9837.6</v>
      </c>
      <c r="C98"/>
    </row>
    <row r="99" spans="1:3" x14ac:dyDescent="0.25">
      <c r="A99" s="98">
        <v>5514</v>
      </c>
      <c r="B99" s="2">
        <v>662.40000000000009</v>
      </c>
      <c r="C99"/>
    </row>
    <row r="100" spans="1:3" x14ac:dyDescent="0.25">
      <c r="A100" s="5" t="s">
        <v>41</v>
      </c>
      <c r="B100" s="2">
        <v>42977</v>
      </c>
      <c r="C100"/>
    </row>
    <row r="101" spans="1:3" x14ac:dyDescent="0.25">
      <c r="A101" s="6" t="s">
        <v>42</v>
      </c>
      <c r="B101" s="2">
        <v>42977</v>
      </c>
      <c r="C101"/>
    </row>
    <row r="102" spans="1:3" x14ac:dyDescent="0.25">
      <c r="A102" s="98">
        <v>4528</v>
      </c>
      <c r="B102" s="2">
        <v>2500</v>
      </c>
      <c r="C102"/>
    </row>
    <row r="103" spans="1:3" x14ac:dyDescent="0.25">
      <c r="A103" s="98">
        <v>5511</v>
      </c>
      <c r="B103" s="2">
        <v>5000</v>
      </c>
      <c r="C103"/>
    </row>
    <row r="104" spans="1:3" x14ac:dyDescent="0.25">
      <c r="A104" s="98">
        <v>5515</v>
      </c>
      <c r="B104" s="2">
        <v>600</v>
      </c>
      <c r="C104"/>
    </row>
    <row r="105" spans="1:3" x14ac:dyDescent="0.25">
      <c r="A105" s="98">
        <v>5540</v>
      </c>
      <c r="B105" s="2">
        <v>2400</v>
      </c>
      <c r="C105"/>
    </row>
    <row r="106" spans="1:3" x14ac:dyDescent="0.25">
      <c r="A106" s="98">
        <v>45028</v>
      </c>
      <c r="B106" s="2">
        <v>32477</v>
      </c>
      <c r="C106"/>
    </row>
    <row r="107" spans="1:3" x14ac:dyDescent="0.25">
      <c r="A107" s="5" t="s">
        <v>266</v>
      </c>
      <c r="B107" s="2">
        <v>143684.28</v>
      </c>
      <c r="C107"/>
    </row>
    <row r="108" spans="1:3" x14ac:dyDescent="0.25">
      <c r="A108" s="6" t="s">
        <v>267</v>
      </c>
      <c r="B108" s="2">
        <v>143684.28</v>
      </c>
      <c r="C108"/>
    </row>
    <row r="109" spans="1:3" x14ac:dyDescent="0.25">
      <c r="A109" s="98">
        <v>45008</v>
      </c>
      <c r="B109" s="2">
        <v>120000</v>
      </c>
      <c r="C109"/>
    </row>
    <row r="110" spans="1:3" x14ac:dyDescent="0.25">
      <c r="A110" s="98">
        <v>45028</v>
      </c>
      <c r="B110" s="2">
        <v>23684.28</v>
      </c>
      <c r="C110"/>
    </row>
    <row r="111" spans="1:3" x14ac:dyDescent="0.25">
      <c r="A111" s="5" t="s">
        <v>268</v>
      </c>
      <c r="B111" s="2">
        <v>17511.400000000001</v>
      </c>
      <c r="C111"/>
    </row>
    <row r="112" spans="1:3" x14ac:dyDescent="0.25">
      <c r="A112" s="6" t="s">
        <v>269</v>
      </c>
      <c r="B112" s="2">
        <v>17511.400000000001</v>
      </c>
      <c r="C112"/>
    </row>
    <row r="113" spans="1:3" x14ac:dyDescent="0.25">
      <c r="A113" s="98">
        <v>5500</v>
      </c>
      <c r="B113" s="2">
        <v>1420</v>
      </c>
      <c r="C113"/>
    </row>
    <row r="114" spans="1:3" x14ac:dyDescent="0.25">
      <c r="A114" s="98">
        <v>5511</v>
      </c>
      <c r="B114" s="2">
        <v>13121.4</v>
      </c>
      <c r="C114"/>
    </row>
    <row r="115" spans="1:3" x14ac:dyDescent="0.25">
      <c r="A115" s="98">
        <v>5513</v>
      </c>
      <c r="B115" s="2">
        <v>720</v>
      </c>
      <c r="C115"/>
    </row>
    <row r="116" spans="1:3" x14ac:dyDescent="0.25">
      <c r="A116" s="98">
        <v>5514</v>
      </c>
      <c r="B116" s="2">
        <v>300</v>
      </c>
      <c r="C116"/>
    </row>
    <row r="117" spans="1:3" x14ac:dyDescent="0.25">
      <c r="A117" s="98">
        <v>5522</v>
      </c>
      <c r="B117" s="2">
        <v>50</v>
      </c>
      <c r="C117"/>
    </row>
    <row r="118" spans="1:3" x14ac:dyDescent="0.25">
      <c r="A118" s="98">
        <v>5525</v>
      </c>
      <c r="B118" s="2">
        <v>1900</v>
      </c>
      <c r="C118"/>
    </row>
    <row r="119" spans="1:3" x14ac:dyDescent="0.25">
      <c r="A119" s="5" t="s">
        <v>270</v>
      </c>
      <c r="B119" s="2">
        <v>5600</v>
      </c>
      <c r="C119"/>
    </row>
    <row r="120" spans="1:3" x14ac:dyDescent="0.25">
      <c r="A120" s="6" t="s">
        <v>271</v>
      </c>
      <c r="B120" s="2">
        <v>5600</v>
      </c>
      <c r="C120"/>
    </row>
    <row r="121" spans="1:3" x14ac:dyDescent="0.25">
      <c r="A121" s="98">
        <v>5511</v>
      </c>
      <c r="B121" s="2">
        <v>5600</v>
      </c>
      <c r="C121"/>
    </row>
    <row r="122" spans="1:3" x14ac:dyDescent="0.25">
      <c r="A122" s="5" t="s">
        <v>272</v>
      </c>
      <c r="B122" s="2">
        <v>8000</v>
      </c>
      <c r="C122"/>
    </row>
    <row r="123" spans="1:3" x14ac:dyDescent="0.25">
      <c r="A123" s="6" t="s">
        <v>763</v>
      </c>
      <c r="B123" s="2">
        <v>8000</v>
      </c>
      <c r="C123"/>
    </row>
    <row r="124" spans="1:3" x14ac:dyDescent="0.25">
      <c r="A124" s="98">
        <v>4500</v>
      </c>
      <c r="B124" s="2">
        <v>8000</v>
      </c>
      <c r="C124"/>
    </row>
    <row r="125" spans="1:3" x14ac:dyDescent="0.25">
      <c r="A125" s="5" t="s">
        <v>273</v>
      </c>
      <c r="B125" s="2">
        <v>5800</v>
      </c>
      <c r="C125"/>
    </row>
    <row r="126" spans="1:3" x14ac:dyDescent="0.25">
      <c r="A126" s="6" t="s">
        <v>342</v>
      </c>
      <c r="B126" s="2">
        <v>5800</v>
      </c>
      <c r="C126"/>
    </row>
    <row r="127" spans="1:3" x14ac:dyDescent="0.25">
      <c r="A127" s="98">
        <v>5540</v>
      </c>
      <c r="B127" s="2">
        <v>5800</v>
      </c>
      <c r="C127"/>
    </row>
    <row r="128" spans="1:3" x14ac:dyDescent="0.25">
      <c r="A128" s="5" t="s">
        <v>274</v>
      </c>
      <c r="B128" s="2">
        <v>49000</v>
      </c>
      <c r="C128"/>
    </row>
    <row r="129" spans="1:3" x14ac:dyDescent="0.25">
      <c r="A129" s="6" t="s">
        <v>275</v>
      </c>
      <c r="B129" s="2">
        <v>49000</v>
      </c>
      <c r="C129"/>
    </row>
    <row r="130" spans="1:3" x14ac:dyDescent="0.25">
      <c r="A130" s="98">
        <v>5540</v>
      </c>
      <c r="B130" s="2">
        <v>49000</v>
      </c>
      <c r="C130"/>
    </row>
    <row r="131" spans="1:3" x14ac:dyDescent="0.25">
      <c r="A131" s="5" t="s">
        <v>758</v>
      </c>
      <c r="B131" s="2">
        <v>26350</v>
      </c>
      <c r="C131"/>
    </row>
    <row r="132" spans="1:3" x14ac:dyDescent="0.25">
      <c r="A132" s="6" t="s">
        <v>761</v>
      </c>
      <c r="B132" s="2">
        <v>26350</v>
      </c>
      <c r="C132"/>
    </row>
    <row r="133" spans="1:3" x14ac:dyDescent="0.25">
      <c r="A133" s="98">
        <v>4500</v>
      </c>
      <c r="B133" s="2">
        <v>26350</v>
      </c>
      <c r="C133"/>
    </row>
    <row r="134" spans="1:3" x14ac:dyDescent="0.25">
      <c r="A134" s="5" t="s">
        <v>276</v>
      </c>
      <c r="B134" s="2">
        <v>6670</v>
      </c>
      <c r="C134"/>
    </row>
    <row r="135" spans="1:3" x14ac:dyDescent="0.25">
      <c r="A135" s="6" t="s">
        <v>762</v>
      </c>
      <c r="B135" s="2">
        <v>6670</v>
      </c>
      <c r="C135"/>
    </row>
    <row r="136" spans="1:3" x14ac:dyDescent="0.25">
      <c r="A136" s="98">
        <v>5500</v>
      </c>
      <c r="B136" s="2">
        <v>135</v>
      </c>
      <c r="C136"/>
    </row>
    <row r="137" spans="1:3" x14ac:dyDescent="0.25">
      <c r="A137" s="98">
        <v>5504</v>
      </c>
      <c r="B137" s="2">
        <v>150</v>
      </c>
      <c r="C137"/>
    </row>
    <row r="138" spans="1:3" x14ac:dyDescent="0.25">
      <c r="A138" s="98">
        <v>5513</v>
      </c>
      <c r="B138" s="2">
        <v>3685</v>
      </c>
      <c r="C138"/>
    </row>
    <row r="139" spans="1:3" x14ac:dyDescent="0.25">
      <c r="A139" s="98">
        <v>5515</v>
      </c>
      <c r="B139" s="2">
        <v>700</v>
      </c>
      <c r="C139"/>
    </row>
    <row r="140" spans="1:3" x14ac:dyDescent="0.25">
      <c r="A140" s="98">
        <v>5540</v>
      </c>
      <c r="B140" s="2">
        <v>2000</v>
      </c>
      <c r="C140"/>
    </row>
    <row r="141" spans="1:3" x14ac:dyDescent="0.25">
      <c r="A141" s="5" t="s">
        <v>279</v>
      </c>
      <c r="B141" s="2">
        <v>4000</v>
      </c>
      <c r="C141"/>
    </row>
    <row r="142" spans="1:3" x14ac:dyDescent="0.25">
      <c r="A142" s="6" t="s">
        <v>280</v>
      </c>
      <c r="B142" s="2">
        <v>4000</v>
      </c>
      <c r="C142"/>
    </row>
    <row r="143" spans="1:3" x14ac:dyDescent="0.25">
      <c r="A143" s="98">
        <v>4500</v>
      </c>
      <c r="B143" s="2">
        <v>4000</v>
      </c>
      <c r="C143"/>
    </row>
    <row r="144" spans="1:3" x14ac:dyDescent="0.25">
      <c r="A144" s="5" t="s">
        <v>624</v>
      </c>
      <c r="B144" s="2">
        <v>2200</v>
      </c>
      <c r="C144"/>
    </row>
    <row r="145" spans="1:3" x14ac:dyDescent="0.25">
      <c r="A145" s="6" t="s">
        <v>760</v>
      </c>
      <c r="B145" s="2">
        <v>2200</v>
      </c>
      <c r="C145"/>
    </row>
    <row r="146" spans="1:3" x14ac:dyDescent="0.25">
      <c r="A146" s="98">
        <v>5511</v>
      </c>
      <c r="B146" s="2">
        <v>700</v>
      </c>
      <c r="C146"/>
    </row>
    <row r="147" spans="1:3" x14ac:dyDescent="0.25">
      <c r="A147" s="98">
        <v>5521</v>
      </c>
      <c r="B147" s="2">
        <v>1500</v>
      </c>
      <c r="C147"/>
    </row>
    <row r="148" spans="1:3" x14ac:dyDescent="0.25">
      <c r="A148" s="5" t="s">
        <v>755</v>
      </c>
      <c r="B148" s="2">
        <v>87252</v>
      </c>
      <c r="C148"/>
    </row>
    <row r="149" spans="1:3" x14ac:dyDescent="0.25">
      <c r="A149" s="6" t="s">
        <v>759</v>
      </c>
      <c r="B149" s="2">
        <v>87252</v>
      </c>
      <c r="C149"/>
    </row>
    <row r="150" spans="1:3" x14ac:dyDescent="0.25">
      <c r="A150" s="98">
        <v>4500</v>
      </c>
      <c r="B150" s="2">
        <v>87252</v>
      </c>
      <c r="C150"/>
    </row>
    <row r="151" spans="1:3" x14ac:dyDescent="0.25">
      <c r="A151" s="5" t="s">
        <v>281</v>
      </c>
      <c r="B151" s="2">
        <v>32000</v>
      </c>
      <c r="C151"/>
    </row>
    <row r="152" spans="1:3" x14ac:dyDescent="0.25">
      <c r="A152" s="6" t="s">
        <v>282</v>
      </c>
      <c r="B152" s="2">
        <v>32000</v>
      </c>
      <c r="C152"/>
    </row>
    <row r="153" spans="1:3" x14ac:dyDescent="0.25">
      <c r="A153" s="98">
        <v>5525</v>
      </c>
      <c r="B153" s="2">
        <v>32000</v>
      </c>
      <c r="C153"/>
    </row>
    <row r="154" spans="1:3" x14ac:dyDescent="0.25">
      <c r="A154" s="5" t="s">
        <v>283</v>
      </c>
      <c r="B154" s="2">
        <v>13610</v>
      </c>
      <c r="C154"/>
    </row>
    <row r="155" spans="1:3" x14ac:dyDescent="0.25">
      <c r="A155" s="6" t="s">
        <v>284</v>
      </c>
      <c r="B155" s="2">
        <v>13610</v>
      </c>
      <c r="C155"/>
    </row>
    <row r="156" spans="1:3" x14ac:dyDescent="0.25">
      <c r="A156" s="98">
        <v>45008</v>
      </c>
      <c r="B156" s="2">
        <v>13610</v>
      </c>
      <c r="C156"/>
    </row>
    <row r="157" spans="1:3" x14ac:dyDescent="0.25">
      <c r="A157" s="5" t="s">
        <v>285</v>
      </c>
      <c r="B157" s="2">
        <v>4500</v>
      </c>
      <c r="C157"/>
    </row>
    <row r="158" spans="1:3" x14ac:dyDescent="0.25">
      <c r="A158" s="6" t="s">
        <v>286</v>
      </c>
      <c r="B158" s="2">
        <v>4500</v>
      </c>
      <c r="C158"/>
    </row>
    <row r="159" spans="1:3" x14ac:dyDescent="0.25">
      <c r="A159" s="98">
        <v>5512</v>
      </c>
      <c r="B159" s="2">
        <v>4500</v>
      </c>
      <c r="C159"/>
    </row>
    <row r="160" spans="1:3" x14ac:dyDescent="0.25">
      <c r="A160" s="5" t="s">
        <v>289</v>
      </c>
      <c r="B160" s="2">
        <v>1000</v>
      </c>
      <c r="C160"/>
    </row>
    <row r="161" spans="1:3" x14ac:dyDescent="0.25">
      <c r="A161" s="6" t="s">
        <v>290</v>
      </c>
      <c r="B161" s="2">
        <v>1000</v>
      </c>
      <c r="C161"/>
    </row>
    <row r="162" spans="1:3" x14ac:dyDescent="0.25">
      <c r="A162" s="98">
        <v>5500</v>
      </c>
      <c r="B162" s="2">
        <v>1000</v>
      </c>
      <c r="C162"/>
    </row>
    <row r="163" spans="1:3" x14ac:dyDescent="0.25">
      <c r="A163" s="5" t="s">
        <v>2082</v>
      </c>
      <c r="B163" s="2">
        <v>8000</v>
      </c>
      <c r="C163"/>
    </row>
    <row r="164" spans="1:3" x14ac:dyDescent="0.25">
      <c r="A164" s="6" t="s">
        <v>2083</v>
      </c>
      <c r="B164" s="2">
        <v>8000</v>
      </c>
      <c r="C164"/>
    </row>
    <row r="165" spans="1:3" x14ac:dyDescent="0.25">
      <c r="A165" s="98">
        <v>45008</v>
      </c>
      <c r="B165" s="2">
        <v>8000</v>
      </c>
      <c r="C165"/>
    </row>
    <row r="166" spans="1:3" x14ac:dyDescent="0.25">
      <c r="A166" s="5" t="s">
        <v>291</v>
      </c>
      <c r="B166" s="2">
        <v>31174.91</v>
      </c>
      <c r="C166"/>
    </row>
    <row r="167" spans="1:3" x14ac:dyDescent="0.25">
      <c r="A167" s="6" t="s">
        <v>2205</v>
      </c>
      <c r="B167" s="2">
        <v>31174.91</v>
      </c>
      <c r="C167"/>
    </row>
    <row r="168" spans="1:3" x14ac:dyDescent="0.25">
      <c r="A168" s="98">
        <v>5500</v>
      </c>
      <c r="B168" s="2">
        <v>3460</v>
      </c>
      <c r="C168"/>
    </row>
    <row r="169" spans="1:3" x14ac:dyDescent="0.25">
      <c r="A169" s="98">
        <v>5504</v>
      </c>
      <c r="B169" s="2">
        <v>600</v>
      </c>
      <c r="C169"/>
    </row>
    <row r="170" spans="1:3" x14ac:dyDescent="0.25">
      <c r="A170" s="98">
        <v>5511</v>
      </c>
      <c r="B170" s="2">
        <v>17295</v>
      </c>
      <c r="C170"/>
    </row>
    <row r="171" spans="1:3" x14ac:dyDescent="0.25">
      <c r="A171" s="98">
        <v>5513</v>
      </c>
      <c r="B171" s="2">
        <v>400</v>
      </c>
      <c r="C171"/>
    </row>
    <row r="172" spans="1:3" x14ac:dyDescent="0.25">
      <c r="A172" s="98">
        <v>5514</v>
      </c>
      <c r="B172" s="2">
        <v>980</v>
      </c>
      <c r="C172"/>
    </row>
    <row r="173" spans="1:3" x14ac:dyDescent="0.25">
      <c r="A173" s="98">
        <v>5515</v>
      </c>
      <c r="B173" s="2">
        <v>350</v>
      </c>
      <c r="C173"/>
    </row>
    <row r="174" spans="1:3" x14ac:dyDescent="0.25">
      <c r="A174" s="98">
        <v>5522</v>
      </c>
      <c r="B174" s="2">
        <v>200</v>
      </c>
      <c r="C174"/>
    </row>
    <row r="175" spans="1:3" x14ac:dyDescent="0.25">
      <c r="A175" s="98">
        <v>5523</v>
      </c>
      <c r="B175" s="2">
        <v>7200</v>
      </c>
      <c r="C175"/>
    </row>
    <row r="176" spans="1:3" x14ac:dyDescent="0.25">
      <c r="A176" s="98">
        <v>5525</v>
      </c>
      <c r="B176" s="2">
        <v>600</v>
      </c>
      <c r="C176"/>
    </row>
    <row r="177" spans="1:3" x14ac:dyDescent="0.25">
      <c r="A177" s="98">
        <v>5540</v>
      </c>
      <c r="B177" s="2">
        <v>89.91</v>
      </c>
      <c r="C177"/>
    </row>
    <row r="178" spans="1:3" x14ac:dyDescent="0.25">
      <c r="A178" s="5" t="s">
        <v>292</v>
      </c>
      <c r="B178" s="2">
        <v>4550</v>
      </c>
      <c r="C178"/>
    </row>
    <row r="179" spans="1:3" x14ac:dyDescent="0.25">
      <c r="A179" s="6" t="s">
        <v>2204</v>
      </c>
      <c r="B179" s="2">
        <v>4550</v>
      </c>
      <c r="C179"/>
    </row>
    <row r="180" spans="1:3" x14ac:dyDescent="0.25">
      <c r="A180" s="98">
        <v>5500</v>
      </c>
      <c r="B180" s="2">
        <v>1480</v>
      </c>
      <c r="C180"/>
    </row>
    <row r="181" spans="1:3" x14ac:dyDescent="0.25">
      <c r="A181" s="98">
        <v>5504</v>
      </c>
      <c r="B181" s="2">
        <v>50</v>
      </c>
      <c r="C181"/>
    </row>
    <row r="182" spans="1:3" x14ac:dyDescent="0.25">
      <c r="A182" s="98">
        <v>5511</v>
      </c>
      <c r="B182" s="2">
        <v>80</v>
      </c>
      <c r="C182"/>
    </row>
    <row r="183" spans="1:3" x14ac:dyDescent="0.25">
      <c r="A183" s="98">
        <v>5514</v>
      </c>
      <c r="B183" s="2">
        <v>640</v>
      </c>
      <c r="C183"/>
    </row>
    <row r="184" spans="1:3" x14ac:dyDescent="0.25">
      <c r="A184" s="98">
        <v>5523</v>
      </c>
      <c r="B184" s="2">
        <v>2000</v>
      </c>
      <c r="C184"/>
    </row>
    <row r="185" spans="1:3" x14ac:dyDescent="0.25">
      <c r="A185" s="98">
        <v>5525</v>
      </c>
      <c r="B185" s="2">
        <v>300</v>
      </c>
      <c r="C185"/>
    </row>
    <row r="186" spans="1:3" x14ac:dyDescent="0.25">
      <c r="A186" s="5" t="s">
        <v>293</v>
      </c>
      <c r="B186" s="2">
        <v>7200</v>
      </c>
      <c r="C186"/>
    </row>
    <row r="187" spans="1:3" x14ac:dyDescent="0.25">
      <c r="A187" s="6" t="s">
        <v>2203</v>
      </c>
      <c r="B187" s="2">
        <v>7200</v>
      </c>
      <c r="C187"/>
    </row>
    <row r="188" spans="1:3" x14ac:dyDescent="0.25">
      <c r="A188" s="98">
        <v>5500</v>
      </c>
      <c r="B188" s="2">
        <v>1120</v>
      </c>
      <c r="C188"/>
    </row>
    <row r="189" spans="1:3" x14ac:dyDescent="0.25">
      <c r="A189" s="98">
        <v>5504</v>
      </c>
      <c r="B189" s="2">
        <v>350</v>
      </c>
      <c r="C189"/>
    </row>
    <row r="190" spans="1:3" x14ac:dyDescent="0.25">
      <c r="A190" s="98">
        <v>5511</v>
      </c>
      <c r="B190" s="2">
        <v>600</v>
      </c>
      <c r="C190"/>
    </row>
    <row r="191" spans="1:3" x14ac:dyDescent="0.25">
      <c r="A191" s="98">
        <v>5514</v>
      </c>
      <c r="B191" s="2">
        <v>440</v>
      </c>
      <c r="C191"/>
    </row>
    <row r="192" spans="1:3" x14ac:dyDescent="0.25">
      <c r="A192" s="98">
        <v>5515</v>
      </c>
      <c r="B192" s="2">
        <v>350</v>
      </c>
      <c r="C192"/>
    </row>
    <row r="193" spans="1:3" x14ac:dyDescent="0.25">
      <c r="A193" s="98">
        <v>5523</v>
      </c>
      <c r="B193" s="2">
        <v>4000</v>
      </c>
      <c r="C193"/>
    </row>
    <row r="194" spans="1:3" x14ac:dyDescent="0.25">
      <c r="A194" s="98">
        <v>5525</v>
      </c>
      <c r="B194" s="2">
        <v>340</v>
      </c>
      <c r="C194"/>
    </row>
    <row r="195" spans="1:3" x14ac:dyDescent="0.25">
      <c r="A195" s="5" t="s">
        <v>294</v>
      </c>
      <c r="B195" s="2">
        <v>4165</v>
      </c>
      <c r="C195"/>
    </row>
    <row r="196" spans="1:3" x14ac:dyDescent="0.25">
      <c r="A196" s="6" t="s">
        <v>2201</v>
      </c>
      <c r="B196" s="2">
        <v>4165</v>
      </c>
      <c r="C196"/>
    </row>
    <row r="197" spans="1:3" x14ac:dyDescent="0.25">
      <c r="A197" s="98">
        <v>5500</v>
      </c>
      <c r="B197" s="2">
        <v>1190</v>
      </c>
      <c r="C197"/>
    </row>
    <row r="198" spans="1:3" x14ac:dyDescent="0.25">
      <c r="A198" s="98">
        <v>5504</v>
      </c>
      <c r="B198" s="2">
        <v>30</v>
      </c>
      <c r="C198"/>
    </row>
    <row r="199" spans="1:3" x14ac:dyDescent="0.25">
      <c r="A199" s="98">
        <v>5511</v>
      </c>
      <c r="B199" s="2">
        <v>1135</v>
      </c>
      <c r="C199"/>
    </row>
    <row r="200" spans="1:3" x14ac:dyDescent="0.25">
      <c r="A200" s="98">
        <v>5514</v>
      </c>
      <c r="B200" s="2">
        <v>240</v>
      </c>
      <c r="C200"/>
    </row>
    <row r="201" spans="1:3" x14ac:dyDescent="0.25">
      <c r="A201" s="98">
        <v>5523</v>
      </c>
      <c r="B201" s="2">
        <v>1570</v>
      </c>
      <c r="C201"/>
    </row>
    <row r="202" spans="1:3" x14ac:dyDescent="0.25">
      <c r="A202" s="5" t="s">
        <v>295</v>
      </c>
      <c r="B202" s="2">
        <v>8380</v>
      </c>
      <c r="C202"/>
    </row>
    <row r="203" spans="1:3" x14ac:dyDescent="0.25">
      <c r="A203" s="6" t="s">
        <v>2202</v>
      </c>
      <c r="B203" s="2">
        <v>8380</v>
      </c>
      <c r="C203"/>
    </row>
    <row r="204" spans="1:3" x14ac:dyDescent="0.25">
      <c r="A204" s="98">
        <v>5500</v>
      </c>
      <c r="B204" s="2">
        <v>2020</v>
      </c>
      <c r="C204"/>
    </row>
    <row r="205" spans="1:3" x14ac:dyDescent="0.25">
      <c r="A205" s="98">
        <v>5504</v>
      </c>
      <c r="B205" s="2">
        <v>350</v>
      </c>
      <c r="C205"/>
    </row>
    <row r="206" spans="1:3" x14ac:dyDescent="0.25">
      <c r="A206" s="98">
        <v>5511</v>
      </c>
      <c r="B206" s="2">
        <v>400</v>
      </c>
      <c r="C206"/>
    </row>
    <row r="207" spans="1:3" x14ac:dyDescent="0.25">
      <c r="A207" s="98">
        <v>5513</v>
      </c>
      <c r="B207" s="2">
        <v>720</v>
      </c>
      <c r="C207"/>
    </row>
    <row r="208" spans="1:3" x14ac:dyDescent="0.25">
      <c r="A208" s="98">
        <v>5514</v>
      </c>
      <c r="B208" s="2">
        <v>1090</v>
      </c>
      <c r="C208"/>
    </row>
    <row r="209" spans="1:3" x14ac:dyDescent="0.25">
      <c r="A209" s="98">
        <v>5522</v>
      </c>
      <c r="B209" s="2">
        <v>100</v>
      </c>
      <c r="C209"/>
    </row>
    <row r="210" spans="1:3" x14ac:dyDescent="0.25">
      <c r="A210" s="98">
        <v>5523</v>
      </c>
      <c r="B210" s="2">
        <v>3200</v>
      </c>
      <c r="C210"/>
    </row>
    <row r="211" spans="1:3" x14ac:dyDescent="0.25">
      <c r="A211" s="98">
        <v>5525</v>
      </c>
      <c r="B211" s="2">
        <v>500</v>
      </c>
      <c r="C211"/>
    </row>
    <row r="212" spans="1:3" x14ac:dyDescent="0.25">
      <c r="A212" s="5" t="s">
        <v>296</v>
      </c>
      <c r="B212" s="2">
        <v>29319</v>
      </c>
      <c r="C212"/>
    </row>
    <row r="213" spans="1:3" x14ac:dyDescent="0.25">
      <c r="A213" s="6" t="s">
        <v>2200</v>
      </c>
      <c r="B213" s="2">
        <v>29319</v>
      </c>
      <c r="C213"/>
    </row>
    <row r="214" spans="1:3" x14ac:dyDescent="0.25">
      <c r="A214" s="98">
        <v>5500</v>
      </c>
      <c r="B214" s="2">
        <v>6300</v>
      </c>
      <c r="C214"/>
    </row>
    <row r="215" spans="1:3" x14ac:dyDescent="0.25">
      <c r="A215" s="98">
        <v>5504</v>
      </c>
      <c r="B215" s="2">
        <v>1000</v>
      </c>
      <c r="C215"/>
    </row>
    <row r="216" spans="1:3" x14ac:dyDescent="0.25">
      <c r="A216" s="98">
        <v>5511</v>
      </c>
      <c r="B216" s="2">
        <v>1000</v>
      </c>
      <c r="C216"/>
    </row>
    <row r="217" spans="1:3" x14ac:dyDescent="0.25">
      <c r="A217" s="98">
        <v>5513</v>
      </c>
      <c r="B217" s="2">
        <v>1000</v>
      </c>
      <c r="C217"/>
    </row>
    <row r="218" spans="1:3" x14ac:dyDescent="0.25">
      <c r="A218" s="98">
        <v>5514</v>
      </c>
      <c r="B218" s="2">
        <v>3000</v>
      </c>
      <c r="C218"/>
    </row>
    <row r="219" spans="1:3" x14ac:dyDescent="0.25">
      <c r="A219" s="98">
        <v>5515</v>
      </c>
      <c r="B219" s="2">
        <v>1019</v>
      </c>
      <c r="C219"/>
    </row>
    <row r="220" spans="1:3" x14ac:dyDescent="0.25">
      <c r="A220" s="98">
        <v>5522</v>
      </c>
      <c r="B220" s="2">
        <v>500</v>
      </c>
      <c r="C220"/>
    </row>
    <row r="221" spans="1:3" x14ac:dyDescent="0.25">
      <c r="A221" s="98">
        <v>5523</v>
      </c>
      <c r="B221" s="2">
        <v>13500</v>
      </c>
      <c r="C221"/>
    </row>
    <row r="222" spans="1:3" x14ac:dyDescent="0.25">
      <c r="A222" s="98">
        <v>5525</v>
      </c>
      <c r="B222" s="2">
        <v>2000</v>
      </c>
      <c r="C222"/>
    </row>
    <row r="223" spans="1:3" x14ac:dyDescent="0.25">
      <c r="A223" s="5" t="s">
        <v>299</v>
      </c>
      <c r="B223" s="2">
        <v>5357.4</v>
      </c>
      <c r="C223"/>
    </row>
    <row r="224" spans="1:3" x14ac:dyDescent="0.25">
      <c r="A224" s="6" t="s">
        <v>300</v>
      </c>
      <c r="B224" s="2">
        <v>5357.4</v>
      </c>
      <c r="C224"/>
    </row>
    <row r="225" spans="1:3" x14ac:dyDescent="0.25">
      <c r="A225" s="98">
        <v>5500</v>
      </c>
      <c r="B225" s="2">
        <v>600</v>
      </c>
      <c r="C225"/>
    </row>
    <row r="226" spans="1:3" x14ac:dyDescent="0.25">
      <c r="A226" s="98">
        <v>5511</v>
      </c>
      <c r="B226" s="2">
        <v>4507.3999999999996</v>
      </c>
      <c r="C226"/>
    </row>
    <row r="227" spans="1:3" x14ac:dyDescent="0.25">
      <c r="A227" s="98">
        <v>5525</v>
      </c>
      <c r="B227" s="2">
        <v>250</v>
      </c>
      <c r="C227"/>
    </row>
    <row r="228" spans="1:3" x14ac:dyDescent="0.25">
      <c r="A228" s="5" t="s">
        <v>301</v>
      </c>
      <c r="B228" s="2">
        <v>26840.05</v>
      </c>
      <c r="C228"/>
    </row>
    <row r="229" spans="1:3" x14ac:dyDescent="0.25">
      <c r="A229" s="6" t="s">
        <v>302</v>
      </c>
      <c r="B229" s="2">
        <v>26840.05</v>
      </c>
      <c r="C229"/>
    </row>
    <row r="230" spans="1:3" x14ac:dyDescent="0.25">
      <c r="A230" s="98">
        <v>5500</v>
      </c>
      <c r="B230" s="2">
        <v>860.05</v>
      </c>
      <c r="C230"/>
    </row>
    <row r="231" spans="1:3" x14ac:dyDescent="0.25">
      <c r="A231" s="98">
        <v>5504</v>
      </c>
      <c r="B231" s="2">
        <v>800</v>
      </c>
      <c r="C231"/>
    </row>
    <row r="232" spans="1:3" x14ac:dyDescent="0.25">
      <c r="A232" s="98">
        <v>5511</v>
      </c>
      <c r="B232" s="2">
        <v>15000</v>
      </c>
      <c r="C232"/>
    </row>
    <row r="233" spans="1:3" x14ac:dyDescent="0.25">
      <c r="A233" s="98">
        <v>5513</v>
      </c>
      <c r="B233" s="2">
        <v>1440</v>
      </c>
      <c r="C233"/>
    </row>
    <row r="234" spans="1:3" x14ac:dyDescent="0.25">
      <c r="A234" s="98">
        <v>5514</v>
      </c>
      <c r="B234" s="2">
        <v>1000</v>
      </c>
      <c r="C234"/>
    </row>
    <row r="235" spans="1:3" x14ac:dyDescent="0.25">
      <c r="A235" s="98">
        <v>5525</v>
      </c>
      <c r="B235" s="2">
        <v>7740</v>
      </c>
      <c r="C235"/>
    </row>
    <row r="236" spans="1:3" x14ac:dyDescent="0.25">
      <c r="A236" s="5" t="s">
        <v>303</v>
      </c>
      <c r="B236" s="2">
        <v>39301</v>
      </c>
      <c r="C236"/>
    </row>
    <row r="237" spans="1:3" x14ac:dyDescent="0.25">
      <c r="A237" s="6" t="s">
        <v>304</v>
      </c>
      <c r="B237" s="2">
        <v>39301</v>
      </c>
      <c r="C237"/>
    </row>
    <row r="238" spans="1:3" x14ac:dyDescent="0.25">
      <c r="A238" s="98">
        <v>5500</v>
      </c>
      <c r="B238" s="2">
        <v>1150</v>
      </c>
      <c r="C238"/>
    </row>
    <row r="239" spans="1:3" x14ac:dyDescent="0.25">
      <c r="A239" s="98">
        <v>5504</v>
      </c>
      <c r="B239" s="2">
        <v>560</v>
      </c>
      <c r="C239"/>
    </row>
    <row r="240" spans="1:3" x14ac:dyDescent="0.25">
      <c r="A240" s="98">
        <v>5511</v>
      </c>
      <c r="B240" s="2">
        <v>24915</v>
      </c>
      <c r="C240"/>
    </row>
    <row r="241" spans="1:3" x14ac:dyDescent="0.25">
      <c r="A241" s="98">
        <v>5513</v>
      </c>
      <c r="B241" s="2">
        <v>1536</v>
      </c>
      <c r="C241"/>
    </row>
    <row r="242" spans="1:3" x14ac:dyDescent="0.25">
      <c r="A242" s="98">
        <v>5514</v>
      </c>
      <c r="B242" s="2">
        <v>100</v>
      </c>
      <c r="C242"/>
    </row>
    <row r="243" spans="1:3" x14ac:dyDescent="0.25">
      <c r="A243" s="98">
        <v>5515</v>
      </c>
      <c r="B243" s="2">
        <v>3200</v>
      </c>
      <c r="C243"/>
    </row>
    <row r="244" spans="1:3" x14ac:dyDescent="0.25">
      <c r="A244" s="98">
        <v>5522</v>
      </c>
      <c r="B244" s="2">
        <v>400</v>
      </c>
      <c r="C244"/>
    </row>
    <row r="245" spans="1:3" x14ac:dyDescent="0.25">
      <c r="A245" s="98">
        <v>5524</v>
      </c>
      <c r="B245" s="2">
        <v>390</v>
      </c>
      <c r="C245"/>
    </row>
    <row r="246" spans="1:3" x14ac:dyDescent="0.25">
      <c r="A246" s="98">
        <v>5525</v>
      </c>
      <c r="B246" s="2">
        <v>6650</v>
      </c>
      <c r="C246"/>
    </row>
    <row r="247" spans="1:3" x14ac:dyDescent="0.25">
      <c r="A247" s="98">
        <v>5540</v>
      </c>
      <c r="B247" s="2">
        <v>400</v>
      </c>
      <c r="C247"/>
    </row>
    <row r="248" spans="1:3" x14ac:dyDescent="0.25">
      <c r="A248" s="5" t="s">
        <v>306</v>
      </c>
      <c r="B248" s="2">
        <v>50052</v>
      </c>
      <c r="C248"/>
    </row>
    <row r="249" spans="1:3" x14ac:dyDescent="0.25">
      <c r="A249" s="6" t="s">
        <v>2206</v>
      </c>
      <c r="B249" s="2">
        <v>50052</v>
      </c>
      <c r="C249"/>
    </row>
    <row r="250" spans="1:3" x14ac:dyDescent="0.25">
      <c r="A250" s="98">
        <v>5500</v>
      </c>
      <c r="B250" s="2">
        <v>1600</v>
      </c>
      <c r="C250"/>
    </row>
    <row r="251" spans="1:3" x14ac:dyDescent="0.25">
      <c r="A251" s="98">
        <v>5504</v>
      </c>
      <c r="B251" s="2">
        <v>200</v>
      </c>
      <c r="C251"/>
    </row>
    <row r="252" spans="1:3" x14ac:dyDescent="0.25">
      <c r="A252" s="98">
        <v>5511</v>
      </c>
      <c r="B252" s="2">
        <v>26600</v>
      </c>
      <c r="C252"/>
    </row>
    <row r="253" spans="1:3" x14ac:dyDescent="0.25">
      <c r="A253" s="98">
        <v>5513</v>
      </c>
      <c r="B253" s="2">
        <v>1452</v>
      </c>
      <c r="C253"/>
    </row>
    <row r="254" spans="1:3" x14ac:dyDescent="0.25">
      <c r="A254" s="98">
        <v>5522</v>
      </c>
      <c r="B254" s="2">
        <v>400</v>
      </c>
      <c r="C254"/>
    </row>
    <row r="255" spans="1:3" x14ac:dyDescent="0.25">
      <c r="A255" s="98">
        <v>5525</v>
      </c>
      <c r="B255" s="2">
        <v>19800</v>
      </c>
      <c r="C255"/>
    </row>
    <row r="256" spans="1:3" x14ac:dyDescent="0.25">
      <c r="A256" s="5" t="s">
        <v>307</v>
      </c>
      <c r="B256" s="2">
        <v>12450</v>
      </c>
      <c r="C256"/>
    </row>
    <row r="257" spans="1:3" x14ac:dyDescent="0.25">
      <c r="A257" s="6" t="s">
        <v>2207</v>
      </c>
      <c r="B257" s="2">
        <v>12450</v>
      </c>
      <c r="C257"/>
    </row>
    <row r="258" spans="1:3" x14ac:dyDescent="0.25">
      <c r="A258" s="98">
        <v>5500</v>
      </c>
      <c r="B258" s="2">
        <v>120</v>
      </c>
      <c r="C258"/>
    </row>
    <row r="259" spans="1:3" x14ac:dyDescent="0.25">
      <c r="A259" s="98">
        <v>5504</v>
      </c>
      <c r="B259" s="2">
        <v>100</v>
      </c>
      <c r="C259"/>
    </row>
    <row r="260" spans="1:3" x14ac:dyDescent="0.25">
      <c r="A260" s="98">
        <v>5511</v>
      </c>
      <c r="B260" s="2">
        <v>8000</v>
      </c>
      <c r="C260"/>
    </row>
    <row r="261" spans="1:3" x14ac:dyDescent="0.25">
      <c r="A261" s="98">
        <v>5513</v>
      </c>
      <c r="B261" s="2">
        <v>400</v>
      </c>
      <c r="C261"/>
    </row>
    <row r="262" spans="1:3" x14ac:dyDescent="0.25">
      <c r="A262" s="98">
        <v>5514</v>
      </c>
      <c r="B262" s="2">
        <v>600</v>
      </c>
      <c r="C262"/>
    </row>
    <row r="263" spans="1:3" x14ac:dyDescent="0.25">
      <c r="A263" s="98">
        <v>5515</v>
      </c>
      <c r="B263" s="2">
        <v>500</v>
      </c>
      <c r="C263"/>
    </row>
    <row r="264" spans="1:3" x14ac:dyDescent="0.25">
      <c r="A264" s="98">
        <v>5525</v>
      </c>
      <c r="B264" s="2">
        <v>2730</v>
      </c>
      <c r="C264"/>
    </row>
    <row r="265" spans="1:3" x14ac:dyDescent="0.25">
      <c r="A265" s="5" t="s">
        <v>308</v>
      </c>
      <c r="B265" s="2">
        <v>22540</v>
      </c>
      <c r="C265"/>
    </row>
    <row r="266" spans="1:3" x14ac:dyDescent="0.25">
      <c r="A266" s="6" t="s">
        <v>2208</v>
      </c>
      <c r="B266" s="2">
        <v>22540</v>
      </c>
      <c r="C266"/>
    </row>
    <row r="267" spans="1:3" x14ac:dyDescent="0.25">
      <c r="A267" s="98">
        <v>5500</v>
      </c>
      <c r="B267" s="2">
        <v>500</v>
      </c>
      <c r="C267"/>
    </row>
    <row r="268" spans="1:3" x14ac:dyDescent="0.25">
      <c r="A268" s="98">
        <v>5504</v>
      </c>
      <c r="B268" s="2">
        <v>450</v>
      </c>
      <c r="C268"/>
    </row>
    <row r="269" spans="1:3" x14ac:dyDescent="0.25">
      <c r="A269" s="98">
        <v>5511</v>
      </c>
      <c r="B269" s="2">
        <v>15120</v>
      </c>
      <c r="C269"/>
    </row>
    <row r="270" spans="1:3" x14ac:dyDescent="0.25">
      <c r="A270" s="98">
        <v>5513</v>
      </c>
      <c r="B270" s="2">
        <v>720</v>
      </c>
      <c r="C270"/>
    </row>
    <row r="271" spans="1:3" x14ac:dyDescent="0.25">
      <c r="A271" s="98">
        <v>5514</v>
      </c>
      <c r="B271" s="2">
        <v>300</v>
      </c>
      <c r="C271"/>
    </row>
    <row r="272" spans="1:3" x14ac:dyDescent="0.25">
      <c r="A272" s="98">
        <v>5525</v>
      </c>
      <c r="B272" s="2">
        <v>5450</v>
      </c>
      <c r="C272"/>
    </row>
    <row r="273" spans="1:3" x14ac:dyDescent="0.25">
      <c r="A273" s="5" t="s">
        <v>2051</v>
      </c>
      <c r="B273" s="2">
        <v>15605</v>
      </c>
      <c r="C273"/>
    </row>
    <row r="274" spans="1:3" x14ac:dyDescent="0.25">
      <c r="A274" s="6" t="s">
        <v>2053</v>
      </c>
      <c r="B274" s="2">
        <v>15605</v>
      </c>
      <c r="C274"/>
    </row>
    <row r="275" spans="1:3" x14ac:dyDescent="0.25">
      <c r="A275" s="98">
        <v>5500</v>
      </c>
      <c r="B275" s="2">
        <v>3580</v>
      </c>
      <c r="C275"/>
    </row>
    <row r="276" spans="1:3" x14ac:dyDescent="0.25">
      <c r="A276" s="98">
        <v>5504</v>
      </c>
      <c r="B276" s="2">
        <v>700</v>
      </c>
      <c r="C276"/>
    </row>
    <row r="277" spans="1:3" x14ac:dyDescent="0.25">
      <c r="A277" s="98">
        <v>5513</v>
      </c>
      <c r="B277" s="2">
        <v>3685</v>
      </c>
      <c r="C277"/>
    </row>
    <row r="278" spans="1:3" x14ac:dyDescent="0.25">
      <c r="A278" s="98">
        <v>5514</v>
      </c>
      <c r="B278" s="2">
        <v>840</v>
      </c>
      <c r="C278"/>
    </row>
    <row r="279" spans="1:3" x14ac:dyDescent="0.25">
      <c r="A279" s="98">
        <v>5540</v>
      </c>
      <c r="B279" s="2">
        <v>6800</v>
      </c>
      <c r="C279"/>
    </row>
    <row r="280" spans="1:3" x14ac:dyDescent="0.25">
      <c r="A280" s="5" t="s">
        <v>45</v>
      </c>
      <c r="B280" s="2">
        <v>14000</v>
      </c>
      <c r="C280"/>
    </row>
    <row r="281" spans="1:3" x14ac:dyDescent="0.25">
      <c r="A281" s="6" t="s">
        <v>46</v>
      </c>
      <c r="B281" s="2">
        <v>14000</v>
      </c>
      <c r="C281"/>
    </row>
    <row r="282" spans="1:3" x14ac:dyDescent="0.25">
      <c r="A282" s="98">
        <v>5500</v>
      </c>
      <c r="B282" s="2">
        <v>14000</v>
      </c>
      <c r="C282"/>
    </row>
    <row r="283" spans="1:3" x14ac:dyDescent="0.25">
      <c r="A283" s="5" t="s">
        <v>47</v>
      </c>
      <c r="B283" s="2">
        <v>2120</v>
      </c>
      <c r="C283"/>
    </row>
    <row r="284" spans="1:3" x14ac:dyDescent="0.25">
      <c r="A284" s="6" t="s">
        <v>48</v>
      </c>
      <c r="B284" s="2">
        <v>2120</v>
      </c>
      <c r="C284"/>
    </row>
    <row r="285" spans="1:3" x14ac:dyDescent="0.25">
      <c r="A285" s="98">
        <v>5500</v>
      </c>
      <c r="B285" s="2">
        <v>120</v>
      </c>
      <c r="C285"/>
    </row>
    <row r="286" spans="1:3" x14ac:dyDescent="0.25">
      <c r="A286" s="98">
        <v>5504</v>
      </c>
      <c r="B286" s="2">
        <v>350</v>
      </c>
      <c r="C286"/>
    </row>
    <row r="287" spans="1:3" x14ac:dyDescent="0.25">
      <c r="A287" s="98">
        <v>5513</v>
      </c>
      <c r="B287" s="2">
        <v>1650</v>
      </c>
      <c r="C287"/>
    </row>
    <row r="288" spans="1:3" x14ac:dyDescent="0.25">
      <c r="A288" s="5" t="s">
        <v>309</v>
      </c>
      <c r="B288" s="2">
        <v>88218</v>
      </c>
      <c r="C288"/>
    </row>
    <row r="289" spans="1:3" x14ac:dyDescent="0.25">
      <c r="A289" s="6" t="s">
        <v>310</v>
      </c>
      <c r="B289" s="2">
        <v>88218</v>
      </c>
      <c r="C289"/>
    </row>
    <row r="290" spans="1:3" x14ac:dyDescent="0.25">
      <c r="A290" s="98">
        <v>5500</v>
      </c>
      <c r="B290" s="2">
        <v>1750</v>
      </c>
      <c r="C290"/>
    </row>
    <row r="291" spans="1:3" x14ac:dyDescent="0.25">
      <c r="A291" s="98">
        <v>5504</v>
      </c>
      <c r="B291" s="2">
        <v>2300</v>
      </c>
      <c r="C291"/>
    </row>
    <row r="292" spans="1:3" x14ac:dyDescent="0.25">
      <c r="A292" s="98">
        <v>5511</v>
      </c>
      <c r="B292" s="2">
        <v>42432</v>
      </c>
      <c r="C292"/>
    </row>
    <row r="293" spans="1:3" x14ac:dyDescent="0.25">
      <c r="A293" s="98">
        <v>5513</v>
      </c>
      <c r="B293" s="2">
        <v>1536</v>
      </c>
      <c r="C293"/>
    </row>
    <row r="294" spans="1:3" x14ac:dyDescent="0.25">
      <c r="A294" s="98">
        <v>5514</v>
      </c>
      <c r="B294" s="2">
        <v>1400</v>
      </c>
      <c r="C294"/>
    </row>
    <row r="295" spans="1:3" x14ac:dyDescent="0.25">
      <c r="A295" s="98">
        <v>5515</v>
      </c>
      <c r="B295" s="2">
        <v>2500</v>
      </c>
      <c r="C295"/>
    </row>
    <row r="296" spans="1:3" x14ac:dyDescent="0.25">
      <c r="A296" s="98">
        <v>5521</v>
      </c>
      <c r="B296" s="2">
        <v>22000</v>
      </c>
      <c r="C296"/>
    </row>
    <row r="297" spans="1:3" x14ac:dyDescent="0.25">
      <c r="A297" s="98">
        <v>5522</v>
      </c>
      <c r="B297" s="2">
        <v>500</v>
      </c>
      <c r="C297"/>
    </row>
    <row r="298" spans="1:3" x14ac:dyDescent="0.25">
      <c r="A298" s="98">
        <v>5524</v>
      </c>
      <c r="B298" s="2">
        <v>9800</v>
      </c>
      <c r="C298"/>
    </row>
    <row r="299" spans="1:3" x14ac:dyDescent="0.25">
      <c r="A299" s="98">
        <v>5525</v>
      </c>
      <c r="B299" s="2">
        <v>4000</v>
      </c>
      <c r="C299"/>
    </row>
    <row r="300" spans="1:3" x14ac:dyDescent="0.25">
      <c r="A300" s="5" t="s">
        <v>311</v>
      </c>
      <c r="B300" s="2">
        <v>34985</v>
      </c>
      <c r="C300"/>
    </row>
    <row r="301" spans="1:3" x14ac:dyDescent="0.25">
      <c r="A301" s="6" t="s">
        <v>312</v>
      </c>
      <c r="B301" s="2">
        <v>34985</v>
      </c>
      <c r="C301"/>
    </row>
    <row r="302" spans="1:3" x14ac:dyDescent="0.25">
      <c r="A302" s="98">
        <v>5500</v>
      </c>
      <c r="B302" s="2">
        <v>1345</v>
      </c>
      <c r="C302"/>
    </row>
    <row r="303" spans="1:3" x14ac:dyDescent="0.25">
      <c r="A303" s="98">
        <v>5504</v>
      </c>
      <c r="B303" s="2">
        <v>300</v>
      </c>
      <c r="C303"/>
    </row>
    <row r="304" spans="1:3" x14ac:dyDescent="0.25">
      <c r="A304" s="98">
        <v>5511</v>
      </c>
      <c r="B304" s="2">
        <v>19586</v>
      </c>
      <c r="C304"/>
    </row>
    <row r="305" spans="1:3" x14ac:dyDescent="0.25">
      <c r="A305" s="98">
        <v>5513</v>
      </c>
      <c r="B305" s="2">
        <v>704</v>
      </c>
      <c r="C305"/>
    </row>
    <row r="306" spans="1:3" x14ac:dyDescent="0.25">
      <c r="A306" s="98">
        <v>5514</v>
      </c>
      <c r="B306" s="2">
        <v>380</v>
      </c>
      <c r="C306"/>
    </row>
    <row r="307" spans="1:3" x14ac:dyDescent="0.25">
      <c r="A307" s="98">
        <v>5515</v>
      </c>
      <c r="B307" s="2">
        <v>740</v>
      </c>
      <c r="C307"/>
    </row>
    <row r="308" spans="1:3" x14ac:dyDescent="0.25">
      <c r="A308" s="98">
        <v>5521</v>
      </c>
      <c r="B308" s="2">
        <v>6500</v>
      </c>
      <c r="C308"/>
    </row>
    <row r="309" spans="1:3" x14ac:dyDescent="0.25">
      <c r="A309" s="98">
        <v>5522</v>
      </c>
      <c r="B309" s="2">
        <v>80</v>
      </c>
      <c r="C309"/>
    </row>
    <row r="310" spans="1:3" x14ac:dyDescent="0.25">
      <c r="A310" s="98">
        <v>5524</v>
      </c>
      <c r="B310" s="2">
        <v>4800</v>
      </c>
      <c r="C310"/>
    </row>
    <row r="311" spans="1:3" x14ac:dyDescent="0.25">
      <c r="A311" s="98">
        <v>5525</v>
      </c>
      <c r="B311" s="2">
        <v>550</v>
      </c>
      <c r="C311"/>
    </row>
    <row r="312" spans="1:3" x14ac:dyDescent="0.25">
      <c r="A312" s="5" t="s">
        <v>313</v>
      </c>
      <c r="B312" s="2">
        <v>23595</v>
      </c>
      <c r="C312"/>
    </row>
    <row r="313" spans="1:3" x14ac:dyDescent="0.25">
      <c r="A313" s="6" t="s">
        <v>314</v>
      </c>
      <c r="B313" s="2">
        <v>23595</v>
      </c>
      <c r="C313"/>
    </row>
    <row r="314" spans="1:3" x14ac:dyDescent="0.25">
      <c r="A314" s="98">
        <v>5500</v>
      </c>
      <c r="B314" s="2">
        <v>1245</v>
      </c>
      <c r="C314"/>
    </row>
    <row r="315" spans="1:3" x14ac:dyDescent="0.25">
      <c r="A315" s="98">
        <v>5504</v>
      </c>
      <c r="B315" s="2">
        <v>669</v>
      </c>
      <c r="C315"/>
    </row>
    <row r="316" spans="1:3" x14ac:dyDescent="0.25">
      <c r="A316" s="98">
        <v>5511</v>
      </c>
      <c r="B316" s="2">
        <v>9636</v>
      </c>
      <c r="C316"/>
    </row>
    <row r="317" spans="1:3" x14ac:dyDescent="0.25">
      <c r="A317" s="98">
        <v>5513</v>
      </c>
      <c r="B317" s="2">
        <v>1430</v>
      </c>
      <c r="C317"/>
    </row>
    <row r="318" spans="1:3" x14ac:dyDescent="0.25">
      <c r="A318" s="98">
        <v>5514</v>
      </c>
      <c r="B318" s="2">
        <v>50</v>
      </c>
      <c r="C318"/>
    </row>
    <row r="319" spans="1:3" x14ac:dyDescent="0.25">
      <c r="A319" s="98">
        <v>5515</v>
      </c>
      <c r="B319" s="2">
        <v>1305</v>
      </c>
      <c r="C319"/>
    </row>
    <row r="320" spans="1:3" x14ac:dyDescent="0.25">
      <c r="A320" s="98">
        <v>5521</v>
      </c>
      <c r="B320" s="2">
        <v>6200</v>
      </c>
      <c r="C320"/>
    </row>
    <row r="321" spans="1:3" x14ac:dyDescent="0.25">
      <c r="A321" s="98">
        <v>5522</v>
      </c>
      <c r="B321" s="2">
        <v>120</v>
      </c>
      <c r="C321"/>
    </row>
    <row r="322" spans="1:3" x14ac:dyDescent="0.25">
      <c r="A322" s="98">
        <v>5524</v>
      </c>
      <c r="B322" s="2">
        <v>2440</v>
      </c>
      <c r="C322"/>
    </row>
    <row r="323" spans="1:3" x14ac:dyDescent="0.25">
      <c r="A323" s="98">
        <v>5525</v>
      </c>
      <c r="B323" s="2">
        <v>500</v>
      </c>
      <c r="C323"/>
    </row>
    <row r="324" spans="1:3" x14ac:dyDescent="0.25">
      <c r="A324" s="5" t="s">
        <v>315</v>
      </c>
      <c r="B324" s="2">
        <v>5423</v>
      </c>
      <c r="C324"/>
    </row>
    <row r="325" spans="1:3" x14ac:dyDescent="0.25">
      <c r="A325" s="6" t="s">
        <v>316</v>
      </c>
      <c r="B325" s="2">
        <v>5423</v>
      </c>
      <c r="C325"/>
    </row>
    <row r="326" spans="1:3" x14ac:dyDescent="0.25">
      <c r="A326" s="98">
        <v>5504</v>
      </c>
      <c r="B326" s="2">
        <v>100</v>
      </c>
      <c r="C326"/>
    </row>
    <row r="327" spans="1:3" x14ac:dyDescent="0.25">
      <c r="A327" s="98">
        <v>5521</v>
      </c>
      <c r="B327" s="2">
        <v>4073</v>
      </c>
      <c r="C327"/>
    </row>
    <row r="328" spans="1:3" x14ac:dyDescent="0.25">
      <c r="A328" s="98">
        <v>5524</v>
      </c>
      <c r="B328" s="2">
        <v>1250</v>
      </c>
      <c r="C328"/>
    </row>
    <row r="329" spans="1:3" x14ac:dyDescent="0.25">
      <c r="A329" s="5" t="s">
        <v>317</v>
      </c>
      <c r="B329" s="2">
        <v>32700</v>
      </c>
      <c r="C329"/>
    </row>
    <row r="330" spans="1:3" x14ac:dyDescent="0.25">
      <c r="A330" s="6" t="s">
        <v>318</v>
      </c>
      <c r="B330" s="2">
        <v>32700</v>
      </c>
      <c r="C330"/>
    </row>
    <row r="331" spans="1:3" x14ac:dyDescent="0.25">
      <c r="A331" s="98">
        <v>5504</v>
      </c>
      <c r="B331" s="2">
        <v>600</v>
      </c>
      <c r="C331"/>
    </row>
    <row r="332" spans="1:3" x14ac:dyDescent="0.25">
      <c r="A332" s="98">
        <v>5511</v>
      </c>
      <c r="B332" s="2">
        <v>17950</v>
      </c>
      <c r="C332"/>
    </row>
    <row r="333" spans="1:3" x14ac:dyDescent="0.25">
      <c r="A333" s="98">
        <v>5514</v>
      </c>
      <c r="B333" s="2">
        <v>500</v>
      </c>
      <c r="C333"/>
    </row>
    <row r="334" spans="1:3" x14ac:dyDescent="0.25">
      <c r="A334" s="98">
        <v>5515</v>
      </c>
      <c r="B334" s="2">
        <v>2050</v>
      </c>
      <c r="C334"/>
    </row>
    <row r="335" spans="1:3" x14ac:dyDescent="0.25">
      <c r="A335" s="98">
        <v>5521</v>
      </c>
      <c r="B335" s="2">
        <v>7000</v>
      </c>
      <c r="C335"/>
    </row>
    <row r="336" spans="1:3" x14ac:dyDescent="0.25">
      <c r="A336" s="98">
        <v>5522</v>
      </c>
      <c r="B336" s="2">
        <v>100</v>
      </c>
      <c r="C336"/>
    </row>
    <row r="337" spans="1:3" x14ac:dyDescent="0.25">
      <c r="A337" s="98">
        <v>5524</v>
      </c>
      <c r="B337" s="2">
        <v>4000</v>
      </c>
      <c r="C337"/>
    </row>
    <row r="338" spans="1:3" x14ac:dyDescent="0.25">
      <c r="A338" s="98">
        <v>5525</v>
      </c>
      <c r="B338" s="2">
        <v>500</v>
      </c>
      <c r="C338"/>
    </row>
    <row r="339" spans="1:3" x14ac:dyDescent="0.25">
      <c r="A339" s="5" t="s">
        <v>319</v>
      </c>
      <c r="B339" s="2">
        <v>39330</v>
      </c>
      <c r="C339"/>
    </row>
    <row r="340" spans="1:3" x14ac:dyDescent="0.25">
      <c r="A340" s="6" t="s">
        <v>320</v>
      </c>
      <c r="B340" s="2">
        <v>39330</v>
      </c>
      <c r="C340"/>
    </row>
    <row r="341" spans="1:3" x14ac:dyDescent="0.25">
      <c r="A341" s="98">
        <v>5500</v>
      </c>
      <c r="B341" s="2">
        <v>1830</v>
      </c>
      <c r="C341"/>
    </row>
    <row r="342" spans="1:3" x14ac:dyDescent="0.25">
      <c r="A342" s="98">
        <v>5504</v>
      </c>
      <c r="B342" s="2">
        <v>500</v>
      </c>
      <c r="C342"/>
    </row>
    <row r="343" spans="1:3" x14ac:dyDescent="0.25">
      <c r="A343" s="98">
        <v>5511</v>
      </c>
      <c r="B343" s="2">
        <v>21850</v>
      </c>
      <c r="C343"/>
    </row>
    <row r="344" spans="1:3" x14ac:dyDescent="0.25">
      <c r="A344" s="98">
        <v>5513</v>
      </c>
      <c r="B344" s="2">
        <v>500</v>
      </c>
      <c r="C344"/>
    </row>
    <row r="345" spans="1:3" x14ac:dyDescent="0.25">
      <c r="A345" s="98">
        <v>5514</v>
      </c>
      <c r="B345" s="2">
        <v>750</v>
      </c>
      <c r="C345"/>
    </row>
    <row r="346" spans="1:3" x14ac:dyDescent="0.25">
      <c r="A346" s="98">
        <v>5515</v>
      </c>
      <c r="B346" s="2">
        <v>800</v>
      </c>
      <c r="C346"/>
    </row>
    <row r="347" spans="1:3" x14ac:dyDescent="0.25">
      <c r="A347" s="98">
        <v>5521</v>
      </c>
      <c r="B347" s="2">
        <v>8000</v>
      </c>
      <c r="C347"/>
    </row>
    <row r="348" spans="1:3" x14ac:dyDescent="0.25">
      <c r="A348" s="98">
        <v>5522</v>
      </c>
      <c r="B348" s="2">
        <v>400</v>
      </c>
      <c r="C348"/>
    </row>
    <row r="349" spans="1:3" x14ac:dyDescent="0.25">
      <c r="A349" s="98">
        <v>5524</v>
      </c>
      <c r="B349" s="2">
        <v>3100</v>
      </c>
      <c r="C349"/>
    </row>
    <row r="350" spans="1:3" x14ac:dyDescent="0.25">
      <c r="A350" s="98">
        <v>5525</v>
      </c>
      <c r="B350" s="2">
        <v>1600</v>
      </c>
      <c r="C350"/>
    </row>
    <row r="351" spans="1:3" x14ac:dyDescent="0.25">
      <c r="A351" s="5" t="s">
        <v>245</v>
      </c>
      <c r="B351" s="2">
        <v>8530</v>
      </c>
      <c r="C351"/>
    </row>
    <row r="352" spans="1:3" x14ac:dyDescent="0.25">
      <c r="A352" s="6" t="s">
        <v>321</v>
      </c>
      <c r="B352" s="2">
        <v>8530</v>
      </c>
      <c r="C352"/>
    </row>
    <row r="353" spans="1:3" x14ac:dyDescent="0.25">
      <c r="A353" s="98">
        <v>5514</v>
      </c>
      <c r="B353" s="2">
        <v>630</v>
      </c>
      <c r="C353"/>
    </row>
    <row r="354" spans="1:3" x14ac:dyDescent="0.25">
      <c r="A354" s="98">
        <v>5521</v>
      </c>
      <c r="B354" s="2">
        <v>6900</v>
      </c>
      <c r="C354"/>
    </row>
    <row r="355" spans="1:3" x14ac:dyDescent="0.25">
      <c r="A355" s="98">
        <v>5524</v>
      </c>
      <c r="B355" s="2">
        <v>1000</v>
      </c>
      <c r="C355"/>
    </row>
    <row r="356" spans="1:3" x14ac:dyDescent="0.25">
      <c r="A356" s="5" t="s">
        <v>322</v>
      </c>
      <c r="B356" s="2">
        <v>46249.440000000002</v>
      </c>
      <c r="C356"/>
    </row>
    <row r="357" spans="1:3" x14ac:dyDescent="0.25">
      <c r="A357" s="6" t="s">
        <v>323</v>
      </c>
      <c r="B357" s="2">
        <v>46249.440000000002</v>
      </c>
      <c r="C357"/>
    </row>
    <row r="358" spans="1:3" x14ac:dyDescent="0.25">
      <c r="A358" s="98">
        <v>5524</v>
      </c>
      <c r="B358" s="2">
        <v>46249.440000000002</v>
      </c>
      <c r="C358"/>
    </row>
    <row r="359" spans="1:3" x14ac:dyDescent="0.25">
      <c r="A359" s="5" t="s">
        <v>247</v>
      </c>
      <c r="B359" s="2">
        <v>99644.4</v>
      </c>
      <c r="C359"/>
    </row>
    <row r="360" spans="1:3" x14ac:dyDescent="0.25">
      <c r="A360" s="6" t="s">
        <v>326</v>
      </c>
      <c r="B360" s="2">
        <v>99644.4</v>
      </c>
      <c r="C360"/>
    </row>
    <row r="361" spans="1:3" x14ac:dyDescent="0.25">
      <c r="A361" s="98">
        <v>5500</v>
      </c>
      <c r="B361" s="2">
        <v>2990</v>
      </c>
      <c r="C361"/>
    </row>
    <row r="362" spans="1:3" x14ac:dyDescent="0.25">
      <c r="A362" s="98">
        <v>5504</v>
      </c>
      <c r="B362" s="2">
        <v>2750</v>
      </c>
      <c r="C362"/>
    </row>
    <row r="363" spans="1:3" x14ac:dyDescent="0.25">
      <c r="A363" s="98">
        <v>5511</v>
      </c>
      <c r="B363" s="2">
        <v>57085.4</v>
      </c>
      <c r="C363"/>
    </row>
    <row r="364" spans="1:3" x14ac:dyDescent="0.25">
      <c r="A364" s="98">
        <v>5513</v>
      </c>
      <c r="B364" s="2">
        <v>7584</v>
      </c>
      <c r="C364"/>
    </row>
    <row r="365" spans="1:3" x14ac:dyDescent="0.25">
      <c r="A365" s="98">
        <v>5514</v>
      </c>
      <c r="B365" s="2">
        <v>1670</v>
      </c>
      <c r="C365"/>
    </row>
    <row r="366" spans="1:3" x14ac:dyDescent="0.25">
      <c r="A366" s="98">
        <v>5515</v>
      </c>
      <c r="B366" s="2">
        <v>1400</v>
      </c>
      <c r="C366"/>
    </row>
    <row r="367" spans="1:3" x14ac:dyDescent="0.25">
      <c r="A367" s="98">
        <v>5521</v>
      </c>
      <c r="B367" s="2">
        <v>10675</v>
      </c>
      <c r="C367"/>
    </row>
    <row r="368" spans="1:3" x14ac:dyDescent="0.25">
      <c r="A368" s="98">
        <v>5522</v>
      </c>
      <c r="B368" s="2">
        <v>250</v>
      </c>
      <c r="C368"/>
    </row>
    <row r="369" spans="1:3" x14ac:dyDescent="0.25">
      <c r="A369" s="98">
        <v>5524</v>
      </c>
      <c r="B369" s="2">
        <v>8450</v>
      </c>
      <c r="C369"/>
    </row>
    <row r="370" spans="1:3" x14ac:dyDescent="0.25">
      <c r="A370" s="98">
        <v>5525</v>
      </c>
      <c r="B370" s="2">
        <v>6030</v>
      </c>
      <c r="C370"/>
    </row>
    <row r="371" spans="1:3" x14ac:dyDescent="0.25">
      <c r="A371" s="98">
        <v>5540</v>
      </c>
      <c r="B371" s="2">
        <v>760</v>
      </c>
      <c r="C371"/>
    </row>
    <row r="372" spans="1:3" x14ac:dyDescent="0.25">
      <c r="A372" s="5" t="s">
        <v>327</v>
      </c>
      <c r="B372" s="2">
        <v>36189</v>
      </c>
      <c r="C372"/>
    </row>
    <row r="373" spans="1:3" x14ac:dyDescent="0.25">
      <c r="A373" s="6" t="s">
        <v>328</v>
      </c>
      <c r="B373" s="2">
        <v>36189</v>
      </c>
      <c r="C373"/>
    </row>
    <row r="374" spans="1:3" x14ac:dyDescent="0.25">
      <c r="A374" s="98">
        <v>5500</v>
      </c>
      <c r="B374" s="2">
        <v>1530</v>
      </c>
      <c r="C374"/>
    </row>
    <row r="375" spans="1:3" x14ac:dyDescent="0.25">
      <c r="A375" s="98">
        <v>5504</v>
      </c>
      <c r="B375" s="2">
        <v>800</v>
      </c>
      <c r="C375"/>
    </row>
    <row r="376" spans="1:3" x14ac:dyDescent="0.25">
      <c r="A376" s="98">
        <v>5511</v>
      </c>
      <c r="B376" s="2">
        <v>13980</v>
      </c>
      <c r="C376"/>
    </row>
    <row r="377" spans="1:3" x14ac:dyDescent="0.25">
      <c r="A377" s="98">
        <v>5513</v>
      </c>
      <c r="B377" s="2">
        <v>11308</v>
      </c>
      <c r="C377"/>
    </row>
    <row r="378" spans="1:3" x14ac:dyDescent="0.25">
      <c r="A378" s="98">
        <v>5514</v>
      </c>
      <c r="B378" s="2">
        <v>900</v>
      </c>
      <c r="C378"/>
    </row>
    <row r="379" spans="1:3" x14ac:dyDescent="0.25">
      <c r="A379" s="98">
        <v>5515</v>
      </c>
      <c r="B379" s="2">
        <v>500</v>
      </c>
      <c r="C379"/>
    </row>
    <row r="380" spans="1:3" x14ac:dyDescent="0.25">
      <c r="A380" s="98">
        <v>5521</v>
      </c>
      <c r="B380" s="2">
        <v>2275</v>
      </c>
      <c r="C380"/>
    </row>
    <row r="381" spans="1:3" x14ac:dyDescent="0.25">
      <c r="A381" s="98">
        <v>5522</v>
      </c>
      <c r="B381" s="2">
        <v>150</v>
      </c>
      <c r="C381"/>
    </row>
    <row r="382" spans="1:3" x14ac:dyDescent="0.25">
      <c r="A382" s="98">
        <v>5524</v>
      </c>
      <c r="B382" s="2">
        <v>3801</v>
      </c>
      <c r="C382"/>
    </row>
    <row r="383" spans="1:3" x14ac:dyDescent="0.25">
      <c r="A383" s="98">
        <v>5525</v>
      </c>
      <c r="B383" s="2">
        <v>945</v>
      </c>
      <c r="C383"/>
    </row>
    <row r="384" spans="1:3" x14ac:dyDescent="0.25">
      <c r="A384" s="5" t="s">
        <v>329</v>
      </c>
      <c r="B384" s="2">
        <v>448169</v>
      </c>
      <c r="C384"/>
    </row>
    <row r="385" spans="1:3" x14ac:dyDescent="0.25">
      <c r="A385" s="6" t="s">
        <v>2225</v>
      </c>
      <c r="B385" s="2">
        <v>448169</v>
      </c>
      <c r="C385"/>
    </row>
    <row r="386" spans="1:3" x14ac:dyDescent="0.25">
      <c r="A386" s="98">
        <v>5500</v>
      </c>
      <c r="B386" s="2">
        <v>14480</v>
      </c>
      <c r="C386"/>
    </row>
    <row r="387" spans="1:3" x14ac:dyDescent="0.25">
      <c r="A387" s="98">
        <v>5504</v>
      </c>
      <c r="B387" s="2">
        <v>7836</v>
      </c>
      <c r="C387"/>
    </row>
    <row r="388" spans="1:3" x14ac:dyDescent="0.25">
      <c r="A388" s="98">
        <v>5511</v>
      </c>
      <c r="B388" s="2">
        <v>193157</v>
      </c>
      <c r="C388"/>
    </row>
    <row r="389" spans="1:3" x14ac:dyDescent="0.25">
      <c r="A389" s="98">
        <v>5513</v>
      </c>
      <c r="B389" s="2">
        <v>22500</v>
      </c>
      <c r="C389"/>
    </row>
    <row r="390" spans="1:3" x14ac:dyDescent="0.25">
      <c r="A390" s="98">
        <v>5514</v>
      </c>
      <c r="B390" s="2">
        <v>8000</v>
      </c>
      <c r="C390"/>
    </row>
    <row r="391" spans="1:3" x14ac:dyDescent="0.25">
      <c r="A391" s="98">
        <v>5515</v>
      </c>
      <c r="B391" s="2">
        <v>34000</v>
      </c>
      <c r="C391"/>
    </row>
    <row r="392" spans="1:3" x14ac:dyDescent="0.25">
      <c r="A392" s="98">
        <v>5521</v>
      </c>
      <c r="B392" s="2">
        <v>70525</v>
      </c>
      <c r="C392"/>
    </row>
    <row r="393" spans="1:3" x14ac:dyDescent="0.25">
      <c r="A393" s="98">
        <v>5522</v>
      </c>
      <c r="B393" s="2">
        <v>1500</v>
      </c>
      <c r="C393"/>
    </row>
    <row r="394" spans="1:3" x14ac:dyDescent="0.25">
      <c r="A394" s="98">
        <v>5524</v>
      </c>
      <c r="B394" s="2">
        <v>79671</v>
      </c>
      <c r="C394"/>
    </row>
    <row r="395" spans="1:3" x14ac:dyDescent="0.25">
      <c r="A395" s="98">
        <v>5525</v>
      </c>
      <c r="B395" s="2">
        <v>16500</v>
      </c>
      <c r="C395"/>
    </row>
    <row r="396" spans="1:3" x14ac:dyDescent="0.25">
      <c r="A396" s="5" t="s">
        <v>331</v>
      </c>
      <c r="B396" s="2">
        <v>87579</v>
      </c>
      <c r="C396"/>
    </row>
    <row r="397" spans="1:3" x14ac:dyDescent="0.25">
      <c r="A397" s="6" t="s">
        <v>323</v>
      </c>
      <c r="B397" s="2">
        <v>87579</v>
      </c>
      <c r="C397"/>
    </row>
    <row r="398" spans="1:3" x14ac:dyDescent="0.25">
      <c r="A398" s="98">
        <v>5524</v>
      </c>
      <c r="B398" s="2">
        <v>87579</v>
      </c>
      <c r="C398"/>
    </row>
    <row r="399" spans="1:3" x14ac:dyDescent="0.25">
      <c r="A399" s="5" t="s">
        <v>332</v>
      </c>
      <c r="B399" s="2">
        <v>40977</v>
      </c>
      <c r="C399"/>
    </row>
    <row r="400" spans="1:3" x14ac:dyDescent="0.25">
      <c r="A400" s="6" t="s">
        <v>333</v>
      </c>
      <c r="B400" s="2">
        <v>40977</v>
      </c>
      <c r="C400"/>
    </row>
    <row r="401" spans="1:3" x14ac:dyDescent="0.25">
      <c r="A401" s="98">
        <v>5500</v>
      </c>
      <c r="B401" s="2">
        <v>1200</v>
      </c>
      <c r="C401"/>
    </row>
    <row r="402" spans="1:3" x14ac:dyDescent="0.25">
      <c r="A402" s="98">
        <v>5504</v>
      </c>
      <c r="B402" s="2">
        <v>1500</v>
      </c>
      <c r="C402"/>
    </row>
    <row r="403" spans="1:3" x14ac:dyDescent="0.25">
      <c r="A403" s="98">
        <v>5511</v>
      </c>
      <c r="B403" s="2">
        <v>23700</v>
      </c>
      <c r="C403"/>
    </row>
    <row r="404" spans="1:3" x14ac:dyDescent="0.25">
      <c r="A404" s="98">
        <v>5513</v>
      </c>
      <c r="B404" s="2">
        <v>2850</v>
      </c>
      <c r="C404"/>
    </row>
    <row r="405" spans="1:3" x14ac:dyDescent="0.25">
      <c r="A405" s="98">
        <v>5514</v>
      </c>
      <c r="B405" s="2">
        <v>2500</v>
      </c>
      <c r="C405"/>
    </row>
    <row r="406" spans="1:3" x14ac:dyDescent="0.25">
      <c r="A406" s="98">
        <v>5515</v>
      </c>
      <c r="B406" s="2">
        <v>600</v>
      </c>
      <c r="C406"/>
    </row>
    <row r="407" spans="1:3" x14ac:dyDescent="0.25">
      <c r="A407" s="98">
        <v>5521</v>
      </c>
      <c r="B407" s="2">
        <v>5000</v>
      </c>
      <c r="C407"/>
    </row>
    <row r="408" spans="1:3" x14ac:dyDescent="0.25">
      <c r="A408" s="98">
        <v>5522</v>
      </c>
      <c r="B408" s="2">
        <v>100</v>
      </c>
      <c r="C408"/>
    </row>
    <row r="409" spans="1:3" x14ac:dyDescent="0.25">
      <c r="A409" s="98">
        <v>5524</v>
      </c>
      <c r="B409" s="2">
        <v>2527</v>
      </c>
      <c r="C409"/>
    </row>
    <row r="410" spans="1:3" x14ac:dyDescent="0.25">
      <c r="A410" s="98">
        <v>5525</v>
      </c>
      <c r="B410" s="2">
        <v>1000</v>
      </c>
      <c r="C410"/>
    </row>
    <row r="411" spans="1:3" x14ac:dyDescent="0.25">
      <c r="A411" s="5" t="s">
        <v>335</v>
      </c>
      <c r="B411" s="2">
        <v>64104.399999999994</v>
      </c>
      <c r="C411"/>
    </row>
    <row r="412" spans="1:3" x14ac:dyDescent="0.25">
      <c r="A412" s="6" t="s">
        <v>323</v>
      </c>
      <c r="B412" s="2">
        <v>64104.399999999994</v>
      </c>
      <c r="C412"/>
    </row>
    <row r="413" spans="1:3" x14ac:dyDescent="0.25">
      <c r="A413" s="98">
        <v>5524</v>
      </c>
      <c r="B413" s="2">
        <v>64104.399999999994</v>
      </c>
      <c r="C413"/>
    </row>
    <row r="414" spans="1:3" x14ac:dyDescent="0.25">
      <c r="A414" s="5" t="s">
        <v>51</v>
      </c>
      <c r="B414" s="2">
        <v>68120</v>
      </c>
      <c r="C414"/>
    </row>
    <row r="415" spans="1:3" x14ac:dyDescent="0.25">
      <c r="A415" s="6" t="s">
        <v>52</v>
      </c>
      <c r="B415" s="2">
        <v>68120</v>
      </c>
      <c r="C415"/>
    </row>
    <row r="416" spans="1:3" x14ac:dyDescent="0.25">
      <c r="A416" s="98">
        <v>5524</v>
      </c>
      <c r="B416" s="2">
        <v>35000</v>
      </c>
      <c r="C416"/>
    </row>
    <row r="417" spans="1:3" x14ac:dyDescent="0.25">
      <c r="A417" s="98">
        <v>5540</v>
      </c>
      <c r="B417" s="2">
        <v>33120</v>
      </c>
      <c r="C417"/>
    </row>
    <row r="418" spans="1:3" x14ac:dyDescent="0.25">
      <c r="A418" s="5" t="s">
        <v>53</v>
      </c>
      <c r="B418" s="2">
        <v>190772</v>
      </c>
      <c r="C418"/>
    </row>
    <row r="419" spans="1:3" x14ac:dyDescent="0.25">
      <c r="A419" s="6" t="s">
        <v>54</v>
      </c>
      <c r="B419" s="2">
        <v>190772</v>
      </c>
      <c r="C419"/>
    </row>
    <row r="420" spans="1:3" x14ac:dyDescent="0.25">
      <c r="A420" s="98">
        <v>4134</v>
      </c>
      <c r="B420" s="2">
        <v>123000</v>
      </c>
      <c r="C420"/>
    </row>
    <row r="421" spans="1:3" x14ac:dyDescent="0.25">
      <c r="A421" s="98">
        <v>5500</v>
      </c>
      <c r="B421" s="2">
        <v>120</v>
      </c>
      <c r="C421"/>
    </row>
    <row r="422" spans="1:3" x14ac:dyDescent="0.25">
      <c r="A422" s="98">
        <v>5513</v>
      </c>
      <c r="B422" s="2">
        <v>66952</v>
      </c>
      <c r="C422"/>
    </row>
    <row r="423" spans="1:3" x14ac:dyDescent="0.25">
      <c r="A423" s="98">
        <v>5515</v>
      </c>
      <c r="B423" s="2">
        <v>300</v>
      </c>
      <c r="C423"/>
    </row>
    <row r="424" spans="1:3" x14ac:dyDescent="0.25">
      <c r="A424" s="98">
        <v>5540</v>
      </c>
      <c r="B424" s="2">
        <v>400</v>
      </c>
      <c r="C424"/>
    </row>
    <row r="425" spans="1:3" x14ac:dyDescent="0.25">
      <c r="A425" s="5" t="s">
        <v>337</v>
      </c>
      <c r="B425" s="2">
        <v>11404</v>
      </c>
      <c r="C425"/>
    </row>
    <row r="426" spans="1:3" x14ac:dyDescent="0.25">
      <c r="A426" s="6" t="s">
        <v>338</v>
      </c>
      <c r="B426" s="2">
        <v>11404</v>
      </c>
      <c r="C426"/>
    </row>
    <row r="427" spans="1:3" x14ac:dyDescent="0.25">
      <c r="A427" s="98">
        <v>5500</v>
      </c>
      <c r="B427" s="2">
        <v>736</v>
      </c>
      <c r="C427"/>
    </row>
    <row r="428" spans="1:3" x14ac:dyDescent="0.25">
      <c r="A428" s="98">
        <v>5511</v>
      </c>
      <c r="B428" s="2">
        <v>4316</v>
      </c>
      <c r="C428"/>
    </row>
    <row r="429" spans="1:3" x14ac:dyDescent="0.25">
      <c r="A429" s="98">
        <v>5513</v>
      </c>
      <c r="B429" s="2">
        <v>352</v>
      </c>
      <c r="C429"/>
    </row>
    <row r="430" spans="1:3" x14ac:dyDescent="0.25">
      <c r="A430" s="98">
        <v>5515</v>
      </c>
      <c r="B430" s="2">
        <v>1550</v>
      </c>
      <c r="C430"/>
    </row>
    <row r="431" spans="1:3" x14ac:dyDescent="0.25">
      <c r="A431" s="98">
        <v>5521</v>
      </c>
      <c r="B431" s="2">
        <v>3600</v>
      </c>
      <c r="C431"/>
    </row>
    <row r="432" spans="1:3" x14ac:dyDescent="0.25">
      <c r="A432" s="98">
        <v>5522</v>
      </c>
      <c r="B432" s="2">
        <v>150</v>
      </c>
      <c r="C432"/>
    </row>
    <row r="433" spans="1:3" x14ac:dyDescent="0.25">
      <c r="A433" s="98">
        <v>5524</v>
      </c>
      <c r="B433" s="2">
        <v>300</v>
      </c>
      <c r="C433"/>
    </row>
    <row r="434" spans="1:3" x14ac:dyDescent="0.25">
      <c r="A434" s="98">
        <v>5525</v>
      </c>
      <c r="B434" s="2">
        <v>400</v>
      </c>
      <c r="C434"/>
    </row>
    <row r="435" spans="1:3" x14ac:dyDescent="0.25">
      <c r="A435" s="5" t="s">
        <v>341</v>
      </c>
      <c r="B435" s="2">
        <v>42600</v>
      </c>
      <c r="C435"/>
    </row>
    <row r="436" spans="1:3" x14ac:dyDescent="0.25">
      <c r="A436" s="6" t="s">
        <v>342</v>
      </c>
      <c r="B436" s="2">
        <v>42600</v>
      </c>
      <c r="C436"/>
    </row>
    <row r="437" spans="1:3" x14ac:dyDescent="0.25">
      <c r="A437" s="98">
        <v>5525</v>
      </c>
      <c r="B437" s="2">
        <v>42600</v>
      </c>
      <c r="C437"/>
    </row>
    <row r="438" spans="1:3" x14ac:dyDescent="0.25">
      <c r="A438" s="5" t="s">
        <v>343</v>
      </c>
      <c r="B438" s="2">
        <v>13140</v>
      </c>
      <c r="C438"/>
    </row>
    <row r="439" spans="1:3" x14ac:dyDescent="0.25">
      <c r="A439" s="6" t="s">
        <v>344</v>
      </c>
      <c r="B439" s="2">
        <v>13140</v>
      </c>
      <c r="C439"/>
    </row>
    <row r="440" spans="1:3" x14ac:dyDescent="0.25">
      <c r="A440" s="98">
        <v>5500</v>
      </c>
      <c r="B440" s="2">
        <v>540</v>
      </c>
      <c r="C440"/>
    </row>
    <row r="441" spans="1:3" x14ac:dyDescent="0.25">
      <c r="A441" s="98">
        <v>5504</v>
      </c>
      <c r="B441" s="2">
        <v>3000</v>
      </c>
      <c r="C441"/>
    </row>
    <row r="442" spans="1:3" x14ac:dyDescent="0.25">
      <c r="A442" s="98">
        <v>5513</v>
      </c>
      <c r="B442" s="2">
        <v>8300</v>
      </c>
      <c r="C442"/>
    </row>
    <row r="443" spans="1:3" x14ac:dyDescent="0.25">
      <c r="A443" s="98">
        <v>5515</v>
      </c>
      <c r="B443" s="2">
        <v>300</v>
      </c>
      <c r="C443"/>
    </row>
    <row r="444" spans="1:3" x14ac:dyDescent="0.25">
      <c r="A444" s="98">
        <v>5524</v>
      </c>
      <c r="B444" s="2">
        <v>1000</v>
      </c>
      <c r="C444"/>
    </row>
    <row r="445" spans="1:3" x14ac:dyDescent="0.25">
      <c r="A445" s="5" t="s">
        <v>1556</v>
      </c>
      <c r="B445" s="2">
        <v>20000</v>
      </c>
      <c r="C445"/>
    </row>
    <row r="446" spans="1:3" x14ac:dyDescent="0.25">
      <c r="A446" s="6" t="s">
        <v>1928</v>
      </c>
      <c r="B446" s="2">
        <v>20000</v>
      </c>
      <c r="C446"/>
    </row>
    <row r="447" spans="1:3" x14ac:dyDescent="0.25">
      <c r="A447" s="98">
        <v>5504</v>
      </c>
      <c r="B447" s="2">
        <v>20000</v>
      </c>
      <c r="C447"/>
    </row>
    <row r="448" spans="1:3" x14ac:dyDescent="0.25">
      <c r="A448" s="5" t="s">
        <v>703</v>
      </c>
      <c r="B448" s="2">
        <v>8250</v>
      </c>
      <c r="C448"/>
    </row>
    <row r="449" spans="1:3" x14ac:dyDescent="0.25">
      <c r="A449" s="6" t="s">
        <v>704</v>
      </c>
      <c r="B449" s="2">
        <v>8250</v>
      </c>
      <c r="C449"/>
    </row>
    <row r="450" spans="1:3" x14ac:dyDescent="0.25">
      <c r="A450" s="98">
        <v>4500</v>
      </c>
      <c r="B450" s="2">
        <v>8250</v>
      </c>
      <c r="C450"/>
    </row>
    <row r="451" spans="1:3" x14ac:dyDescent="0.25">
      <c r="A451" s="5" t="s">
        <v>55</v>
      </c>
      <c r="B451" s="2">
        <v>16532</v>
      </c>
      <c r="C451"/>
    </row>
    <row r="452" spans="1:3" x14ac:dyDescent="0.25">
      <c r="A452" s="6" t="s">
        <v>56</v>
      </c>
      <c r="B452" s="2">
        <v>16532</v>
      </c>
      <c r="C452"/>
    </row>
    <row r="453" spans="1:3" x14ac:dyDescent="0.25">
      <c r="A453" s="98">
        <v>4500</v>
      </c>
      <c r="B453" s="2">
        <v>6300</v>
      </c>
      <c r="C453"/>
    </row>
    <row r="454" spans="1:3" x14ac:dyDescent="0.25">
      <c r="A454" s="98">
        <v>5513</v>
      </c>
      <c r="B454" s="2">
        <v>1632</v>
      </c>
      <c r="C454"/>
    </row>
    <row r="455" spans="1:3" x14ac:dyDescent="0.25">
      <c r="A455" s="98">
        <v>45028</v>
      </c>
      <c r="B455" s="2">
        <v>8600</v>
      </c>
      <c r="C455"/>
    </row>
    <row r="456" spans="1:3" x14ac:dyDescent="0.25">
      <c r="A456" s="5" t="s">
        <v>345</v>
      </c>
      <c r="B456" s="2">
        <v>11000</v>
      </c>
      <c r="C456"/>
    </row>
    <row r="457" spans="1:3" x14ac:dyDescent="0.25">
      <c r="A457" s="6" t="s">
        <v>717</v>
      </c>
      <c r="B457" s="2">
        <v>11000</v>
      </c>
      <c r="C457"/>
    </row>
    <row r="458" spans="1:3" x14ac:dyDescent="0.25">
      <c r="A458" s="98">
        <v>41337</v>
      </c>
      <c r="B458" s="2">
        <v>11000</v>
      </c>
      <c r="C458"/>
    </row>
    <row r="459" spans="1:3" x14ac:dyDescent="0.25">
      <c r="A459" s="5" t="s">
        <v>346</v>
      </c>
      <c r="B459" s="2">
        <v>45500</v>
      </c>
      <c r="C459"/>
    </row>
    <row r="460" spans="1:3" x14ac:dyDescent="0.25">
      <c r="A460" s="6" t="s">
        <v>347</v>
      </c>
      <c r="B460" s="2">
        <v>45500</v>
      </c>
      <c r="C460"/>
    </row>
    <row r="461" spans="1:3" x14ac:dyDescent="0.25">
      <c r="A461" s="98">
        <v>41339</v>
      </c>
      <c r="B461" s="2">
        <v>45500</v>
      </c>
      <c r="C461"/>
    </row>
    <row r="462" spans="1:3" x14ac:dyDescent="0.25">
      <c r="A462" s="5" t="s">
        <v>348</v>
      </c>
      <c r="B462" s="2">
        <v>161600</v>
      </c>
      <c r="C462"/>
    </row>
    <row r="463" spans="1:3" x14ac:dyDescent="0.25">
      <c r="A463" s="6" t="s">
        <v>349</v>
      </c>
      <c r="B463" s="2">
        <v>161600</v>
      </c>
      <c r="C463"/>
    </row>
    <row r="464" spans="1:3" x14ac:dyDescent="0.25">
      <c r="A464" s="98">
        <v>4137</v>
      </c>
      <c r="B464" s="2">
        <v>51600</v>
      </c>
      <c r="C464"/>
    </row>
    <row r="465" spans="1:3" x14ac:dyDescent="0.25">
      <c r="A465" s="98">
        <v>41332</v>
      </c>
      <c r="B465" s="2">
        <v>110000</v>
      </c>
      <c r="C465"/>
    </row>
    <row r="466" spans="1:3" x14ac:dyDescent="0.25">
      <c r="A466" s="5" t="s">
        <v>350</v>
      </c>
      <c r="B466" s="2">
        <v>21400</v>
      </c>
      <c r="C466"/>
    </row>
    <row r="467" spans="1:3" x14ac:dyDescent="0.25">
      <c r="A467" s="6" t="s">
        <v>714</v>
      </c>
      <c r="B467" s="2">
        <v>21400</v>
      </c>
      <c r="C467"/>
    </row>
    <row r="468" spans="1:3" x14ac:dyDescent="0.25">
      <c r="A468" s="98">
        <v>5511</v>
      </c>
      <c r="B468" s="2">
        <v>5000</v>
      </c>
      <c r="C468"/>
    </row>
    <row r="469" spans="1:3" x14ac:dyDescent="0.25">
      <c r="A469" s="98">
        <v>5526</v>
      </c>
      <c r="B469" s="2">
        <v>4800</v>
      </c>
      <c r="C469"/>
    </row>
    <row r="470" spans="1:3" x14ac:dyDescent="0.25">
      <c r="A470" s="98">
        <v>41339</v>
      </c>
      <c r="B470" s="2">
        <v>11600</v>
      </c>
      <c r="C470"/>
    </row>
    <row r="471" spans="1:3" x14ac:dyDescent="0.25">
      <c r="A471" s="5" t="s">
        <v>354</v>
      </c>
      <c r="B471" s="2">
        <v>17831</v>
      </c>
      <c r="C471"/>
    </row>
    <row r="472" spans="1:3" x14ac:dyDescent="0.25">
      <c r="A472" s="6" t="s">
        <v>355</v>
      </c>
      <c r="B472" s="2">
        <v>17831</v>
      </c>
      <c r="C472"/>
    </row>
    <row r="473" spans="1:3" x14ac:dyDescent="0.25">
      <c r="A473" s="98">
        <v>41332</v>
      </c>
      <c r="B473" s="2">
        <v>17831</v>
      </c>
      <c r="C473"/>
    </row>
    <row r="474" spans="1:3" x14ac:dyDescent="0.25">
      <c r="A474" s="5" t="s">
        <v>356</v>
      </c>
      <c r="B474" s="2">
        <v>50095</v>
      </c>
      <c r="C474"/>
    </row>
    <row r="475" spans="1:3" x14ac:dyDescent="0.25">
      <c r="A475" s="6" t="s">
        <v>357</v>
      </c>
      <c r="B475" s="2">
        <v>50095</v>
      </c>
      <c r="C475"/>
    </row>
    <row r="476" spans="1:3" x14ac:dyDescent="0.25">
      <c r="A476" s="98">
        <v>5500</v>
      </c>
      <c r="B476" s="2">
        <v>2400</v>
      </c>
      <c r="C476"/>
    </row>
    <row r="477" spans="1:3" x14ac:dyDescent="0.25">
      <c r="A477" s="98">
        <v>5504</v>
      </c>
      <c r="B477" s="2">
        <v>200</v>
      </c>
      <c r="C477"/>
    </row>
    <row r="478" spans="1:3" x14ac:dyDescent="0.25">
      <c r="A478" s="98">
        <v>5511</v>
      </c>
      <c r="B478" s="2">
        <v>18378</v>
      </c>
      <c r="C478"/>
    </row>
    <row r="479" spans="1:3" x14ac:dyDescent="0.25">
      <c r="A479" s="98">
        <v>5513</v>
      </c>
      <c r="B479" s="2">
        <v>1232</v>
      </c>
      <c r="C479"/>
    </row>
    <row r="480" spans="1:3" x14ac:dyDescent="0.25">
      <c r="A480" s="98">
        <v>5514</v>
      </c>
      <c r="B480" s="2">
        <v>1100</v>
      </c>
      <c r="C480"/>
    </row>
    <row r="481" spans="1:3" x14ac:dyDescent="0.25">
      <c r="A481" s="98">
        <v>5521</v>
      </c>
      <c r="B481" s="2">
        <v>19535</v>
      </c>
      <c r="C481"/>
    </row>
    <row r="482" spans="1:3" x14ac:dyDescent="0.25">
      <c r="A482" s="98">
        <v>5522</v>
      </c>
      <c r="B482" s="2">
        <v>5310</v>
      </c>
      <c r="C482"/>
    </row>
    <row r="483" spans="1:3" x14ac:dyDescent="0.25">
      <c r="A483" s="98">
        <v>5525</v>
      </c>
      <c r="B483" s="2">
        <v>1000</v>
      </c>
      <c r="C483"/>
    </row>
    <row r="484" spans="1:3" x14ac:dyDescent="0.25">
      <c r="A484" s="98">
        <v>5540</v>
      </c>
      <c r="B484" s="2">
        <v>940</v>
      </c>
      <c r="C484"/>
    </row>
    <row r="485" spans="1:3" x14ac:dyDescent="0.25">
      <c r="A485" s="5" t="s">
        <v>358</v>
      </c>
      <c r="B485" s="2">
        <v>58762</v>
      </c>
      <c r="C485"/>
    </row>
    <row r="486" spans="1:3" x14ac:dyDescent="0.25">
      <c r="A486" s="6" t="s">
        <v>2209</v>
      </c>
      <c r="B486" s="2">
        <v>58762</v>
      </c>
      <c r="C486"/>
    </row>
    <row r="487" spans="1:3" x14ac:dyDescent="0.25">
      <c r="A487" s="98">
        <v>5500</v>
      </c>
      <c r="B487" s="2">
        <v>490</v>
      </c>
      <c r="C487"/>
    </row>
    <row r="488" spans="1:3" x14ac:dyDescent="0.25">
      <c r="A488" s="98">
        <v>5504</v>
      </c>
      <c r="B488" s="2">
        <v>650</v>
      </c>
      <c r="C488"/>
    </row>
    <row r="489" spans="1:3" x14ac:dyDescent="0.25">
      <c r="A489" s="98">
        <v>5511</v>
      </c>
      <c r="B489" s="2">
        <v>25480</v>
      </c>
      <c r="C489"/>
    </row>
    <row r="490" spans="1:3" x14ac:dyDescent="0.25">
      <c r="A490" s="98">
        <v>5513</v>
      </c>
      <c r="B490" s="2">
        <v>1650</v>
      </c>
      <c r="C490"/>
    </row>
    <row r="491" spans="1:3" x14ac:dyDescent="0.25">
      <c r="A491" s="98">
        <v>5514</v>
      </c>
      <c r="B491" s="2">
        <v>750</v>
      </c>
      <c r="C491"/>
    </row>
    <row r="492" spans="1:3" x14ac:dyDescent="0.25">
      <c r="A492" s="98">
        <v>5515</v>
      </c>
      <c r="B492" s="2">
        <v>2130</v>
      </c>
      <c r="C492"/>
    </row>
    <row r="493" spans="1:3" x14ac:dyDescent="0.25">
      <c r="A493" s="98">
        <v>5521</v>
      </c>
      <c r="B493" s="2">
        <v>24012</v>
      </c>
      <c r="C493"/>
    </row>
    <row r="494" spans="1:3" x14ac:dyDescent="0.25">
      <c r="A494" s="98">
        <v>5522</v>
      </c>
      <c r="B494" s="2">
        <v>200</v>
      </c>
      <c r="C494"/>
    </row>
    <row r="495" spans="1:3" x14ac:dyDescent="0.25">
      <c r="A495" s="98">
        <v>5525</v>
      </c>
      <c r="B495" s="2">
        <v>1600</v>
      </c>
      <c r="C495"/>
    </row>
    <row r="496" spans="1:3" x14ac:dyDescent="0.25">
      <c r="A496" s="98">
        <v>5526</v>
      </c>
      <c r="B496" s="2">
        <v>1300</v>
      </c>
      <c r="C496"/>
    </row>
    <row r="497" spans="1:3" x14ac:dyDescent="0.25">
      <c r="A497" s="98">
        <v>5532</v>
      </c>
      <c r="B497" s="2">
        <v>500</v>
      </c>
      <c r="C497"/>
    </row>
    <row r="498" spans="1:3" x14ac:dyDescent="0.25">
      <c r="A498" s="5" t="s">
        <v>359</v>
      </c>
      <c r="B498" s="2">
        <v>70000</v>
      </c>
      <c r="C498"/>
    </row>
    <row r="499" spans="1:3" x14ac:dyDescent="0.25">
      <c r="A499" s="6" t="s">
        <v>360</v>
      </c>
      <c r="B499" s="2">
        <v>70000</v>
      </c>
      <c r="C499"/>
    </row>
    <row r="500" spans="1:3" x14ac:dyDescent="0.25">
      <c r="A500" s="98">
        <v>5526</v>
      </c>
      <c r="B500" s="2">
        <v>70000</v>
      </c>
      <c r="C500"/>
    </row>
    <row r="501" spans="1:3" x14ac:dyDescent="0.25">
      <c r="A501" s="5" t="s">
        <v>361</v>
      </c>
      <c r="B501" s="2">
        <v>4090</v>
      </c>
      <c r="C501"/>
    </row>
    <row r="502" spans="1:3" x14ac:dyDescent="0.25">
      <c r="A502" s="6" t="s">
        <v>2248</v>
      </c>
      <c r="B502" s="2">
        <v>4090</v>
      </c>
      <c r="C502"/>
    </row>
    <row r="503" spans="1:3" x14ac:dyDescent="0.25">
      <c r="A503" s="98">
        <v>5500</v>
      </c>
      <c r="B503" s="2">
        <v>290</v>
      </c>
      <c r="C503"/>
    </row>
    <row r="504" spans="1:3" x14ac:dyDescent="0.25">
      <c r="A504" s="98">
        <v>5504</v>
      </c>
      <c r="B504" s="2">
        <v>50</v>
      </c>
      <c r="C504"/>
    </row>
    <row r="505" spans="1:3" x14ac:dyDescent="0.25">
      <c r="A505" s="98">
        <v>5511</v>
      </c>
      <c r="B505" s="2">
        <v>200</v>
      </c>
      <c r="C505"/>
    </row>
    <row r="506" spans="1:3" x14ac:dyDescent="0.25">
      <c r="A506" s="98">
        <v>5513</v>
      </c>
      <c r="B506" s="2">
        <v>760</v>
      </c>
      <c r="C506"/>
    </row>
    <row r="507" spans="1:3" x14ac:dyDescent="0.25">
      <c r="A507" s="98">
        <v>5525</v>
      </c>
      <c r="B507" s="2">
        <v>2790</v>
      </c>
      <c r="C507"/>
    </row>
    <row r="508" spans="1:3" x14ac:dyDescent="0.25">
      <c r="A508" s="5" t="s">
        <v>362</v>
      </c>
      <c r="B508" s="2">
        <v>2500</v>
      </c>
      <c r="C508"/>
    </row>
    <row r="509" spans="1:3" x14ac:dyDescent="0.25">
      <c r="A509" s="6" t="s">
        <v>349</v>
      </c>
      <c r="B509" s="2">
        <v>2500</v>
      </c>
      <c r="C509"/>
    </row>
    <row r="510" spans="1:3" x14ac:dyDescent="0.25">
      <c r="A510" s="98">
        <v>5504</v>
      </c>
      <c r="B510" s="2">
        <v>600</v>
      </c>
      <c r="C510"/>
    </row>
    <row r="511" spans="1:3" x14ac:dyDescent="0.25">
      <c r="A511" s="98">
        <v>5513</v>
      </c>
      <c r="B511" s="2">
        <v>1000</v>
      </c>
      <c r="C511"/>
    </row>
    <row r="512" spans="1:3" x14ac:dyDescent="0.25">
      <c r="A512" s="98">
        <v>5515</v>
      </c>
      <c r="B512" s="2">
        <v>900</v>
      </c>
      <c r="C512"/>
    </row>
    <row r="513" spans="1:3" x14ac:dyDescent="0.25">
      <c r="A513" s="5" t="s">
        <v>363</v>
      </c>
      <c r="B513" s="2">
        <v>38500</v>
      </c>
      <c r="C513"/>
    </row>
    <row r="514" spans="1:3" x14ac:dyDescent="0.25">
      <c r="A514" s="6" t="s">
        <v>669</v>
      </c>
      <c r="B514" s="2">
        <v>38500</v>
      </c>
      <c r="C514"/>
    </row>
    <row r="515" spans="1:3" x14ac:dyDescent="0.25">
      <c r="A515" s="98">
        <v>41380</v>
      </c>
      <c r="B515" s="2">
        <v>38500</v>
      </c>
      <c r="C515"/>
    </row>
    <row r="516" spans="1:3" x14ac:dyDescent="0.25">
      <c r="A516" s="5" t="s">
        <v>364</v>
      </c>
      <c r="B516" s="2">
        <v>9500</v>
      </c>
      <c r="C516"/>
    </row>
    <row r="517" spans="1:3" x14ac:dyDescent="0.25">
      <c r="A517" s="6" t="s">
        <v>365</v>
      </c>
      <c r="B517" s="2">
        <v>9500</v>
      </c>
      <c r="C517"/>
    </row>
    <row r="518" spans="1:3" x14ac:dyDescent="0.25">
      <c r="A518" s="98">
        <v>41380</v>
      </c>
      <c r="B518" s="2">
        <v>9500</v>
      </c>
      <c r="C518"/>
    </row>
    <row r="519" spans="1:3" x14ac:dyDescent="0.25">
      <c r="A519" s="5" t="s">
        <v>366</v>
      </c>
      <c r="B519" s="2">
        <v>120784.5600000001</v>
      </c>
      <c r="C519"/>
    </row>
    <row r="520" spans="1:3" x14ac:dyDescent="0.25">
      <c r="A520" s="6" t="s">
        <v>367</v>
      </c>
      <c r="B520" s="2">
        <v>120784.5600000001</v>
      </c>
      <c r="C520"/>
    </row>
    <row r="521" spans="1:3" x14ac:dyDescent="0.25">
      <c r="A521" s="98">
        <v>5500</v>
      </c>
      <c r="B521" s="2">
        <v>5800</v>
      </c>
      <c r="C521"/>
    </row>
    <row r="522" spans="1:3" x14ac:dyDescent="0.25">
      <c r="A522" s="98">
        <v>5504</v>
      </c>
      <c r="B522" s="2">
        <v>2500</v>
      </c>
      <c r="C522"/>
    </row>
    <row r="523" spans="1:3" x14ac:dyDescent="0.25">
      <c r="A523" s="98">
        <v>5511</v>
      </c>
      <c r="B523" s="2">
        <v>36175</v>
      </c>
      <c r="C523"/>
    </row>
    <row r="524" spans="1:3" x14ac:dyDescent="0.25">
      <c r="A524" s="98">
        <v>5513</v>
      </c>
      <c r="B524" s="2">
        <v>14000</v>
      </c>
      <c r="C524"/>
    </row>
    <row r="525" spans="1:3" x14ac:dyDescent="0.25">
      <c r="A525" s="98">
        <v>5515</v>
      </c>
      <c r="B525" s="2">
        <v>16920</v>
      </c>
      <c r="C525"/>
    </row>
    <row r="526" spans="1:3" x14ac:dyDescent="0.25">
      <c r="A526" s="98">
        <v>5521</v>
      </c>
      <c r="B526" s="2">
        <v>22429.5600000001</v>
      </c>
      <c r="C526"/>
    </row>
    <row r="527" spans="1:3" x14ac:dyDescent="0.25">
      <c r="A527" s="98">
        <v>5522</v>
      </c>
      <c r="B527" s="2">
        <v>7240</v>
      </c>
      <c r="C527"/>
    </row>
    <row r="528" spans="1:3" x14ac:dyDescent="0.25">
      <c r="A528" s="98">
        <v>5523</v>
      </c>
      <c r="B528" s="2">
        <v>5220</v>
      </c>
      <c r="C528"/>
    </row>
    <row r="529" spans="1:3" x14ac:dyDescent="0.25">
      <c r="A529" s="98">
        <v>5524</v>
      </c>
      <c r="B529" s="2">
        <v>960</v>
      </c>
      <c r="C529"/>
    </row>
    <row r="530" spans="1:3" x14ac:dyDescent="0.25">
      <c r="A530" s="98">
        <v>5525</v>
      </c>
      <c r="B530" s="2">
        <v>3240</v>
      </c>
      <c r="C530"/>
    </row>
    <row r="531" spans="1:3" x14ac:dyDescent="0.25">
      <c r="A531" s="98">
        <v>413899</v>
      </c>
      <c r="B531" s="2">
        <v>6300</v>
      </c>
      <c r="C531"/>
    </row>
    <row r="532" spans="1:3" x14ac:dyDescent="0.25">
      <c r="A532" s="5" t="s">
        <v>368</v>
      </c>
      <c r="B532" s="2">
        <v>166820</v>
      </c>
      <c r="C532"/>
    </row>
    <row r="533" spans="1:3" x14ac:dyDescent="0.25">
      <c r="A533" s="6" t="s">
        <v>360</v>
      </c>
      <c r="B533" s="2">
        <v>166820</v>
      </c>
      <c r="C533"/>
    </row>
    <row r="534" spans="1:3" x14ac:dyDescent="0.25">
      <c r="A534" s="98">
        <v>4500</v>
      </c>
      <c r="B534" s="2">
        <v>3000</v>
      </c>
      <c r="C534"/>
    </row>
    <row r="535" spans="1:3" x14ac:dyDescent="0.25">
      <c r="A535" s="98">
        <v>5526</v>
      </c>
      <c r="B535" s="2">
        <v>162020</v>
      </c>
      <c r="C535"/>
    </row>
    <row r="536" spans="1:3" x14ac:dyDescent="0.25">
      <c r="A536" s="98">
        <v>45008</v>
      </c>
      <c r="B536" s="2">
        <v>800</v>
      </c>
      <c r="C536"/>
    </row>
    <row r="537" spans="1:3" x14ac:dyDescent="0.25">
      <c r="A537" s="98">
        <v>413899</v>
      </c>
      <c r="B537" s="2">
        <v>1000</v>
      </c>
      <c r="C537"/>
    </row>
    <row r="538" spans="1:3" x14ac:dyDescent="0.25">
      <c r="A538" s="5" t="s">
        <v>369</v>
      </c>
      <c r="B538" s="2">
        <v>48403</v>
      </c>
      <c r="C538"/>
    </row>
    <row r="539" spans="1:3" x14ac:dyDescent="0.25">
      <c r="A539" s="6" t="s">
        <v>370</v>
      </c>
      <c r="B539" s="2">
        <v>48403</v>
      </c>
      <c r="C539"/>
    </row>
    <row r="540" spans="1:3" x14ac:dyDescent="0.25">
      <c r="A540" s="98">
        <v>41389</v>
      </c>
      <c r="B540" s="2">
        <v>48403</v>
      </c>
      <c r="C540"/>
    </row>
    <row r="541" spans="1:3" x14ac:dyDescent="0.25">
      <c r="A541" s="5" t="s">
        <v>371</v>
      </c>
      <c r="B541" s="2">
        <v>48100</v>
      </c>
      <c r="C541"/>
    </row>
    <row r="542" spans="1:3" x14ac:dyDescent="0.25">
      <c r="A542" s="6" t="s">
        <v>372</v>
      </c>
      <c r="B542" s="2">
        <v>48100</v>
      </c>
      <c r="C542"/>
    </row>
    <row r="543" spans="1:3" x14ac:dyDescent="0.25">
      <c r="A543" s="98">
        <v>41309</v>
      </c>
      <c r="B543" s="2">
        <v>48100</v>
      </c>
      <c r="C543"/>
    </row>
    <row r="544" spans="1:3" x14ac:dyDescent="0.25">
      <c r="A544" s="5" t="s">
        <v>373</v>
      </c>
      <c r="B544" s="2">
        <v>2500</v>
      </c>
      <c r="C544"/>
    </row>
    <row r="545" spans="1:3" x14ac:dyDescent="0.25">
      <c r="A545" s="6" t="s">
        <v>718</v>
      </c>
      <c r="B545" s="2">
        <v>2500</v>
      </c>
      <c r="C545"/>
    </row>
    <row r="546" spans="1:3" x14ac:dyDescent="0.25">
      <c r="A546" s="98">
        <v>41309</v>
      </c>
      <c r="B546" s="2">
        <v>2500</v>
      </c>
      <c r="C546"/>
    </row>
    <row r="547" spans="1:3" x14ac:dyDescent="0.25">
      <c r="A547" s="5" t="s">
        <v>374</v>
      </c>
      <c r="B547" s="2">
        <v>45600</v>
      </c>
      <c r="C547"/>
    </row>
    <row r="548" spans="1:3" x14ac:dyDescent="0.25">
      <c r="A548" s="6" t="s">
        <v>671</v>
      </c>
      <c r="B548" s="2">
        <v>45600</v>
      </c>
      <c r="C548"/>
    </row>
    <row r="549" spans="1:3" x14ac:dyDescent="0.25">
      <c r="A549" s="98">
        <v>41300</v>
      </c>
      <c r="B549" s="2">
        <v>40000</v>
      </c>
      <c r="C549"/>
    </row>
    <row r="550" spans="1:3" x14ac:dyDescent="0.25">
      <c r="A550" s="98">
        <v>41309</v>
      </c>
      <c r="B550" s="2">
        <v>5600</v>
      </c>
      <c r="C550"/>
    </row>
    <row r="551" spans="1:3" x14ac:dyDescent="0.25">
      <c r="A551" s="5" t="s">
        <v>375</v>
      </c>
      <c r="B551" s="2">
        <v>13600</v>
      </c>
      <c r="C551"/>
    </row>
    <row r="552" spans="1:3" x14ac:dyDescent="0.25">
      <c r="A552" s="6" t="s">
        <v>670</v>
      </c>
      <c r="B552" s="2">
        <v>13600</v>
      </c>
      <c r="C552"/>
    </row>
    <row r="553" spans="1:3" x14ac:dyDescent="0.25">
      <c r="A553" s="98">
        <v>41309</v>
      </c>
      <c r="B553" s="2">
        <v>13600</v>
      </c>
      <c r="C553"/>
    </row>
    <row r="554" spans="1:3" x14ac:dyDescent="0.25">
      <c r="A554" s="5" t="s">
        <v>376</v>
      </c>
      <c r="B554" s="2">
        <v>20360</v>
      </c>
      <c r="C554"/>
    </row>
    <row r="555" spans="1:3" x14ac:dyDescent="0.25">
      <c r="A555" s="6" t="s">
        <v>377</v>
      </c>
      <c r="B555" s="2">
        <v>20360</v>
      </c>
      <c r="C555"/>
    </row>
    <row r="556" spans="1:3" x14ac:dyDescent="0.25">
      <c r="A556" s="98">
        <v>4500</v>
      </c>
      <c r="B556" s="2">
        <v>600</v>
      </c>
      <c r="C556"/>
    </row>
    <row r="557" spans="1:3" x14ac:dyDescent="0.25">
      <c r="A557" s="98">
        <v>5525</v>
      </c>
      <c r="B557" s="2">
        <v>8000</v>
      </c>
      <c r="C557"/>
    </row>
    <row r="558" spans="1:3" x14ac:dyDescent="0.25">
      <c r="A558" s="98">
        <v>5526</v>
      </c>
      <c r="B558" s="2">
        <v>600</v>
      </c>
      <c r="C558"/>
    </row>
    <row r="559" spans="1:3" x14ac:dyDescent="0.25">
      <c r="A559" s="98">
        <v>41309</v>
      </c>
      <c r="B559" s="2">
        <v>11160</v>
      </c>
      <c r="C559"/>
    </row>
    <row r="560" spans="1:3" x14ac:dyDescent="0.25">
      <c r="A560" s="5" t="s">
        <v>57</v>
      </c>
      <c r="B560" s="2">
        <v>5400</v>
      </c>
      <c r="C560"/>
    </row>
    <row r="561" spans="1:3" x14ac:dyDescent="0.25">
      <c r="A561" s="6" t="s">
        <v>58</v>
      </c>
      <c r="B561" s="2">
        <v>5400</v>
      </c>
      <c r="C561"/>
    </row>
    <row r="562" spans="1:3" x14ac:dyDescent="0.25">
      <c r="A562" s="98">
        <v>41329</v>
      </c>
      <c r="B562" s="2">
        <v>5400</v>
      </c>
      <c r="C562"/>
    </row>
    <row r="563" spans="1:3" x14ac:dyDescent="0.25">
      <c r="A563" s="5" t="s">
        <v>59</v>
      </c>
      <c r="B563" s="2">
        <v>34385</v>
      </c>
      <c r="C563"/>
    </row>
    <row r="564" spans="1:3" x14ac:dyDescent="0.25">
      <c r="A564" s="6" t="s">
        <v>60</v>
      </c>
      <c r="B564" s="2">
        <v>34385</v>
      </c>
      <c r="C564"/>
    </row>
    <row r="565" spans="1:3" x14ac:dyDescent="0.25">
      <c r="A565" s="98">
        <v>5511</v>
      </c>
      <c r="B565" s="2">
        <v>18385</v>
      </c>
      <c r="C565"/>
    </row>
    <row r="566" spans="1:3" x14ac:dyDescent="0.25">
      <c r="A566" s="98">
        <v>413899</v>
      </c>
      <c r="B566" s="2">
        <v>16000</v>
      </c>
      <c r="C566"/>
    </row>
    <row r="567" spans="1:3" x14ac:dyDescent="0.25">
      <c r="A567" s="5" t="s">
        <v>61</v>
      </c>
      <c r="B567" s="2">
        <v>77321</v>
      </c>
      <c r="C567"/>
    </row>
    <row r="568" spans="1:3" x14ac:dyDescent="0.25">
      <c r="A568" s="6" t="s">
        <v>62</v>
      </c>
      <c r="B568" s="2">
        <v>77321</v>
      </c>
      <c r="C568"/>
    </row>
    <row r="569" spans="1:3" x14ac:dyDescent="0.25">
      <c r="A569" s="98">
        <v>4131</v>
      </c>
      <c r="B569" s="2">
        <v>77321</v>
      </c>
      <c r="C569"/>
    </row>
    <row r="570" spans="1:3" x14ac:dyDescent="0.25">
      <c r="A570" s="5" t="s">
        <v>63</v>
      </c>
      <c r="B570" s="2">
        <v>33240</v>
      </c>
      <c r="C570"/>
    </row>
    <row r="571" spans="1:3" x14ac:dyDescent="0.25">
      <c r="A571" s="6" t="s">
        <v>64</v>
      </c>
      <c r="B571" s="2">
        <v>33240</v>
      </c>
      <c r="C571"/>
    </row>
    <row r="572" spans="1:3" x14ac:dyDescent="0.25">
      <c r="A572" s="98">
        <v>413899</v>
      </c>
      <c r="B572" s="2">
        <v>33240</v>
      </c>
      <c r="C572"/>
    </row>
    <row r="573" spans="1:3" x14ac:dyDescent="0.25">
      <c r="A573" s="5" t="s">
        <v>65</v>
      </c>
      <c r="B573" s="2">
        <v>27016</v>
      </c>
      <c r="C573"/>
    </row>
    <row r="574" spans="1:3" x14ac:dyDescent="0.25">
      <c r="A574" s="6" t="s">
        <v>66</v>
      </c>
      <c r="B574" s="2">
        <v>27016</v>
      </c>
      <c r="C574"/>
    </row>
    <row r="575" spans="1:3" x14ac:dyDescent="0.25">
      <c r="A575" s="98">
        <v>601</v>
      </c>
      <c r="B575" s="2">
        <v>1000</v>
      </c>
      <c r="C575"/>
    </row>
    <row r="576" spans="1:3" x14ac:dyDescent="0.25">
      <c r="A576" s="98">
        <v>4500</v>
      </c>
      <c r="B576" s="2">
        <v>2000</v>
      </c>
      <c r="C576"/>
    </row>
    <row r="577" spans="1:3" x14ac:dyDescent="0.25">
      <c r="A577" s="98">
        <v>5500</v>
      </c>
      <c r="B577" s="2">
        <v>1816</v>
      </c>
      <c r="C577"/>
    </row>
    <row r="578" spans="1:3" x14ac:dyDescent="0.25">
      <c r="A578" s="98">
        <v>5504</v>
      </c>
      <c r="B578" s="2">
        <v>1500</v>
      </c>
      <c r="C578"/>
    </row>
    <row r="579" spans="1:3" x14ac:dyDescent="0.25">
      <c r="A579" s="98">
        <v>5513</v>
      </c>
      <c r="B579" s="2">
        <v>18500</v>
      </c>
      <c r="C579"/>
    </row>
    <row r="580" spans="1:3" x14ac:dyDescent="0.25">
      <c r="A580" s="98">
        <v>5514</v>
      </c>
      <c r="B580" s="2">
        <v>300</v>
      </c>
      <c r="C580"/>
    </row>
    <row r="581" spans="1:3" x14ac:dyDescent="0.25">
      <c r="A581" s="98">
        <v>5515</v>
      </c>
      <c r="B581" s="2">
        <v>300</v>
      </c>
      <c r="C581"/>
    </row>
    <row r="582" spans="1:3" x14ac:dyDescent="0.25">
      <c r="A582" s="98">
        <v>5540</v>
      </c>
      <c r="B582" s="2">
        <v>1600</v>
      </c>
      <c r="C582"/>
    </row>
    <row r="583" spans="1:3" x14ac:dyDescent="0.25">
      <c r="A583" s="5" t="s">
        <v>351</v>
      </c>
      <c r="B583" s="2">
        <v>840</v>
      </c>
      <c r="C583"/>
    </row>
    <row r="584" spans="1:3" x14ac:dyDescent="0.25">
      <c r="A584" s="6" t="s">
        <v>352</v>
      </c>
      <c r="B584" s="2">
        <v>840</v>
      </c>
      <c r="C584"/>
    </row>
    <row r="585" spans="1:3" x14ac:dyDescent="0.25">
      <c r="A585" s="98">
        <v>5526</v>
      </c>
      <c r="B585" s="2">
        <v>840</v>
      </c>
      <c r="C585"/>
    </row>
    <row r="586" spans="1:3" x14ac:dyDescent="0.25">
      <c r="A586" s="5" t="s">
        <v>2211</v>
      </c>
      <c r="B586" s="2">
        <v>141438.28</v>
      </c>
      <c r="C586"/>
    </row>
    <row r="587" spans="1:3" x14ac:dyDescent="0.25">
      <c r="A587" s="6" t="s">
        <v>2198</v>
      </c>
      <c r="B587" s="2">
        <v>141438.28</v>
      </c>
      <c r="C587"/>
    </row>
    <row r="588" spans="1:3" x14ac:dyDescent="0.25">
      <c r="A588" s="98">
        <v>5500</v>
      </c>
      <c r="B588" s="2">
        <v>582.24</v>
      </c>
      <c r="C588"/>
    </row>
    <row r="589" spans="1:3" x14ac:dyDescent="0.25">
      <c r="A589" s="98">
        <v>5504</v>
      </c>
      <c r="B589" s="2">
        <v>200</v>
      </c>
      <c r="C589"/>
    </row>
    <row r="590" spans="1:3" x14ac:dyDescent="0.25">
      <c r="A590" s="98">
        <v>5511</v>
      </c>
      <c r="B590" s="2">
        <v>86039.2</v>
      </c>
      <c r="C590"/>
    </row>
    <row r="591" spans="1:3" x14ac:dyDescent="0.25">
      <c r="A591" s="98">
        <v>5512</v>
      </c>
      <c r="B591" s="2">
        <v>2000</v>
      </c>
      <c r="C591"/>
    </row>
    <row r="592" spans="1:3" x14ac:dyDescent="0.25">
      <c r="A592" s="98">
        <v>5513</v>
      </c>
      <c r="B592" s="2">
        <v>43335.240000000005</v>
      </c>
      <c r="C592"/>
    </row>
    <row r="593" spans="1:3" x14ac:dyDescent="0.25">
      <c r="A593" s="98">
        <v>5514</v>
      </c>
      <c r="B593" s="2">
        <v>381.6</v>
      </c>
      <c r="C593"/>
    </row>
    <row r="594" spans="1:3" x14ac:dyDescent="0.25">
      <c r="A594" s="98">
        <v>5515</v>
      </c>
      <c r="B594" s="2">
        <v>8900</v>
      </c>
      <c r="C594"/>
    </row>
    <row r="595" spans="1:3" x14ac:dyDescent="0.25">
      <c r="A595" s="5" t="s">
        <v>2210</v>
      </c>
      <c r="B595" s="2">
        <v>131813.12</v>
      </c>
      <c r="C595"/>
    </row>
    <row r="596" spans="1:3" x14ac:dyDescent="0.25">
      <c r="A596" s="6" t="s">
        <v>2219</v>
      </c>
      <c r="B596" s="2">
        <v>131813.12</v>
      </c>
      <c r="C596"/>
    </row>
    <row r="597" spans="1:3" x14ac:dyDescent="0.25">
      <c r="A597" s="98">
        <v>5500</v>
      </c>
      <c r="B597" s="2">
        <v>300</v>
      </c>
      <c r="C597"/>
    </row>
    <row r="598" spans="1:3" x14ac:dyDescent="0.25">
      <c r="A598" s="98">
        <v>5511</v>
      </c>
      <c r="B598" s="2">
        <v>121923.12</v>
      </c>
      <c r="C598"/>
    </row>
    <row r="599" spans="1:3" x14ac:dyDescent="0.25">
      <c r="A599" s="98">
        <v>5513</v>
      </c>
      <c r="B599" s="2">
        <v>8610</v>
      </c>
      <c r="C599"/>
    </row>
    <row r="600" spans="1:3" x14ac:dyDescent="0.25">
      <c r="A600" s="98">
        <v>5514</v>
      </c>
      <c r="B600" s="2">
        <v>580</v>
      </c>
      <c r="C600"/>
    </row>
    <row r="601" spans="1:3" x14ac:dyDescent="0.25">
      <c r="A601" s="98">
        <v>5540</v>
      </c>
      <c r="B601" s="2">
        <v>400</v>
      </c>
      <c r="C601"/>
    </row>
    <row r="602" spans="1:3" x14ac:dyDescent="0.25">
      <c r="A602" s="5" t="s">
        <v>2226</v>
      </c>
      <c r="B602" s="2">
        <v>162100</v>
      </c>
      <c r="C602"/>
    </row>
    <row r="603" spans="1:3" x14ac:dyDescent="0.25">
      <c r="A603" s="6" t="s">
        <v>2227</v>
      </c>
      <c r="B603" s="2">
        <v>162100</v>
      </c>
      <c r="C603"/>
    </row>
    <row r="604" spans="1:3" x14ac:dyDescent="0.25">
      <c r="A604" s="98">
        <v>5500</v>
      </c>
      <c r="B604" s="2">
        <v>3420</v>
      </c>
      <c r="C604"/>
    </row>
    <row r="605" spans="1:3" x14ac:dyDescent="0.25">
      <c r="A605" s="98">
        <v>5504</v>
      </c>
      <c r="B605" s="2">
        <v>2600</v>
      </c>
      <c r="C605"/>
    </row>
    <row r="606" spans="1:3" x14ac:dyDescent="0.25">
      <c r="A606" s="98">
        <v>5511</v>
      </c>
      <c r="B606" s="2">
        <v>80580</v>
      </c>
      <c r="C606"/>
    </row>
    <row r="607" spans="1:3" x14ac:dyDescent="0.25">
      <c r="A607" s="98">
        <v>5513</v>
      </c>
      <c r="B607" s="2">
        <v>10200</v>
      </c>
      <c r="C607"/>
    </row>
    <row r="608" spans="1:3" x14ac:dyDescent="0.25">
      <c r="A608" s="98">
        <v>5514</v>
      </c>
      <c r="B608" s="2">
        <v>5400</v>
      </c>
      <c r="C608"/>
    </row>
    <row r="609" spans="1:3" x14ac:dyDescent="0.25">
      <c r="A609" s="98">
        <v>5515</v>
      </c>
      <c r="B609" s="2">
        <v>5000</v>
      </c>
      <c r="C609"/>
    </row>
    <row r="610" spans="1:3" x14ac:dyDescent="0.25">
      <c r="A610" s="98">
        <v>5521</v>
      </c>
      <c r="B610" s="2">
        <v>19950</v>
      </c>
      <c r="C610"/>
    </row>
    <row r="611" spans="1:3" x14ac:dyDescent="0.25">
      <c r="A611" s="98">
        <v>5522</v>
      </c>
      <c r="B611" s="2">
        <v>2100</v>
      </c>
      <c r="C611"/>
    </row>
    <row r="612" spans="1:3" x14ac:dyDescent="0.25">
      <c r="A612" s="98">
        <v>5524</v>
      </c>
      <c r="B612" s="2">
        <v>25000</v>
      </c>
      <c r="C612"/>
    </row>
    <row r="613" spans="1:3" x14ac:dyDescent="0.25">
      <c r="A613" s="98">
        <v>5525</v>
      </c>
      <c r="B613" s="2">
        <v>7850</v>
      </c>
      <c r="C613"/>
    </row>
    <row r="614" spans="1:3" x14ac:dyDescent="0.25">
      <c r="A614" s="5" t="s">
        <v>379</v>
      </c>
      <c r="B614" s="2">
        <v>3539513.1827100008</v>
      </c>
      <c r="C614"/>
    </row>
    <row r="615" spans="1:3" x14ac:dyDescent="0.25">
      <c r="C615"/>
    </row>
    <row r="616" spans="1:3" x14ac:dyDescent="0.25">
      <c r="C616"/>
    </row>
    <row r="617" spans="1:3" x14ac:dyDescent="0.25">
      <c r="C617"/>
    </row>
    <row r="618" spans="1:3" x14ac:dyDescent="0.25">
      <c r="C618"/>
    </row>
    <row r="619" spans="1:3" x14ac:dyDescent="0.25">
      <c r="C619"/>
    </row>
    <row r="620" spans="1:3" x14ac:dyDescent="0.25">
      <c r="C620"/>
    </row>
    <row r="621" spans="1:3" x14ac:dyDescent="0.25">
      <c r="C621"/>
    </row>
    <row r="622" spans="1:3" x14ac:dyDescent="0.25">
      <c r="C622"/>
    </row>
    <row r="623" spans="1:3" x14ac:dyDescent="0.25">
      <c r="C623"/>
    </row>
    <row r="624" spans="1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</sheetData>
  <pageMargins left="0.7" right="0.7" top="0.75" bottom="0.75" header="0.3" footer="0.3"/>
  <pageSetup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20" sqref="E20:F20"/>
    </sheetView>
  </sheetViews>
  <sheetFormatPr defaultRowHeight="15" x14ac:dyDescent="0.25"/>
  <cols>
    <col min="1" max="1" width="45.140625" customWidth="1"/>
    <col min="2" max="2" width="17.85546875" customWidth="1"/>
    <col min="4" max="4" width="45.140625" customWidth="1"/>
    <col min="5" max="5" width="15.42578125" bestFit="1" customWidth="1"/>
    <col min="6" max="6" width="14.7109375" bestFit="1" customWidth="1"/>
  </cols>
  <sheetData>
    <row r="1" spans="1:6" x14ac:dyDescent="0.25">
      <c r="A1" s="4" t="s">
        <v>135</v>
      </c>
      <c r="B1" t="s">
        <v>2006</v>
      </c>
      <c r="D1" s="4" t="s">
        <v>7</v>
      </c>
      <c r="E1" t="s">
        <v>1083</v>
      </c>
    </row>
    <row r="2" spans="1:6" x14ac:dyDescent="0.25">
      <c r="A2" s="4" t="s">
        <v>7</v>
      </c>
      <c r="B2" t="s">
        <v>1083</v>
      </c>
    </row>
    <row r="3" spans="1:6" x14ac:dyDescent="0.25">
      <c r="D3" s="4" t="s">
        <v>378</v>
      </c>
      <c r="E3" t="s">
        <v>381</v>
      </c>
      <c r="F3" t="s">
        <v>1374</v>
      </c>
    </row>
    <row r="4" spans="1:6" x14ac:dyDescent="0.25">
      <c r="A4" s="4" t="s">
        <v>378</v>
      </c>
      <c r="B4" t="s">
        <v>381</v>
      </c>
      <c r="D4" s="5" t="s">
        <v>254</v>
      </c>
      <c r="E4" s="2">
        <v>59436</v>
      </c>
      <c r="F4" s="2">
        <v>20089.368000000002</v>
      </c>
    </row>
    <row r="5" spans="1:6" x14ac:dyDescent="0.25">
      <c r="A5" s="5" t="s">
        <v>39</v>
      </c>
      <c r="B5" s="2"/>
      <c r="D5" s="6" t="s">
        <v>2199</v>
      </c>
      <c r="E5" s="2">
        <v>59436</v>
      </c>
      <c r="F5" s="2">
        <v>20089.368000000002</v>
      </c>
    </row>
    <row r="6" spans="1:6" x14ac:dyDescent="0.25">
      <c r="A6" s="6" t="s">
        <v>553</v>
      </c>
      <c r="B6" s="2"/>
      <c r="D6" s="5" t="s">
        <v>260</v>
      </c>
      <c r="E6" s="2">
        <v>12264</v>
      </c>
      <c r="F6" s="2">
        <v>4145.232</v>
      </c>
    </row>
    <row r="7" spans="1:6" x14ac:dyDescent="0.25">
      <c r="A7" s="98" t="s">
        <v>4</v>
      </c>
      <c r="B7" s="2">
        <v>268000</v>
      </c>
      <c r="D7" s="6" t="s">
        <v>261</v>
      </c>
      <c r="E7" s="2">
        <v>12264</v>
      </c>
      <c r="F7" s="2">
        <v>4145.232</v>
      </c>
    </row>
    <row r="8" spans="1:6" x14ac:dyDescent="0.25">
      <c r="A8" s="5" t="s">
        <v>40</v>
      </c>
      <c r="B8" s="2"/>
      <c r="D8" s="5" t="s">
        <v>262</v>
      </c>
      <c r="E8" s="2">
        <v>8760</v>
      </c>
      <c r="F8" s="2">
        <v>2960.88</v>
      </c>
    </row>
    <row r="9" spans="1:6" x14ac:dyDescent="0.25">
      <c r="A9" s="6" t="s">
        <v>554</v>
      </c>
      <c r="B9" s="2"/>
      <c r="D9" s="6" t="s">
        <v>263</v>
      </c>
      <c r="E9" s="2">
        <v>8760</v>
      </c>
      <c r="F9" s="2">
        <v>2960.88</v>
      </c>
    </row>
    <row r="10" spans="1:6" x14ac:dyDescent="0.25">
      <c r="A10" s="98" t="s">
        <v>531</v>
      </c>
      <c r="B10" s="2">
        <v>53000</v>
      </c>
      <c r="D10" s="5" t="s">
        <v>2211</v>
      </c>
      <c r="E10" s="2">
        <v>85764</v>
      </c>
      <c r="F10" s="2">
        <v>24949.031999999999</v>
      </c>
    </row>
    <row r="11" spans="1:6" x14ac:dyDescent="0.25">
      <c r="A11" s="98" t="s">
        <v>4</v>
      </c>
      <c r="B11" s="2">
        <v>700000</v>
      </c>
      <c r="D11" s="6" t="s">
        <v>2198</v>
      </c>
      <c r="E11" s="2">
        <v>85764</v>
      </c>
      <c r="F11" s="2">
        <v>24949.031999999999</v>
      </c>
    </row>
    <row r="12" spans="1:6" x14ac:dyDescent="0.25">
      <c r="A12" s="5" t="s">
        <v>254</v>
      </c>
      <c r="B12" s="2"/>
      <c r="D12" s="5" t="s">
        <v>2210</v>
      </c>
      <c r="E12" s="2">
        <v>49597.799999999996</v>
      </c>
      <c r="F12" s="2">
        <v>16764.056400000001</v>
      </c>
    </row>
    <row r="13" spans="1:6" x14ac:dyDescent="0.25">
      <c r="A13" s="6" t="s">
        <v>2199</v>
      </c>
      <c r="B13" s="2"/>
      <c r="D13" s="6" t="s">
        <v>2219</v>
      </c>
      <c r="E13" s="2">
        <v>49597.799999999996</v>
      </c>
      <c r="F13" s="2">
        <v>16764.056400000001</v>
      </c>
    </row>
    <row r="14" spans="1:6" x14ac:dyDescent="0.25">
      <c r="A14" s="98" t="s">
        <v>531</v>
      </c>
      <c r="B14" s="2">
        <v>99464</v>
      </c>
      <c r="D14" s="5" t="s">
        <v>379</v>
      </c>
      <c r="E14" s="2">
        <v>215821.8</v>
      </c>
      <c r="F14" s="2">
        <v>68908.568400000004</v>
      </c>
    </row>
    <row r="15" spans="1:6" x14ac:dyDescent="0.25">
      <c r="A15" s="98" t="s">
        <v>4</v>
      </c>
      <c r="B15" s="2">
        <v>5000</v>
      </c>
    </row>
    <row r="16" spans="1:6" x14ac:dyDescent="0.25">
      <c r="A16" s="5" t="s">
        <v>260</v>
      </c>
      <c r="B16" s="2"/>
    </row>
    <row r="17" spans="1:2" x14ac:dyDescent="0.25">
      <c r="A17" s="6" t="s">
        <v>261</v>
      </c>
      <c r="B17" s="2"/>
    </row>
    <row r="18" spans="1:2" x14ac:dyDescent="0.25">
      <c r="A18" s="98" t="s">
        <v>531</v>
      </c>
      <c r="B18" s="2">
        <v>16460</v>
      </c>
    </row>
    <row r="19" spans="1:2" x14ac:dyDescent="0.25">
      <c r="A19" s="5" t="s">
        <v>262</v>
      </c>
      <c r="B19" s="2"/>
    </row>
    <row r="20" spans="1:2" x14ac:dyDescent="0.25">
      <c r="A20" s="6" t="s">
        <v>263</v>
      </c>
      <c r="B20" s="2"/>
    </row>
    <row r="21" spans="1:2" x14ac:dyDescent="0.25">
      <c r="A21" s="98" t="s">
        <v>531</v>
      </c>
      <c r="B21" s="2">
        <v>34991.479999999996</v>
      </c>
    </row>
    <row r="22" spans="1:2" x14ac:dyDescent="0.25">
      <c r="A22" s="5" t="s">
        <v>264</v>
      </c>
      <c r="B22" s="2"/>
    </row>
    <row r="23" spans="1:2" x14ac:dyDescent="0.25">
      <c r="A23" s="6" t="s">
        <v>265</v>
      </c>
      <c r="B23" s="2"/>
    </row>
    <row r="24" spans="1:2" x14ac:dyDescent="0.25">
      <c r="A24" s="98" t="s">
        <v>531</v>
      </c>
      <c r="B24" s="2">
        <v>10500</v>
      </c>
    </row>
    <row r="25" spans="1:2" x14ac:dyDescent="0.25">
      <c r="A25" s="5" t="s">
        <v>2211</v>
      </c>
      <c r="B25" s="2"/>
    </row>
    <row r="26" spans="1:2" x14ac:dyDescent="0.25">
      <c r="A26" s="6" t="s">
        <v>2198</v>
      </c>
      <c r="B26" s="2"/>
    </row>
    <row r="27" spans="1:2" x14ac:dyDescent="0.25">
      <c r="A27" s="98" t="s">
        <v>531</v>
      </c>
      <c r="B27" s="2">
        <v>141438.28</v>
      </c>
    </row>
    <row r="28" spans="1:2" x14ac:dyDescent="0.25">
      <c r="A28" s="5" t="s">
        <v>2210</v>
      </c>
      <c r="B28" s="2"/>
    </row>
    <row r="29" spans="1:2" x14ac:dyDescent="0.25">
      <c r="A29" s="6" t="s">
        <v>2219</v>
      </c>
      <c r="B29" s="2"/>
    </row>
    <row r="30" spans="1:2" x14ac:dyDescent="0.25">
      <c r="A30" s="98" t="s">
        <v>531</v>
      </c>
      <c r="B30" s="2">
        <v>131813.12</v>
      </c>
    </row>
    <row r="31" spans="1:2" x14ac:dyDescent="0.25">
      <c r="A31" s="5" t="s">
        <v>379</v>
      </c>
      <c r="B31" s="2">
        <v>1460666.88</v>
      </c>
    </row>
  </sheetData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EA_aruanne</vt:lpstr>
      <vt:lpstr>Lisa 1 Investeeringud</vt:lpstr>
      <vt:lpstr>Lisa2 Majandamiskulu, Toetused</vt:lpstr>
      <vt:lpstr>Põhitegevuskulud</vt:lpstr>
      <vt:lpstr>Lisa 3 Personalikulud</vt:lpstr>
      <vt:lpstr>Sheet2</vt:lpstr>
      <vt:lpstr>Sheet1</vt:lpstr>
      <vt:lpstr>Tegevusalade analüüs</vt:lpstr>
      <vt:lpstr>Abivahend tegevualade eelarve</vt:lpstr>
      <vt:lpstr>Koond_kulud</vt:lpstr>
      <vt:lpstr>Investeeringute lisa</vt:lpstr>
      <vt:lpstr>Lisavajadused</vt:lpstr>
      <vt:lpstr>Sheet3</vt:lpstr>
      <vt:lpstr>Töötasud</vt:lpstr>
      <vt:lpstr>Sheet8</vt:lpstr>
      <vt:lpstr>Tulud</vt:lpstr>
      <vt:lpstr>Kontode täpsustused</vt:lpstr>
      <vt:lpstr>Tegevusalade nimetused</vt:lpstr>
      <vt:lpstr>'Tegevusalade nimetused'!Print_Area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Tiina</cp:lastModifiedBy>
  <cp:lastPrinted>2020-01-24T10:16:58Z</cp:lastPrinted>
  <dcterms:created xsi:type="dcterms:W3CDTF">2019-09-05T08:06:50Z</dcterms:created>
  <dcterms:modified xsi:type="dcterms:W3CDTF">2020-01-29T10:56:28Z</dcterms:modified>
</cp:coreProperties>
</file>